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 990 Opti\Desktop\"/>
    </mc:Choice>
  </mc:AlternateContent>
  <bookViews>
    <workbookView xWindow="0" yWindow="0" windowWidth="20490" windowHeight="7650" firstSheet="1" activeTab="2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1" sheetId="7" r:id="rId5"/>
    <sheet name="Intra-Balances" sheetId="33" r:id="rId6"/>
    <sheet name="Municipal-Bal" sheetId="35" r:id="rId7"/>
    <sheet name="R &amp; E data-2020" sheetId="31" r:id="rId8"/>
    <sheet name="BALANCE-SHEET-2021-leva" sheetId="4" r:id="rId9"/>
    <sheet name="BALANCE-SHEET-2021" sheetId="8" r:id="rId10"/>
    <sheet name="Income-2021-leva" sheetId="29" r:id="rId11"/>
    <sheet name="Income-2021" sheetId="30" r:id="rId12"/>
    <sheet name="Rounding" sheetId="39" r:id="rId13"/>
    <sheet name="NF-KSF-TRIAL-BAL-2021" sheetId="20" r:id="rId14"/>
    <sheet name="RA-TRIAL-BAL-2021" sheetId="25" r:id="rId15"/>
    <sheet name="DES-TRIAL-BAL-2021" sheetId="26" r:id="rId16"/>
    <sheet name="DMP-TRIAL-BAL-2021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'BALANCE-SHEET-2021'!$A$1:$N$98</definedName>
    <definedName name="_xlnm.Print_Area" localSheetId="8">'BALANCE-SHEET-2021-leva'!$A$1:$N$98</definedName>
    <definedName name="_xlnm.Print_Area" localSheetId="3">'Cash-deficit'!$A$2:$N$39</definedName>
    <definedName name="_xlnm.Print_Area" localSheetId="15">'DES-TRIAL-BAL-2021'!$N$8:$U$890</definedName>
    <definedName name="_xlnm.Print_Area" localSheetId="16">'DMP-TRIAL-BAL-2021'!$N$8:$U$890</definedName>
    <definedName name="_xlnm.Print_Area" localSheetId="0">Guidelines!$B$2:$M$258</definedName>
    <definedName name="_xlnm.Print_Area" localSheetId="11">'Income-2021'!$A$1:$N$116</definedName>
    <definedName name="_xlnm.Print_Area" localSheetId="10">'Income-2021-leva'!$A$1:$N$115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'NF-KSF-TRIAL-BAL-2021'!$N$8:$U$890</definedName>
    <definedName name="_xlnm.Print_Area" localSheetId="4">'Provisions-2021'!$A$1:$N$74</definedName>
    <definedName name="_xlnm.Print_Area" localSheetId="7">'R &amp; E data-2020'!$N$2:$V$469</definedName>
    <definedName name="_xlnm.Print_Area" localSheetId="14">'RA-TRIAL-BAL-2021'!$N$8:$U$890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'BALANCE-SHEET-2021'!$1:$5</definedName>
    <definedName name="_xlnm.Print_Titles" localSheetId="8">'BALANCE-SHEET-2021-leva'!$1:$5</definedName>
    <definedName name="_xlnm.Print_Titles" localSheetId="15">'DES-TRIAL-BAL-2021'!$N:$N,'DES-TRIAL-BAL-2021'!$8:$12</definedName>
    <definedName name="_xlnm.Print_Titles" localSheetId="16">'DMP-TRIAL-BAL-2021'!$N:$N,'DMP-TRIAL-BAL-2021'!$8:$12</definedName>
    <definedName name="_xlnm.Print_Titles" localSheetId="11">'Income-2021'!$7:$10</definedName>
    <definedName name="_xlnm.Print_Titles" localSheetId="10">'Income-2021-leva'!$7:$10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'NF-KSF-TRIAL-BAL-2021'!$N:$N,'NF-KSF-TRIAL-BAL-2021'!$8:$12</definedName>
    <definedName name="_xlnm.Print_Titles" localSheetId="4">'Provisions-2021'!$1:$5</definedName>
    <definedName name="_xlnm.Print_Titles" localSheetId="7">'R &amp; E data-2020'!$N:$N,'R &amp; E data-2020'!$8:$12</definedName>
    <definedName name="_xlnm.Print_Titles" localSheetId="14">'RA-TRIAL-BAL-2021'!$N:$N,'RA-TRIAL-BAL-2021'!$8:$12</definedName>
    <definedName name="_xlnm.Print_Titles" localSheetId="12">Rounding!#REF!</definedName>
    <definedName name="_xlnm.Print_Titles" localSheetId="2">'TRIAL-BALANCE'!$N:$N,'TRIAL-BALANCE'!$8:$12</definedName>
  </definedNames>
  <calcPr calcId="162913"/>
</workbook>
</file>

<file path=xl/calcChain.xml><?xml version="1.0" encoding="utf-8"?>
<calcChain xmlns="http://schemas.openxmlformats.org/spreadsheetml/2006/main">
  <c r="T667" i="1" l="1"/>
  <c r="S667" i="1"/>
  <c r="T640" i="1"/>
  <c r="S640" i="1"/>
  <c r="AV640" i="1" s="1"/>
  <c r="AV293" i="1"/>
  <c r="AV290" i="1"/>
  <c r="AV289" i="1"/>
  <c r="AV286" i="1"/>
  <c r="AV667" i="1"/>
  <c r="AV288" i="1"/>
  <c r="AV287" i="1"/>
  <c r="AV198" i="1"/>
  <c r="S293" i="1"/>
  <c r="S290" i="1"/>
  <c r="S289" i="1"/>
  <c r="S286" i="1"/>
  <c r="T288" i="1"/>
  <c r="S288" i="1"/>
  <c r="T198" i="1"/>
  <c r="S198" i="1"/>
  <c r="T287" i="1"/>
  <c r="S287" i="1"/>
  <c r="C225" i="41"/>
  <c r="D244" i="41"/>
  <c r="L243" i="41"/>
  <c r="J243" i="41"/>
  <c r="G243" i="41"/>
  <c r="I242" i="41"/>
  <c r="E241" i="41"/>
  <c r="H240" i="41"/>
  <c r="E239" i="41"/>
  <c r="E236" i="41"/>
  <c r="I235" i="41"/>
  <c r="E235" i="41"/>
  <c r="K234" i="41"/>
  <c r="E232" i="41"/>
  <c r="L231" i="41"/>
  <c r="E229" i="41"/>
  <c r="L228" i="41"/>
  <c r="E226" i="41"/>
  <c r="G225" i="41"/>
  <c r="J224" i="41"/>
  <c r="F224" i="41"/>
  <c r="D188" i="41"/>
  <c r="F175" i="41"/>
  <c r="K174" i="41"/>
  <c r="I171" i="41"/>
  <c r="F171" i="41"/>
  <c r="D167" i="41"/>
  <c r="F150" i="41"/>
  <c r="F146" i="41"/>
  <c r="J149" i="41"/>
  <c r="K146" i="41"/>
  <c r="J144" i="41"/>
  <c r="D144" i="41"/>
  <c r="F111" i="41"/>
  <c r="D67" i="41"/>
  <c r="G67" i="41"/>
  <c r="K66" i="41"/>
  <c r="H66" i="41"/>
  <c r="G57" i="41"/>
  <c r="H56" i="41"/>
  <c r="D57" i="41"/>
  <c r="D56" i="41"/>
  <c r="H50" i="41"/>
  <c r="D50" i="41"/>
  <c r="L32" i="41"/>
  <c r="K32" i="41"/>
  <c r="H32" i="41"/>
  <c r="D32" i="41"/>
  <c r="L13" i="41"/>
  <c r="L2" i="41"/>
  <c r="C6" i="41"/>
  <c r="C7" i="41" s="1"/>
  <c r="C8" i="41" s="1"/>
  <c r="C9" i="41" s="1"/>
  <c r="C10" i="41" s="1"/>
  <c r="C15" i="41" s="1"/>
  <c r="C16" i="41" s="1"/>
  <c r="C20" i="41" s="1"/>
  <c r="C23" i="41" s="1"/>
  <c r="C27" i="41" s="1"/>
  <c r="C33" i="41" s="1"/>
  <c r="C38" i="41" s="1"/>
  <c r="C44" i="41" s="1"/>
  <c r="C49" i="41" s="1"/>
  <c r="C52" i="41" s="1"/>
  <c r="C55" i="41" s="1"/>
  <c r="C61" i="41" s="1"/>
  <c r="C62" i="41" s="1"/>
  <c r="C68" i="41" s="1"/>
  <c r="C71" i="41" s="1"/>
  <c r="C73" i="41" s="1"/>
  <c r="C74" i="41" s="1"/>
  <c r="C76" i="41" s="1"/>
  <c r="C82" i="41" s="1"/>
  <c r="C87" i="41" s="1"/>
  <c r="C89" i="41" s="1"/>
  <c r="C95" i="41" s="1"/>
  <c r="C102" i="41" s="1"/>
  <c r="C105" i="41" s="1"/>
  <c r="C112" i="41" s="1"/>
  <c r="C114" i="41" s="1"/>
  <c r="C119" i="41" s="1"/>
  <c r="C123" i="41" s="1"/>
  <c r="C127" i="41" s="1"/>
  <c r="C128" i="41" s="1"/>
  <c r="C131" i="41" s="1"/>
  <c r="C132" i="41" s="1"/>
  <c r="C133" i="41" s="1"/>
  <c r="C137" i="41" s="1"/>
  <c r="C140" i="41" s="1"/>
  <c r="C142" i="41" s="1"/>
  <c r="C143" i="41" s="1"/>
  <c r="C147" i="41" s="1"/>
  <c r="C149" i="41" s="1"/>
  <c r="C151" i="41" s="1"/>
  <c r="C154" i="41" s="1"/>
  <c r="C157" i="41" s="1"/>
  <c r="C160" i="41" s="1"/>
  <c r="C166" i="41" s="1"/>
  <c r="C172" i="41" s="1"/>
  <c r="C174" i="41" s="1"/>
  <c r="C176" i="41" s="1"/>
  <c r="C182" i="41" s="1"/>
  <c r="C187" i="41" s="1"/>
  <c r="C193" i="41" s="1"/>
  <c r="C195" i="41" s="1"/>
  <c r="C198" i="41" s="1"/>
  <c r="C204" i="41" s="1"/>
  <c r="C207" i="41" s="1"/>
  <c r="C211" i="41" s="1"/>
  <c r="C216" i="41" s="1"/>
  <c r="C219" i="41" s="1"/>
  <c r="C226" i="41" s="1"/>
  <c r="C229" i="41" s="1"/>
  <c r="C232" i="41" s="1"/>
  <c r="C236" i="41" s="1"/>
  <c r="C239" i="41" s="1"/>
  <c r="C241" i="41" s="1"/>
  <c r="C243" i="41" s="1"/>
  <c r="C245" i="41" s="1"/>
  <c r="C247" i="41" s="1"/>
  <c r="C250" i="41" s="1"/>
  <c r="C251" i="41" s="1"/>
  <c r="U130" i="35"/>
  <c r="R119" i="35"/>
  <c r="R116" i="35"/>
  <c r="R113" i="35"/>
  <c r="R108" i="35"/>
  <c r="R105" i="35"/>
  <c r="R102" i="35"/>
  <c r="R99" i="35"/>
  <c r="G6" i="38"/>
  <c r="P121" i="35"/>
  <c r="P110" i="35"/>
  <c r="G3" i="30"/>
  <c r="K3" i="30"/>
  <c r="G3" i="29"/>
  <c r="K3" i="29"/>
  <c r="K3" i="8"/>
  <c r="G3" i="8"/>
  <c r="G3" i="4"/>
  <c r="K3" i="4"/>
  <c r="K3" i="7"/>
  <c r="G3" i="7"/>
  <c r="S57" i="35"/>
  <c r="P57" i="35"/>
  <c r="S54" i="35"/>
  <c r="P54" i="35"/>
  <c r="Q62" i="4"/>
  <c r="Q25" i="29"/>
  <c r="AX886" i="1"/>
  <c r="AX885" i="1"/>
  <c r="AX875" i="1"/>
  <c r="AX874" i="1"/>
  <c r="AX873" i="1"/>
  <c r="AX872" i="1"/>
  <c r="AX871" i="1"/>
  <c r="AX870" i="1"/>
  <c r="AX869" i="1"/>
  <c r="AX868" i="1"/>
  <c r="AX848" i="1"/>
  <c r="AX845" i="1"/>
  <c r="AX844" i="1"/>
  <c r="AX843" i="1"/>
  <c r="AX842" i="1"/>
  <c r="AX836" i="1"/>
  <c r="AX835" i="1"/>
  <c r="AX580" i="1"/>
  <c r="AX578" i="1"/>
  <c r="AX577" i="1"/>
  <c r="AX576" i="1"/>
  <c r="AX572" i="1"/>
  <c r="AX571" i="1"/>
  <c r="AX569" i="1"/>
  <c r="AX568" i="1"/>
  <c r="AX567" i="1"/>
  <c r="AX566" i="1"/>
  <c r="AX416" i="1"/>
  <c r="AX382" i="1"/>
  <c r="AX381" i="1"/>
  <c r="AX380" i="1"/>
  <c r="AX363" i="1"/>
  <c r="AX367" i="1"/>
  <c r="AX366" i="1"/>
  <c r="AX365" i="1"/>
  <c r="AX364" i="1"/>
  <c r="AX337" i="1"/>
  <c r="AX284" i="1"/>
  <c r="AX266" i="1"/>
  <c r="AX265" i="1"/>
  <c r="AX264" i="1"/>
  <c r="AX263" i="1"/>
  <c r="AX262" i="1"/>
  <c r="AX261" i="1"/>
  <c r="AX260" i="1"/>
  <c r="AX259" i="1"/>
  <c r="AX258" i="1"/>
  <c r="AX257" i="1"/>
  <c r="AX252" i="1"/>
  <c r="AX251" i="1"/>
  <c r="AX244" i="1"/>
  <c r="AX243" i="1"/>
  <c r="AX242" i="1"/>
  <c r="AX241" i="1"/>
  <c r="AX238" i="1"/>
  <c r="AX237" i="1"/>
  <c r="AX235" i="1"/>
  <c r="AX234" i="1"/>
  <c r="AX233" i="1"/>
  <c r="AX232" i="1"/>
  <c r="AX228" i="1"/>
  <c r="AX227" i="1"/>
  <c r="AX226" i="1"/>
  <c r="AX225" i="1"/>
  <c r="AX224" i="1"/>
  <c r="AX222" i="1"/>
  <c r="AX219" i="1"/>
  <c r="AV219" i="1"/>
  <c r="AX220" i="1"/>
  <c r="AX198" i="1"/>
  <c r="AX197" i="1"/>
  <c r="AX195" i="1"/>
  <c r="AX190" i="1"/>
  <c r="AX187" i="1"/>
  <c r="AX186" i="1"/>
  <c r="AX184" i="1"/>
  <c r="AX175" i="1"/>
  <c r="AX174" i="1"/>
  <c r="AX173" i="1"/>
  <c r="AX151" i="1"/>
  <c r="AX150" i="1"/>
  <c r="AX146" i="1"/>
  <c r="AX143" i="1"/>
  <c r="AX142" i="1"/>
  <c r="AX140" i="1"/>
  <c r="AX139" i="1"/>
  <c r="AX135" i="1"/>
  <c r="AX133" i="1"/>
  <c r="AX132" i="1"/>
  <c r="AX130" i="1"/>
  <c r="AX128" i="1"/>
  <c r="AX127" i="1"/>
  <c r="AX125" i="1"/>
  <c r="AX122" i="1"/>
  <c r="AX118" i="1"/>
  <c r="AX116" i="1"/>
  <c r="AX114" i="1"/>
  <c r="AX99" i="1"/>
  <c r="AX100" i="1"/>
  <c r="AX93" i="1"/>
  <c r="AX92" i="1"/>
  <c r="AX91" i="1"/>
  <c r="AX90" i="1"/>
  <c r="AX887" i="1"/>
  <c r="AX884" i="1"/>
  <c r="AX867" i="1"/>
  <c r="AX866" i="1"/>
  <c r="AX865" i="1"/>
  <c r="AX864" i="1"/>
  <c r="AX863" i="1"/>
  <c r="AX862" i="1"/>
  <c r="AX861" i="1"/>
  <c r="AX860" i="1"/>
  <c r="AX859" i="1"/>
  <c r="AX858" i="1"/>
  <c r="AX846" i="1"/>
  <c r="AX841" i="1"/>
  <c r="AX840" i="1"/>
  <c r="AX839" i="1"/>
  <c r="AX838" i="1"/>
  <c r="AX837" i="1"/>
  <c r="AX834" i="1"/>
  <c r="AX833" i="1"/>
  <c r="AX832" i="1"/>
  <c r="AX608" i="1"/>
  <c r="AX604" i="1"/>
  <c r="AX579" i="1"/>
  <c r="AX575" i="1"/>
  <c r="AX574" i="1"/>
  <c r="AX573" i="1"/>
  <c r="AX570" i="1"/>
  <c r="AX415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3" i="1"/>
  <c r="AX342" i="1"/>
  <c r="AX341" i="1"/>
  <c r="AX340" i="1"/>
  <c r="AX339" i="1"/>
  <c r="AX338" i="1"/>
  <c r="AX336" i="1"/>
  <c r="AX335" i="1"/>
  <c r="AX334" i="1"/>
  <c r="AX333" i="1"/>
  <c r="AX332" i="1"/>
  <c r="AX331" i="1"/>
  <c r="AX326" i="1"/>
  <c r="AX325" i="1"/>
  <c r="AX324" i="1"/>
  <c r="AX323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2" i="1"/>
  <c r="AX291" i="1"/>
  <c r="AX288" i="1"/>
  <c r="AX287" i="1"/>
  <c r="AX283" i="1"/>
  <c r="AX256" i="1"/>
  <c r="AX255" i="1"/>
  <c r="AX254" i="1"/>
  <c r="AX253" i="1"/>
  <c r="AX250" i="1"/>
  <c r="AX249" i="1"/>
  <c r="AX248" i="1"/>
  <c r="AX247" i="1"/>
  <c r="AX246" i="1"/>
  <c r="AX245" i="1"/>
  <c r="AX240" i="1"/>
  <c r="AX239" i="1"/>
  <c r="AX236" i="1"/>
  <c r="AX231" i="1"/>
  <c r="AX230" i="1"/>
  <c r="AX229" i="1"/>
  <c r="AX223" i="1"/>
  <c r="AX221" i="1"/>
  <c r="AX196" i="1"/>
  <c r="AX189" i="1"/>
  <c r="AX188" i="1"/>
  <c r="AX185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59" i="1"/>
  <c r="AX158" i="1"/>
  <c r="AX157" i="1"/>
  <c r="AX156" i="1"/>
  <c r="AX155" i="1"/>
  <c r="AX154" i="1"/>
  <c r="AX153" i="1"/>
  <c r="AX152" i="1"/>
  <c r="AX149" i="1"/>
  <c r="AX148" i="1"/>
  <c r="AX147" i="1"/>
  <c r="AX145" i="1"/>
  <c r="AX144" i="1"/>
  <c r="AX141" i="1"/>
  <c r="AX138" i="1"/>
  <c r="AX137" i="1"/>
  <c r="AX136" i="1"/>
  <c r="AX134" i="1"/>
  <c r="AX131" i="1"/>
  <c r="AX129" i="1"/>
  <c r="AX126" i="1"/>
  <c r="AX124" i="1"/>
  <c r="AX123" i="1"/>
  <c r="AX119" i="1"/>
  <c r="AX112" i="1"/>
  <c r="AX111" i="1"/>
  <c r="AX110" i="1"/>
  <c r="AX109" i="1"/>
  <c r="AX108" i="1"/>
  <c r="AX107" i="1"/>
  <c r="AX106" i="1"/>
  <c r="AX105" i="1"/>
  <c r="AX104" i="1"/>
  <c r="AX103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G887" i="1"/>
  <c r="AG884" i="1"/>
  <c r="AG867" i="1"/>
  <c r="AG866" i="1"/>
  <c r="AG865" i="1"/>
  <c r="AG864" i="1"/>
  <c r="AG863" i="1"/>
  <c r="AG862" i="1"/>
  <c r="AG861" i="1"/>
  <c r="AG860" i="1"/>
  <c r="AG859" i="1"/>
  <c r="AG858" i="1"/>
  <c r="AG846" i="1"/>
  <c r="AG841" i="1"/>
  <c r="AG840" i="1"/>
  <c r="AG839" i="1"/>
  <c r="AG838" i="1"/>
  <c r="AG837" i="1"/>
  <c r="AG834" i="1"/>
  <c r="AG833" i="1"/>
  <c r="AG832" i="1"/>
  <c r="AG608" i="1"/>
  <c r="AG604" i="1"/>
  <c r="AG579" i="1"/>
  <c r="AG575" i="1"/>
  <c r="AG574" i="1"/>
  <c r="AG573" i="1"/>
  <c r="AG415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3" i="1"/>
  <c r="AG342" i="1"/>
  <c r="AG341" i="1"/>
  <c r="AG340" i="1"/>
  <c r="AG339" i="1"/>
  <c r="AG338" i="1"/>
  <c r="AG336" i="1"/>
  <c r="AG335" i="1"/>
  <c r="AG334" i="1"/>
  <c r="AG333" i="1"/>
  <c r="AG332" i="1"/>
  <c r="AG331" i="1"/>
  <c r="AG326" i="1"/>
  <c r="AG325" i="1"/>
  <c r="AG324" i="1"/>
  <c r="AG323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2" i="1"/>
  <c r="AG291" i="1"/>
  <c r="AG288" i="1"/>
  <c r="AG287" i="1"/>
  <c r="AG283" i="1"/>
  <c r="AG256" i="1"/>
  <c r="AG255" i="1"/>
  <c r="AG254" i="1"/>
  <c r="AG253" i="1"/>
  <c r="AG250" i="1"/>
  <c r="AG249" i="1"/>
  <c r="AG248" i="1"/>
  <c r="AG247" i="1"/>
  <c r="AG246" i="1"/>
  <c r="AG245" i="1"/>
  <c r="AG240" i="1"/>
  <c r="AG239" i="1"/>
  <c r="AG236" i="1"/>
  <c r="AG231" i="1"/>
  <c r="AG230" i="1"/>
  <c r="AG229" i="1"/>
  <c r="AG223" i="1"/>
  <c r="AG221" i="1"/>
  <c r="AG219" i="1"/>
  <c r="AG196" i="1"/>
  <c r="AG189" i="1"/>
  <c r="AG188" i="1"/>
  <c r="AG185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59" i="1"/>
  <c r="AG158" i="1"/>
  <c r="AG157" i="1"/>
  <c r="AG156" i="1"/>
  <c r="AG155" i="1"/>
  <c r="AG154" i="1"/>
  <c r="AG153" i="1"/>
  <c r="AG152" i="1"/>
  <c r="AG149" i="1"/>
  <c r="AG148" i="1"/>
  <c r="AG147" i="1"/>
  <c r="AG145" i="1"/>
  <c r="AG144" i="1"/>
  <c r="AG141" i="1"/>
  <c r="AG138" i="1"/>
  <c r="AG137" i="1"/>
  <c r="AG136" i="1"/>
  <c r="AG134" i="1"/>
  <c r="AG131" i="1"/>
  <c r="AG129" i="1"/>
  <c r="AG126" i="1"/>
  <c r="AG124" i="1"/>
  <c r="AG123" i="1"/>
  <c r="AG119" i="1"/>
  <c r="AG112" i="1"/>
  <c r="AG111" i="1"/>
  <c r="AG110" i="1"/>
  <c r="AG109" i="1"/>
  <c r="AG108" i="1"/>
  <c r="AG107" i="1"/>
  <c r="AG106" i="1"/>
  <c r="AG105" i="1"/>
  <c r="AG104" i="1"/>
  <c r="AG103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X847" i="1"/>
  <c r="AX177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T761" i="20"/>
  <c r="S761" i="20"/>
  <c r="V761" i="20" s="1"/>
  <c r="T761" i="25"/>
  <c r="S761" i="25"/>
  <c r="V761" i="25" s="1"/>
  <c r="T761" i="26"/>
  <c r="S761" i="26"/>
  <c r="V761" i="26" s="1"/>
  <c r="V886" i="20"/>
  <c r="V885" i="20"/>
  <c r="V884" i="20"/>
  <c r="V875" i="20"/>
  <c r="V874" i="20"/>
  <c r="V873" i="20"/>
  <c r="V872" i="20"/>
  <c r="V871" i="20"/>
  <c r="V870" i="20"/>
  <c r="V869" i="20"/>
  <c r="V868" i="20"/>
  <c r="V867" i="20"/>
  <c r="V866" i="20"/>
  <c r="V865" i="20"/>
  <c r="V864" i="20"/>
  <c r="V863" i="20"/>
  <c r="V862" i="20"/>
  <c r="V861" i="20"/>
  <c r="V860" i="20"/>
  <c r="V859" i="20"/>
  <c r="V858" i="20"/>
  <c r="V848" i="20"/>
  <c r="V847" i="20"/>
  <c r="V846" i="20"/>
  <c r="V845" i="20"/>
  <c r="V844" i="20"/>
  <c r="V843" i="20"/>
  <c r="V842" i="20"/>
  <c r="V841" i="20"/>
  <c r="V840" i="20"/>
  <c r="V839" i="20"/>
  <c r="V838" i="20"/>
  <c r="V837" i="20"/>
  <c r="V836" i="20"/>
  <c r="V835" i="20"/>
  <c r="V834" i="20"/>
  <c r="V833" i="20"/>
  <c r="V832" i="20"/>
  <c r="V608" i="20"/>
  <c r="V604" i="20"/>
  <c r="V580" i="20"/>
  <c r="V579" i="20"/>
  <c r="V578" i="20"/>
  <c r="V577" i="20"/>
  <c r="V576" i="20"/>
  <c r="V575" i="20"/>
  <c r="V574" i="20"/>
  <c r="V573" i="20"/>
  <c r="V572" i="20"/>
  <c r="V571" i="20"/>
  <c r="V570" i="20"/>
  <c r="V569" i="20"/>
  <c r="V568" i="20"/>
  <c r="V567" i="20"/>
  <c r="V566" i="20"/>
  <c r="V416" i="20"/>
  <c r="V415" i="20"/>
  <c r="V382" i="20"/>
  <c r="V381" i="20"/>
  <c r="V380" i="20"/>
  <c r="V379" i="20"/>
  <c r="V378" i="20"/>
  <c r="V377" i="20"/>
  <c r="V376" i="20"/>
  <c r="V375" i="20"/>
  <c r="V374" i="20"/>
  <c r="V373" i="20"/>
  <c r="V372" i="20"/>
  <c r="V371" i="20"/>
  <c r="V370" i="20"/>
  <c r="V369" i="20"/>
  <c r="V368" i="20"/>
  <c r="V367" i="20"/>
  <c r="V366" i="20"/>
  <c r="V365" i="20"/>
  <c r="V364" i="20"/>
  <c r="V363" i="20"/>
  <c r="V362" i="20"/>
  <c r="V361" i="20"/>
  <c r="V360" i="20"/>
  <c r="V359" i="20"/>
  <c r="V358" i="20"/>
  <c r="V357" i="20"/>
  <c r="V356" i="20"/>
  <c r="V355" i="20"/>
  <c r="V354" i="20"/>
  <c r="V353" i="20"/>
  <c r="V352" i="20"/>
  <c r="V351" i="20"/>
  <c r="V350" i="20"/>
  <c r="V349" i="20"/>
  <c r="V348" i="20"/>
  <c r="V347" i="20"/>
  <c r="V346" i="20"/>
  <c r="V343" i="20"/>
  <c r="V342" i="20"/>
  <c r="V341" i="20"/>
  <c r="V340" i="20"/>
  <c r="V339" i="20"/>
  <c r="V338" i="20"/>
  <c r="V337" i="20"/>
  <c r="V336" i="20"/>
  <c r="V335" i="20"/>
  <c r="V334" i="20"/>
  <c r="V333" i="20"/>
  <c r="V332" i="20"/>
  <c r="V331" i="20"/>
  <c r="V326" i="20"/>
  <c r="V325" i="20"/>
  <c r="V324" i="20"/>
  <c r="V323" i="20"/>
  <c r="V321" i="20"/>
  <c r="V320" i="20"/>
  <c r="V319" i="20"/>
  <c r="V318" i="20"/>
  <c r="V317" i="20"/>
  <c r="V316" i="20"/>
  <c r="V315" i="20"/>
  <c r="V314" i="20"/>
  <c r="V313" i="20"/>
  <c r="V312" i="20"/>
  <c r="V311" i="20"/>
  <c r="V310" i="20"/>
  <c r="V309" i="20"/>
  <c r="V308" i="20"/>
  <c r="V307" i="20"/>
  <c r="V306" i="20"/>
  <c r="V305" i="20"/>
  <c r="V304" i="20"/>
  <c r="V303" i="20"/>
  <c r="V302" i="20"/>
  <c r="V301" i="20"/>
  <c r="V300" i="20"/>
  <c r="V299" i="20"/>
  <c r="V298" i="20"/>
  <c r="V297" i="20"/>
  <c r="V296" i="20"/>
  <c r="V295" i="20"/>
  <c r="V294" i="20"/>
  <c r="V293" i="20"/>
  <c r="V292" i="20"/>
  <c r="V291" i="20"/>
  <c r="V290" i="20"/>
  <c r="V289" i="20"/>
  <c r="V288" i="20"/>
  <c r="V287" i="20"/>
  <c r="V286" i="20"/>
  <c r="V284" i="20"/>
  <c r="V283" i="20"/>
  <c r="V270" i="20"/>
  <c r="V269" i="20"/>
  <c r="V268" i="20"/>
  <c r="V267" i="20"/>
  <c r="V266" i="20"/>
  <c r="V265" i="20"/>
  <c r="V264" i="20"/>
  <c r="V263" i="20"/>
  <c r="V262" i="20"/>
  <c r="V261" i="20"/>
  <c r="V260" i="20"/>
  <c r="V259" i="20"/>
  <c r="V258" i="20"/>
  <c r="V257" i="20"/>
  <c r="V256" i="20"/>
  <c r="V255" i="20"/>
  <c r="V254" i="20"/>
  <c r="V253" i="20"/>
  <c r="V252" i="20"/>
  <c r="V251" i="20"/>
  <c r="V250" i="20"/>
  <c r="V249" i="20"/>
  <c r="V248" i="20"/>
  <c r="V247" i="20"/>
  <c r="V246" i="20"/>
  <c r="V245" i="20"/>
  <c r="V244" i="20"/>
  <c r="V243" i="20"/>
  <c r="V242" i="20"/>
  <c r="V241" i="20"/>
  <c r="V240" i="20"/>
  <c r="V239" i="20"/>
  <c r="V238" i="20"/>
  <c r="V237" i="20"/>
  <c r="V236" i="20"/>
  <c r="V235" i="20"/>
  <c r="V234" i="20"/>
  <c r="V233" i="20"/>
  <c r="V232" i="20"/>
  <c r="V231" i="20"/>
  <c r="V230" i="20"/>
  <c r="V229" i="20"/>
  <c r="V228" i="20"/>
  <c r="V227" i="20"/>
  <c r="V226" i="20"/>
  <c r="V225" i="20"/>
  <c r="V224" i="20"/>
  <c r="V223" i="20"/>
  <c r="V222" i="20"/>
  <c r="V221" i="20"/>
  <c r="V220" i="20"/>
  <c r="V219" i="20"/>
  <c r="V198" i="20"/>
  <c r="V197" i="20"/>
  <c r="V196" i="20"/>
  <c r="V195" i="20"/>
  <c r="V190" i="20"/>
  <c r="V189" i="20"/>
  <c r="V188" i="20"/>
  <c r="V187" i="20"/>
  <c r="V186" i="20"/>
  <c r="V185" i="20"/>
  <c r="V184" i="20"/>
  <c r="V178" i="20"/>
  <c r="V175" i="20"/>
  <c r="V174" i="20"/>
  <c r="V173" i="20"/>
  <c r="V172" i="20"/>
  <c r="V171" i="20"/>
  <c r="V170" i="20"/>
  <c r="V169" i="20"/>
  <c r="V168" i="20"/>
  <c r="V167" i="20"/>
  <c r="V166" i="20"/>
  <c r="V165" i="20"/>
  <c r="V164" i="20"/>
  <c r="V163" i="20"/>
  <c r="V162" i="20"/>
  <c r="V161" i="20"/>
  <c r="V159" i="20"/>
  <c r="V158" i="20"/>
  <c r="V157" i="20"/>
  <c r="V156" i="20"/>
  <c r="V155" i="20"/>
  <c r="V154" i="20"/>
  <c r="V153" i="20"/>
  <c r="V152" i="20"/>
  <c r="V151" i="20"/>
  <c r="V150" i="20"/>
  <c r="V149" i="20"/>
  <c r="V148" i="20"/>
  <c r="V147" i="20"/>
  <c r="V146" i="20"/>
  <c r="V145" i="20"/>
  <c r="V144" i="20"/>
  <c r="V143" i="20"/>
  <c r="V142" i="20"/>
  <c r="V141" i="20"/>
  <c r="V140" i="20"/>
  <c r="V139" i="20"/>
  <c r="V138" i="20"/>
  <c r="V137" i="20"/>
  <c r="V136" i="20"/>
  <c r="V135" i="20"/>
  <c r="V134" i="20"/>
  <c r="V133" i="20"/>
  <c r="V132" i="20"/>
  <c r="V131" i="20"/>
  <c r="V130" i="20"/>
  <c r="V129" i="20"/>
  <c r="V128" i="20"/>
  <c r="V127" i="20"/>
  <c r="V126" i="20"/>
  <c r="V125" i="20"/>
  <c r="V124" i="20"/>
  <c r="V123" i="20"/>
  <c r="V122" i="20"/>
  <c r="V119" i="20"/>
  <c r="V118" i="20"/>
  <c r="V116" i="20"/>
  <c r="V114" i="20"/>
  <c r="V112" i="20"/>
  <c r="V111" i="20"/>
  <c r="V110" i="20"/>
  <c r="V109" i="20"/>
  <c r="V108" i="20"/>
  <c r="V107" i="20"/>
  <c r="V106" i="20"/>
  <c r="V105" i="20"/>
  <c r="V104" i="20"/>
  <c r="V103" i="20"/>
  <c r="V101" i="20"/>
  <c r="V100" i="20"/>
  <c r="V99" i="20"/>
  <c r="V98" i="20"/>
  <c r="V97" i="20"/>
  <c r="V96" i="20"/>
  <c r="V95" i="20"/>
  <c r="V94" i="20"/>
  <c r="V93" i="20"/>
  <c r="V92" i="20"/>
  <c r="V91" i="20"/>
  <c r="V90" i="20"/>
  <c r="V89" i="20"/>
  <c r="V88" i="20"/>
  <c r="V87" i="20"/>
  <c r="V86" i="20"/>
  <c r="V85" i="20"/>
  <c r="V84" i="20"/>
  <c r="V83" i="20"/>
  <c r="V82" i="20"/>
  <c r="V81" i="20"/>
  <c r="V80" i="20"/>
  <c r="V79" i="20"/>
  <c r="V78" i="20"/>
  <c r="V77" i="20"/>
  <c r="V76" i="20"/>
  <c r="V75" i="20"/>
  <c r="V74" i="20"/>
  <c r="V73" i="20"/>
  <c r="V72" i="20"/>
  <c r="V71" i="20"/>
  <c r="V69" i="20"/>
  <c r="V68" i="20"/>
  <c r="V67" i="20"/>
  <c r="V66" i="20"/>
  <c r="V65" i="20"/>
  <c r="V64" i="20"/>
  <c r="V63" i="20"/>
  <c r="V62" i="20"/>
  <c r="V59" i="20"/>
  <c r="V58" i="20"/>
  <c r="V57" i="20"/>
  <c r="V56" i="20"/>
  <c r="V55" i="20"/>
  <c r="V54" i="20"/>
  <c r="V53" i="20"/>
  <c r="V52" i="20"/>
  <c r="V51" i="20"/>
  <c r="V50" i="20"/>
  <c r="V49" i="20"/>
  <c r="V48" i="20"/>
  <c r="V47" i="20"/>
  <c r="V46" i="20"/>
  <c r="V45" i="20"/>
  <c r="V44" i="20"/>
  <c r="V43" i="20"/>
  <c r="V42" i="20"/>
  <c r="V41" i="20"/>
  <c r="V40" i="20"/>
  <c r="V39" i="20"/>
  <c r="V38" i="20"/>
  <c r="V37" i="20"/>
  <c r="V36" i="20"/>
  <c r="V35" i="20"/>
  <c r="V34" i="20"/>
  <c r="V33" i="20"/>
  <c r="V32" i="20"/>
  <c r="V31" i="20"/>
  <c r="V30" i="20"/>
  <c r="V29" i="20"/>
  <c r="V28" i="20"/>
  <c r="V27" i="20"/>
  <c r="V26" i="20"/>
  <c r="V25" i="20"/>
  <c r="V24" i="20"/>
  <c r="V23" i="20"/>
  <c r="V22" i="20"/>
  <c r="V21" i="20"/>
  <c r="V20" i="20"/>
  <c r="V19" i="20"/>
  <c r="V18" i="20"/>
  <c r="V17" i="20"/>
  <c r="V16" i="20"/>
  <c r="V886" i="25"/>
  <c r="V885" i="25"/>
  <c r="V884" i="25"/>
  <c r="V875" i="25"/>
  <c r="V874" i="25"/>
  <c r="V873" i="25"/>
  <c r="V872" i="25"/>
  <c r="V871" i="25"/>
  <c r="V870" i="25"/>
  <c r="V869" i="25"/>
  <c r="V868" i="25"/>
  <c r="V867" i="25"/>
  <c r="V866" i="25"/>
  <c r="V865" i="25"/>
  <c r="V864" i="25"/>
  <c r="V863" i="25"/>
  <c r="V862" i="25"/>
  <c r="V861" i="25"/>
  <c r="V860" i="25"/>
  <c r="V859" i="25"/>
  <c r="V858" i="25"/>
  <c r="V848" i="25"/>
  <c r="V847" i="25"/>
  <c r="V846" i="25"/>
  <c r="V845" i="25"/>
  <c r="V844" i="25"/>
  <c r="V843" i="25"/>
  <c r="V842" i="25"/>
  <c r="V841" i="25"/>
  <c r="V840" i="25"/>
  <c r="V839" i="25"/>
  <c r="V838" i="25"/>
  <c r="V837" i="25"/>
  <c r="V836" i="25"/>
  <c r="V835" i="25"/>
  <c r="V834" i="25"/>
  <c r="V833" i="25"/>
  <c r="V832" i="25"/>
  <c r="V608" i="25"/>
  <c r="V604" i="25"/>
  <c r="V580" i="25"/>
  <c r="V579" i="25"/>
  <c r="V578" i="25"/>
  <c r="V577" i="25"/>
  <c r="V576" i="25"/>
  <c r="V575" i="25"/>
  <c r="V574" i="25"/>
  <c r="V573" i="25"/>
  <c r="V572" i="25"/>
  <c r="V571" i="25"/>
  <c r="V570" i="25"/>
  <c r="V569" i="25"/>
  <c r="V568" i="25"/>
  <c r="V567" i="25"/>
  <c r="V566" i="25"/>
  <c r="V416" i="25"/>
  <c r="V415" i="25"/>
  <c r="V382" i="25"/>
  <c r="V381" i="25"/>
  <c r="V380" i="25"/>
  <c r="V379" i="25"/>
  <c r="V378" i="25"/>
  <c r="V377" i="25"/>
  <c r="V376" i="25"/>
  <c r="V375" i="25"/>
  <c r="V374" i="25"/>
  <c r="V373" i="25"/>
  <c r="V372" i="25"/>
  <c r="V371" i="25"/>
  <c r="V370" i="25"/>
  <c r="V369" i="25"/>
  <c r="V368" i="25"/>
  <c r="V367" i="25"/>
  <c r="V366" i="25"/>
  <c r="V365" i="25"/>
  <c r="V364" i="25"/>
  <c r="V363" i="25"/>
  <c r="V362" i="25"/>
  <c r="V361" i="25"/>
  <c r="V360" i="25"/>
  <c r="V359" i="25"/>
  <c r="V358" i="25"/>
  <c r="V357" i="25"/>
  <c r="V356" i="25"/>
  <c r="V355" i="25"/>
  <c r="V354" i="25"/>
  <c r="V353" i="25"/>
  <c r="V352" i="25"/>
  <c r="V351" i="25"/>
  <c r="V350" i="25"/>
  <c r="V349" i="25"/>
  <c r="V348" i="25"/>
  <c r="V347" i="25"/>
  <c r="V346" i="25"/>
  <c r="V343" i="25"/>
  <c r="V342" i="25"/>
  <c r="V341" i="25"/>
  <c r="V340" i="25"/>
  <c r="V339" i="25"/>
  <c r="V338" i="25"/>
  <c r="V337" i="25"/>
  <c r="V336" i="25"/>
  <c r="V335" i="25"/>
  <c r="V334" i="25"/>
  <c r="V333" i="25"/>
  <c r="V332" i="25"/>
  <c r="V331" i="25"/>
  <c r="V326" i="25"/>
  <c r="V325" i="25"/>
  <c r="V324" i="25"/>
  <c r="V323" i="25"/>
  <c r="V321" i="25"/>
  <c r="V320" i="25"/>
  <c r="V319" i="25"/>
  <c r="V318" i="25"/>
  <c r="V317" i="25"/>
  <c r="V316" i="25"/>
  <c r="V315" i="25"/>
  <c r="V314" i="25"/>
  <c r="V313" i="25"/>
  <c r="V312" i="25"/>
  <c r="V311" i="25"/>
  <c r="V310" i="25"/>
  <c r="V309" i="25"/>
  <c r="V308" i="25"/>
  <c r="V307" i="25"/>
  <c r="V306" i="25"/>
  <c r="V305" i="25"/>
  <c r="V304" i="25"/>
  <c r="V303" i="25"/>
  <c r="V302" i="25"/>
  <c r="V301" i="25"/>
  <c r="V300" i="25"/>
  <c r="V299" i="25"/>
  <c r="V298" i="25"/>
  <c r="V297" i="25"/>
  <c r="V296" i="25"/>
  <c r="V295" i="25"/>
  <c r="V294" i="25"/>
  <c r="V293" i="25"/>
  <c r="V292" i="25"/>
  <c r="V291" i="25"/>
  <c r="V290" i="25"/>
  <c r="V289" i="25"/>
  <c r="V288" i="25"/>
  <c r="V287" i="25"/>
  <c r="V286" i="25"/>
  <c r="V284" i="25"/>
  <c r="V283" i="25"/>
  <c r="V270" i="25"/>
  <c r="V269" i="25"/>
  <c r="V268" i="25"/>
  <c r="V267" i="25"/>
  <c r="V266" i="25"/>
  <c r="V265" i="25"/>
  <c r="V264" i="25"/>
  <c r="V263" i="25"/>
  <c r="V262" i="25"/>
  <c r="V261" i="25"/>
  <c r="V260" i="25"/>
  <c r="V259" i="25"/>
  <c r="V258" i="25"/>
  <c r="V257" i="25"/>
  <c r="V256" i="25"/>
  <c r="V255" i="25"/>
  <c r="V254" i="25"/>
  <c r="V253" i="25"/>
  <c r="V252" i="25"/>
  <c r="V251" i="25"/>
  <c r="V250" i="25"/>
  <c r="V249" i="25"/>
  <c r="V248" i="25"/>
  <c r="V247" i="25"/>
  <c r="V246" i="25"/>
  <c r="V245" i="25"/>
  <c r="V244" i="25"/>
  <c r="V243" i="25"/>
  <c r="V242" i="25"/>
  <c r="V241" i="25"/>
  <c r="V240" i="25"/>
  <c r="V239" i="25"/>
  <c r="V238" i="25"/>
  <c r="V237" i="25"/>
  <c r="V236" i="25"/>
  <c r="V235" i="25"/>
  <c r="V234" i="25"/>
  <c r="V233" i="25"/>
  <c r="V232" i="25"/>
  <c r="V231" i="25"/>
  <c r="V230" i="25"/>
  <c r="V229" i="25"/>
  <c r="V228" i="25"/>
  <c r="V227" i="25"/>
  <c r="V226" i="25"/>
  <c r="V225" i="25"/>
  <c r="V224" i="25"/>
  <c r="V223" i="25"/>
  <c r="V222" i="25"/>
  <c r="V221" i="25"/>
  <c r="V220" i="25"/>
  <c r="V219" i="25"/>
  <c r="V198" i="25"/>
  <c r="V197" i="25"/>
  <c r="V196" i="25"/>
  <c r="V195" i="25"/>
  <c r="V190" i="25"/>
  <c r="V189" i="25"/>
  <c r="V188" i="25"/>
  <c r="V187" i="25"/>
  <c r="V186" i="25"/>
  <c r="V185" i="25"/>
  <c r="V184" i="25"/>
  <c r="V178" i="25"/>
  <c r="V175" i="25"/>
  <c r="V174" i="25"/>
  <c r="V173" i="25"/>
  <c r="V172" i="25"/>
  <c r="V171" i="25"/>
  <c r="V170" i="25"/>
  <c r="V169" i="25"/>
  <c r="V168" i="25"/>
  <c r="V167" i="25"/>
  <c r="V166" i="25"/>
  <c r="V165" i="25"/>
  <c r="V164" i="25"/>
  <c r="V163" i="25"/>
  <c r="V162" i="25"/>
  <c r="V161" i="25"/>
  <c r="V159" i="25"/>
  <c r="V158" i="25"/>
  <c r="V157" i="25"/>
  <c r="V156" i="25"/>
  <c r="V155" i="25"/>
  <c r="V154" i="25"/>
  <c r="V153" i="25"/>
  <c r="V152" i="25"/>
  <c r="V151" i="25"/>
  <c r="V150" i="25"/>
  <c r="V149" i="25"/>
  <c r="V148" i="25"/>
  <c r="V147" i="25"/>
  <c r="V146" i="25"/>
  <c r="V145" i="25"/>
  <c r="V144" i="25"/>
  <c r="V143" i="25"/>
  <c r="V142" i="25"/>
  <c r="V141" i="25"/>
  <c r="V140" i="25"/>
  <c r="V139" i="25"/>
  <c r="V138" i="25"/>
  <c r="V137" i="25"/>
  <c r="V136" i="25"/>
  <c r="V135" i="25"/>
  <c r="V134" i="25"/>
  <c r="V133" i="25"/>
  <c r="V132" i="25"/>
  <c r="V131" i="25"/>
  <c r="V130" i="25"/>
  <c r="V129" i="25"/>
  <c r="V128" i="25"/>
  <c r="V127" i="25"/>
  <c r="V126" i="25"/>
  <c r="V125" i="25"/>
  <c r="V124" i="25"/>
  <c r="V123" i="25"/>
  <c r="V122" i="25"/>
  <c r="V119" i="25"/>
  <c r="V118" i="25"/>
  <c r="V116" i="25"/>
  <c r="V114" i="25"/>
  <c r="V112" i="25"/>
  <c r="V111" i="25"/>
  <c r="V110" i="25"/>
  <c r="V109" i="25"/>
  <c r="V108" i="25"/>
  <c r="V107" i="25"/>
  <c r="V106" i="25"/>
  <c r="V105" i="25"/>
  <c r="V104" i="25"/>
  <c r="V103" i="25"/>
  <c r="V101" i="25"/>
  <c r="V100" i="25"/>
  <c r="V99" i="25"/>
  <c r="V98" i="25"/>
  <c r="V97" i="25"/>
  <c r="V96" i="25"/>
  <c r="V95" i="25"/>
  <c r="V94" i="25"/>
  <c r="V93" i="25"/>
  <c r="V92" i="25"/>
  <c r="V91" i="25"/>
  <c r="V90" i="25"/>
  <c r="V89" i="25"/>
  <c r="V88" i="25"/>
  <c r="V87" i="25"/>
  <c r="V86" i="25"/>
  <c r="V85" i="25"/>
  <c r="V84" i="25"/>
  <c r="V83" i="25"/>
  <c r="V82" i="25"/>
  <c r="V81" i="25"/>
  <c r="V80" i="25"/>
  <c r="V79" i="25"/>
  <c r="V78" i="25"/>
  <c r="V77" i="25"/>
  <c r="V76" i="25"/>
  <c r="V75" i="25"/>
  <c r="V74" i="25"/>
  <c r="V73" i="25"/>
  <c r="V72" i="25"/>
  <c r="V71" i="25"/>
  <c r="V69" i="25"/>
  <c r="V68" i="25"/>
  <c r="V67" i="25"/>
  <c r="V66" i="25"/>
  <c r="V65" i="25"/>
  <c r="V64" i="25"/>
  <c r="V63" i="25"/>
  <c r="V62" i="25"/>
  <c r="V59" i="25"/>
  <c r="V58" i="25"/>
  <c r="V57" i="25"/>
  <c r="V56" i="25"/>
  <c r="V55" i="25"/>
  <c r="V54" i="25"/>
  <c r="V53" i="25"/>
  <c r="V52" i="25"/>
  <c r="V51" i="25"/>
  <c r="V50" i="25"/>
  <c r="V49" i="25"/>
  <c r="V48" i="25"/>
  <c r="V47" i="25"/>
  <c r="V46" i="25"/>
  <c r="V45" i="25"/>
  <c r="V44" i="25"/>
  <c r="V43" i="25"/>
  <c r="V42" i="25"/>
  <c r="V41" i="25"/>
  <c r="V40" i="25"/>
  <c r="V39" i="25"/>
  <c r="V38" i="25"/>
  <c r="V37" i="25"/>
  <c r="V36" i="25"/>
  <c r="V35" i="25"/>
  <c r="V34" i="25"/>
  <c r="V33" i="25"/>
  <c r="V32" i="25"/>
  <c r="V31" i="25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886" i="26"/>
  <c r="V885" i="26"/>
  <c r="V884" i="26"/>
  <c r="V875" i="26"/>
  <c r="V874" i="26"/>
  <c r="V873" i="26"/>
  <c r="V872" i="26"/>
  <c r="V871" i="26"/>
  <c r="V870" i="26"/>
  <c r="V869" i="26"/>
  <c r="V868" i="26"/>
  <c r="V867" i="26"/>
  <c r="V866" i="26"/>
  <c r="V865" i="26"/>
  <c r="V864" i="26"/>
  <c r="V863" i="26"/>
  <c r="V862" i="26"/>
  <c r="V861" i="26"/>
  <c r="V860" i="26"/>
  <c r="V859" i="26"/>
  <c r="V858" i="26"/>
  <c r="V848" i="26"/>
  <c r="V847" i="26"/>
  <c r="V846" i="26"/>
  <c r="V845" i="26"/>
  <c r="V844" i="26"/>
  <c r="V843" i="26"/>
  <c r="V842" i="26"/>
  <c r="V841" i="26"/>
  <c r="V840" i="26"/>
  <c r="V839" i="26"/>
  <c r="V838" i="26"/>
  <c r="V837" i="26"/>
  <c r="V836" i="26"/>
  <c r="V835" i="26"/>
  <c r="V834" i="26"/>
  <c r="V833" i="26"/>
  <c r="V832" i="26"/>
  <c r="V608" i="26"/>
  <c r="V604" i="26"/>
  <c r="V580" i="26"/>
  <c r="V579" i="26"/>
  <c r="V578" i="26"/>
  <c r="V577" i="26"/>
  <c r="V576" i="26"/>
  <c r="V575" i="26"/>
  <c r="V574" i="26"/>
  <c r="V573" i="26"/>
  <c r="V572" i="26"/>
  <c r="V571" i="26"/>
  <c r="V570" i="26"/>
  <c r="V569" i="26"/>
  <c r="V568" i="26"/>
  <c r="V567" i="26"/>
  <c r="V566" i="26"/>
  <c r="V416" i="26"/>
  <c r="V415" i="26"/>
  <c r="V382" i="26"/>
  <c r="V381" i="26"/>
  <c r="V380" i="26"/>
  <c r="V379" i="26"/>
  <c r="V378" i="26"/>
  <c r="V377" i="26"/>
  <c r="V376" i="26"/>
  <c r="V375" i="26"/>
  <c r="V374" i="26"/>
  <c r="V373" i="26"/>
  <c r="V372" i="26"/>
  <c r="V371" i="26"/>
  <c r="V370" i="26"/>
  <c r="V369" i="26"/>
  <c r="V368" i="26"/>
  <c r="V367" i="26"/>
  <c r="V366" i="26"/>
  <c r="V365" i="26"/>
  <c r="V364" i="26"/>
  <c r="V363" i="26"/>
  <c r="V362" i="26"/>
  <c r="V361" i="26"/>
  <c r="V360" i="26"/>
  <c r="V359" i="26"/>
  <c r="V358" i="26"/>
  <c r="V357" i="26"/>
  <c r="V356" i="26"/>
  <c r="V355" i="26"/>
  <c r="V354" i="26"/>
  <c r="V353" i="26"/>
  <c r="V352" i="26"/>
  <c r="V351" i="26"/>
  <c r="V350" i="26"/>
  <c r="V349" i="26"/>
  <c r="V348" i="26"/>
  <c r="V347" i="26"/>
  <c r="V346" i="26"/>
  <c r="V343" i="26"/>
  <c r="V342" i="26"/>
  <c r="V341" i="26"/>
  <c r="V340" i="26"/>
  <c r="V339" i="26"/>
  <c r="V338" i="26"/>
  <c r="V337" i="26"/>
  <c r="V336" i="26"/>
  <c r="V335" i="26"/>
  <c r="V334" i="26"/>
  <c r="V333" i="26"/>
  <c r="V332" i="26"/>
  <c r="V331" i="26"/>
  <c r="V326" i="26"/>
  <c r="V325" i="26"/>
  <c r="V324" i="26"/>
  <c r="V323" i="26"/>
  <c r="V321" i="26"/>
  <c r="V320" i="26"/>
  <c r="V319" i="26"/>
  <c r="V318" i="26"/>
  <c r="V317" i="26"/>
  <c r="V316" i="26"/>
  <c r="V315" i="26"/>
  <c r="V314" i="26"/>
  <c r="V313" i="26"/>
  <c r="V312" i="26"/>
  <c r="V311" i="26"/>
  <c r="V310" i="26"/>
  <c r="V309" i="26"/>
  <c r="V308" i="26"/>
  <c r="V307" i="26"/>
  <c r="V306" i="26"/>
  <c r="V305" i="26"/>
  <c r="V304" i="26"/>
  <c r="V303" i="26"/>
  <c r="V302" i="26"/>
  <c r="V301" i="26"/>
  <c r="V300" i="26"/>
  <c r="V299" i="26"/>
  <c r="V298" i="26"/>
  <c r="V297" i="26"/>
  <c r="V296" i="26"/>
  <c r="V295" i="26"/>
  <c r="V294" i="26"/>
  <c r="V293" i="26"/>
  <c r="V292" i="26"/>
  <c r="V291" i="26"/>
  <c r="V290" i="26"/>
  <c r="V289" i="26"/>
  <c r="V288" i="26"/>
  <c r="V287" i="26"/>
  <c r="V286" i="26"/>
  <c r="V284" i="26"/>
  <c r="V283" i="26"/>
  <c r="V270" i="26"/>
  <c r="V269" i="26"/>
  <c r="V268" i="26"/>
  <c r="V267" i="26"/>
  <c r="V266" i="26"/>
  <c r="V265" i="26"/>
  <c r="V264" i="26"/>
  <c r="V263" i="26"/>
  <c r="V262" i="26"/>
  <c r="V261" i="26"/>
  <c r="V260" i="26"/>
  <c r="V259" i="26"/>
  <c r="V258" i="26"/>
  <c r="V257" i="26"/>
  <c r="V256" i="26"/>
  <c r="V255" i="26"/>
  <c r="V254" i="26"/>
  <c r="V253" i="26"/>
  <c r="V252" i="26"/>
  <c r="V251" i="26"/>
  <c r="V250" i="26"/>
  <c r="V249" i="26"/>
  <c r="V248" i="26"/>
  <c r="V247" i="26"/>
  <c r="V246" i="26"/>
  <c r="V245" i="26"/>
  <c r="V244" i="26"/>
  <c r="V243" i="26"/>
  <c r="V242" i="26"/>
  <c r="V241" i="26"/>
  <c r="V240" i="26"/>
  <c r="V239" i="26"/>
  <c r="V238" i="26"/>
  <c r="V237" i="26"/>
  <c r="V236" i="26"/>
  <c r="V235" i="26"/>
  <c r="V234" i="26"/>
  <c r="V233" i="26"/>
  <c r="V232" i="26"/>
  <c r="V231" i="26"/>
  <c r="V230" i="26"/>
  <c r="V229" i="26"/>
  <c r="V228" i="26"/>
  <c r="V227" i="26"/>
  <c r="V226" i="26"/>
  <c r="V225" i="26"/>
  <c r="V224" i="26"/>
  <c r="V223" i="26"/>
  <c r="V222" i="26"/>
  <c r="V221" i="26"/>
  <c r="V220" i="26"/>
  <c r="V219" i="26"/>
  <c r="V198" i="26"/>
  <c r="V197" i="26"/>
  <c r="V196" i="26"/>
  <c r="V195" i="26"/>
  <c r="V190" i="26"/>
  <c r="V189" i="26"/>
  <c r="V188" i="26"/>
  <c r="V187" i="26"/>
  <c r="V186" i="26"/>
  <c r="V185" i="26"/>
  <c r="V184" i="26"/>
  <c r="V178" i="26"/>
  <c r="V175" i="26"/>
  <c r="V174" i="26"/>
  <c r="V173" i="26"/>
  <c r="V172" i="26"/>
  <c r="V171" i="26"/>
  <c r="V170" i="26"/>
  <c r="V169" i="26"/>
  <c r="V168" i="26"/>
  <c r="V167" i="26"/>
  <c r="V166" i="26"/>
  <c r="V165" i="26"/>
  <c r="V164" i="26"/>
  <c r="V163" i="26"/>
  <c r="V162" i="26"/>
  <c r="V161" i="26"/>
  <c r="V159" i="26"/>
  <c r="V158" i="26"/>
  <c r="V157" i="26"/>
  <c r="V156" i="26"/>
  <c r="V155" i="26"/>
  <c r="V154" i="26"/>
  <c r="V153" i="26"/>
  <c r="V152" i="26"/>
  <c r="V151" i="26"/>
  <c r="V150" i="26"/>
  <c r="V149" i="26"/>
  <c r="V148" i="26"/>
  <c r="V147" i="26"/>
  <c r="V146" i="26"/>
  <c r="V145" i="26"/>
  <c r="V144" i="26"/>
  <c r="V143" i="26"/>
  <c r="V142" i="26"/>
  <c r="V141" i="26"/>
  <c r="V140" i="26"/>
  <c r="V139" i="26"/>
  <c r="V138" i="26"/>
  <c r="V137" i="26"/>
  <c r="V136" i="26"/>
  <c r="V135" i="26"/>
  <c r="V134" i="26"/>
  <c r="V133" i="26"/>
  <c r="V132" i="26"/>
  <c r="V131" i="26"/>
  <c r="V130" i="26"/>
  <c r="V129" i="26"/>
  <c r="V128" i="26"/>
  <c r="V127" i="26"/>
  <c r="V126" i="26"/>
  <c r="V125" i="26"/>
  <c r="V124" i="26"/>
  <c r="V123" i="26"/>
  <c r="V122" i="26"/>
  <c r="V119" i="26"/>
  <c r="V118" i="26"/>
  <c r="V116" i="26"/>
  <c r="V114" i="26"/>
  <c r="V112" i="26"/>
  <c r="V111" i="26"/>
  <c r="V110" i="26"/>
  <c r="V109" i="26"/>
  <c r="V108" i="26"/>
  <c r="V107" i="26"/>
  <c r="V106" i="26"/>
  <c r="V105" i="26"/>
  <c r="V104" i="26"/>
  <c r="V103" i="26"/>
  <c r="V101" i="26"/>
  <c r="V100" i="26"/>
  <c r="V99" i="26"/>
  <c r="V98" i="26"/>
  <c r="V97" i="26"/>
  <c r="V96" i="26"/>
  <c r="V95" i="26"/>
  <c r="V94" i="26"/>
  <c r="V93" i="26"/>
  <c r="V92" i="26"/>
  <c r="V91" i="26"/>
  <c r="V90" i="26"/>
  <c r="V89" i="26"/>
  <c r="V88" i="26"/>
  <c r="V87" i="26"/>
  <c r="V86" i="26"/>
  <c r="V85" i="26"/>
  <c r="V84" i="26"/>
  <c r="V83" i="26"/>
  <c r="V82" i="26"/>
  <c r="V81" i="26"/>
  <c r="V80" i="26"/>
  <c r="V79" i="26"/>
  <c r="V78" i="26"/>
  <c r="V77" i="26"/>
  <c r="V76" i="26"/>
  <c r="V75" i="26"/>
  <c r="V74" i="26"/>
  <c r="V73" i="26"/>
  <c r="V72" i="26"/>
  <c r="V71" i="26"/>
  <c r="V69" i="26"/>
  <c r="V68" i="26"/>
  <c r="V67" i="26"/>
  <c r="V66" i="26"/>
  <c r="V65" i="26"/>
  <c r="V64" i="26"/>
  <c r="V63" i="26"/>
  <c r="V62" i="26"/>
  <c r="V59" i="26"/>
  <c r="V58" i="26"/>
  <c r="V57" i="26"/>
  <c r="V56" i="26"/>
  <c r="V55" i="26"/>
  <c r="V54" i="26"/>
  <c r="V53" i="26"/>
  <c r="V52" i="26"/>
  <c r="V51" i="26"/>
  <c r="V50" i="26"/>
  <c r="V49" i="26"/>
  <c r="V48" i="26"/>
  <c r="V47" i="26"/>
  <c r="V46" i="26"/>
  <c r="V45" i="26"/>
  <c r="V44" i="26"/>
  <c r="V43" i="26"/>
  <c r="V42" i="26"/>
  <c r="V41" i="26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AV570" i="1"/>
  <c r="AV887" i="1"/>
  <c r="AV884" i="1"/>
  <c r="AV867" i="1"/>
  <c r="AV866" i="1"/>
  <c r="AV865" i="1"/>
  <c r="AV864" i="1"/>
  <c r="AV863" i="1"/>
  <c r="AV862" i="1"/>
  <c r="AV861" i="1"/>
  <c r="AV860" i="1"/>
  <c r="AV859" i="1"/>
  <c r="AV858" i="1"/>
  <c r="AV846" i="1"/>
  <c r="AV841" i="1"/>
  <c r="AV840" i="1"/>
  <c r="AV839" i="1"/>
  <c r="AV838" i="1"/>
  <c r="AV837" i="1"/>
  <c r="AV834" i="1"/>
  <c r="AV833" i="1"/>
  <c r="AV832" i="1"/>
  <c r="AV608" i="1"/>
  <c r="AV604" i="1"/>
  <c r="AV579" i="1"/>
  <c r="AV575" i="1"/>
  <c r="AV574" i="1"/>
  <c r="AV573" i="1"/>
  <c r="AV415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3" i="1"/>
  <c r="AV342" i="1"/>
  <c r="AV341" i="1"/>
  <c r="AV340" i="1"/>
  <c r="AV339" i="1"/>
  <c r="AV338" i="1"/>
  <c r="AV336" i="1"/>
  <c r="AV335" i="1"/>
  <c r="AV334" i="1"/>
  <c r="AV333" i="1"/>
  <c r="AV332" i="1"/>
  <c r="AV331" i="1"/>
  <c r="AV326" i="1"/>
  <c r="AV325" i="1"/>
  <c r="AV324" i="1"/>
  <c r="AV323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2" i="1"/>
  <c r="AV291" i="1"/>
  <c r="AV283" i="1"/>
  <c r="AV256" i="1"/>
  <c r="AV255" i="1"/>
  <c r="AV254" i="1"/>
  <c r="AV253" i="1"/>
  <c r="AV250" i="1"/>
  <c r="AV249" i="1"/>
  <c r="AV248" i="1"/>
  <c r="AV247" i="1"/>
  <c r="AV246" i="1"/>
  <c r="AV245" i="1"/>
  <c r="AV240" i="1"/>
  <c r="AV239" i="1"/>
  <c r="AV236" i="1"/>
  <c r="AV231" i="1"/>
  <c r="AV230" i="1"/>
  <c r="AV229" i="1"/>
  <c r="AV223" i="1"/>
  <c r="AV221" i="1"/>
  <c r="AV196" i="1"/>
  <c r="AV189" i="1"/>
  <c r="AV188" i="1"/>
  <c r="AV185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59" i="1"/>
  <c r="AV158" i="1"/>
  <c r="AV157" i="1"/>
  <c r="AV156" i="1"/>
  <c r="AV155" i="1"/>
  <c r="AV154" i="1"/>
  <c r="AV153" i="1"/>
  <c r="AV152" i="1"/>
  <c r="AV149" i="1"/>
  <c r="AV148" i="1"/>
  <c r="AV147" i="1"/>
  <c r="AV145" i="1"/>
  <c r="AV144" i="1"/>
  <c r="AV141" i="1"/>
  <c r="AV138" i="1"/>
  <c r="AV137" i="1"/>
  <c r="AV136" i="1"/>
  <c r="AV134" i="1"/>
  <c r="AV131" i="1"/>
  <c r="AV129" i="1"/>
  <c r="AV126" i="1"/>
  <c r="AV124" i="1"/>
  <c r="AV123" i="1"/>
  <c r="AV119" i="1"/>
  <c r="AV112" i="1"/>
  <c r="AV111" i="1"/>
  <c r="AV110" i="1"/>
  <c r="AV109" i="1"/>
  <c r="AV108" i="1"/>
  <c r="AV107" i="1"/>
  <c r="AV106" i="1"/>
  <c r="AV105" i="1"/>
  <c r="AV104" i="1"/>
  <c r="AV103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23" i="1"/>
  <c r="AV21" i="1"/>
  <c r="AV18" i="1"/>
  <c r="T116" i="27"/>
  <c r="T116" i="26"/>
  <c r="T116" i="25"/>
  <c r="AV886" i="1"/>
  <c r="AV885" i="1"/>
  <c r="AV875" i="1"/>
  <c r="AV874" i="1"/>
  <c r="AV873" i="1"/>
  <c r="AV872" i="1"/>
  <c r="AV871" i="1"/>
  <c r="AV870" i="1"/>
  <c r="AV869" i="1"/>
  <c r="AV868" i="1"/>
  <c r="AV848" i="1"/>
  <c r="AV847" i="1"/>
  <c r="AV845" i="1"/>
  <c r="AV844" i="1"/>
  <c r="AV843" i="1"/>
  <c r="AV842" i="1"/>
  <c r="AV836" i="1"/>
  <c r="AV835" i="1"/>
  <c r="AV580" i="1"/>
  <c r="AV578" i="1"/>
  <c r="AV577" i="1"/>
  <c r="AV576" i="1"/>
  <c r="AV572" i="1"/>
  <c r="AV571" i="1"/>
  <c r="AV569" i="1"/>
  <c r="AV568" i="1"/>
  <c r="AV567" i="1"/>
  <c r="AV566" i="1"/>
  <c r="AV416" i="1"/>
  <c r="AV382" i="1"/>
  <c r="AV381" i="1"/>
  <c r="AV380" i="1"/>
  <c r="AV367" i="1"/>
  <c r="AV366" i="1"/>
  <c r="AV365" i="1"/>
  <c r="AV364" i="1"/>
  <c r="AV337" i="1"/>
  <c r="AV284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2" i="1"/>
  <c r="AV251" i="1"/>
  <c r="AV244" i="1"/>
  <c r="AV243" i="1"/>
  <c r="AV242" i="1"/>
  <c r="AV241" i="1"/>
  <c r="AV238" i="1"/>
  <c r="AV237" i="1"/>
  <c r="AV235" i="1"/>
  <c r="AV234" i="1"/>
  <c r="AV233" i="1"/>
  <c r="AV232" i="1"/>
  <c r="AV228" i="1"/>
  <c r="AV227" i="1"/>
  <c r="AV226" i="1"/>
  <c r="AV225" i="1"/>
  <c r="AV224" i="1"/>
  <c r="AV222" i="1"/>
  <c r="AV220" i="1"/>
  <c r="AV197" i="1"/>
  <c r="AV195" i="1"/>
  <c r="AV190" i="1"/>
  <c r="AV187" i="1"/>
  <c r="AV186" i="1"/>
  <c r="AV184" i="1"/>
  <c r="AV175" i="1"/>
  <c r="AV174" i="1"/>
  <c r="AV173" i="1"/>
  <c r="AV151" i="1"/>
  <c r="AV150" i="1"/>
  <c r="AV146" i="1"/>
  <c r="AV143" i="1"/>
  <c r="AV142" i="1"/>
  <c r="AV140" i="1"/>
  <c r="AV139" i="1"/>
  <c r="AV135" i="1"/>
  <c r="AV133" i="1"/>
  <c r="AV132" i="1"/>
  <c r="AV130" i="1"/>
  <c r="AV128" i="1"/>
  <c r="AV127" i="1"/>
  <c r="AV125" i="1"/>
  <c r="AV122" i="1"/>
  <c r="AV118" i="1"/>
  <c r="AV116" i="1"/>
  <c r="AV114" i="1"/>
  <c r="AV101" i="1"/>
  <c r="AV100" i="1"/>
  <c r="AV98" i="1"/>
  <c r="AV97" i="1"/>
  <c r="AV96" i="1"/>
  <c r="AV95" i="1"/>
  <c r="AV94" i="1"/>
  <c r="AV69" i="1"/>
  <c r="AV68" i="1"/>
  <c r="AV67" i="1"/>
  <c r="AV66" i="1"/>
  <c r="AV65" i="1"/>
  <c r="AV64" i="1"/>
  <c r="AV63" i="1"/>
  <c r="AV62" i="1"/>
  <c r="AV59" i="1"/>
  <c r="AV58" i="1"/>
  <c r="AV57" i="1"/>
  <c r="AV56" i="1"/>
  <c r="AV55" i="1"/>
  <c r="AV54" i="1"/>
  <c r="AH409" i="1"/>
  <c r="AG409" i="1"/>
  <c r="AH408" i="1"/>
  <c r="AG408" i="1"/>
  <c r="Y409" i="1"/>
  <c r="X409" i="1"/>
  <c r="W409" i="1"/>
  <c r="V409" i="1"/>
  <c r="T409" i="1"/>
  <c r="S409" i="1"/>
  <c r="N409" i="1"/>
  <c r="Y407" i="1"/>
  <c r="X407" i="1"/>
  <c r="W407" i="1"/>
  <c r="V407" i="1"/>
  <c r="T407" i="1"/>
  <c r="S407" i="1"/>
  <c r="N407" i="1"/>
  <c r="Y406" i="1"/>
  <c r="X406" i="1"/>
  <c r="W406" i="1"/>
  <c r="V406" i="1"/>
  <c r="T406" i="1"/>
  <c r="S406" i="1"/>
  <c r="N406" i="1"/>
  <c r="Y405" i="1"/>
  <c r="X405" i="1"/>
  <c r="W405" i="1"/>
  <c r="V405" i="1"/>
  <c r="T405" i="1"/>
  <c r="S405" i="1"/>
  <c r="N405" i="1"/>
  <c r="Y404" i="1"/>
  <c r="X404" i="1"/>
  <c r="W404" i="1"/>
  <c r="V404" i="1"/>
  <c r="T404" i="1"/>
  <c r="S404" i="1"/>
  <c r="N404" i="1"/>
  <c r="Y403" i="1"/>
  <c r="X403" i="1"/>
  <c r="W403" i="1"/>
  <c r="V403" i="1"/>
  <c r="T403" i="1"/>
  <c r="S403" i="1"/>
  <c r="N403" i="1"/>
  <c r="Y402" i="1"/>
  <c r="X402" i="1"/>
  <c r="W402" i="1"/>
  <c r="V402" i="1"/>
  <c r="T402" i="1"/>
  <c r="S402" i="1"/>
  <c r="N402" i="1"/>
  <c r="AH100" i="1"/>
  <c r="AH99" i="1"/>
  <c r="Z101" i="1"/>
  <c r="Y101" i="1"/>
  <c r="X101" i="1"/>
  <c r="W101" i="1"/>
  <c r="V101" i="1"/>
  <c r="T101" i="1"/>
  <c r="Z100" i="1"/>
  <c r="Y100" i="1"/>
  <c r="X100" i="1"/>
  <c r="W100" i="1"/>
  <c r="V100" i="1"/>
  <c r="T100" i="1"/>
  <c r="Z98" i="1"/>
  <c r="Y98" i="1"/>
  <c r="X98" i="1"/>
  <c r="W98" i="1"/>
  <c r="V98" i="1"/>
  <c r="T98" i="1"/>
  <c r="Z97" i="1"/>
  <c r="Y97" i="1"/>
  <c r="X97" i="1"/>
  <c r="W97" i="1"/>
  <c r="V97" i="1"/>
  <c r="T97" i="1"/>
  <c r="Z96" i="1"/>
  <c r="Y96" i="1"/>
  <c r="X96" i="1"/>
  <c r="W96" i="1"/>
  <c r="V96" i="1"/>
  <c r="T96" i="1"/>
  <c r="Z95" i="1"/>
  <c r="Y95" i="1"/>
  <c r="X95" i="1"/>
  <c r="W95" i="1"/>
  <c r="V95" i="1"/>
  <c r="T95" i="1"/>
  <c r="Z94" i="1"/>
  <c r="Y94" i="1"/>
  <c r="X94" i="1"/>
  <c r="W94" i="1"/>
  <c r="V94" i="1"/>
  <c r="T94" i="1"/>
  <c r="W887" i="1"/>
  <c r="V887" i="1"/>
  <c r="W886" i="1"/>
  <c r="V886" i="1"/>
  <c r="W885" i="1"/>
  <c r="V885" i="1"/>
  <c r="W884" i="1"/>
  <c r="V884" i="1"/>
  <c r="W883" i="1"/>
  <c r="V883" i="1"/>
  <c r="W882" i="1"/>
  <c r="V882" i="1"/>
  <c r="W881" i="1"/>
  <c r="V881" i="1"/>
  <c r="W880" i="1"/>
  <c r="V880" i="1"/>
  <c r="W879" i="1"/>
  <c r="V879" i="1"/>
  <c r="W878" i="1"/>
  <c r="AR878" i="1" s="1"/>
  <c r="V878" i="1"/>
  <c r="W877" i="1"/>
  <c r="V877" i="1"/>
  <c r="W876" i="1"/>
  <c r="AR876" i="1" s="1"/>
  <c r="V876" i="1"/>
  <c r="W875" i="1"/>
  <c r="V875" i="1"/>
  <c r="W874" i="1"/>
  <c r="V874" i="1"/>
  <c r="W873" i="1"/>
  <c r="V873" i="1"/>
  <c r="W872" i="1"/>
  <c r="V872" i="1"/>
  <c r="W871" i="1"/>
  <c r="V871" i="1"/>
  <c r="W870" i="1"/>
  <c r="V870" i="1"/>
  <c r="W869" i="1"/>
  <c r="V869" i="1"/>
  <c r="W868" i="1"/>
  <c r="V868" i="1"/>
  <c r="W867" i="1"/>
  <c r="V867" i="1"/>
  <c r="W866" i="1"/>
  <c r="V866" i="1"/>
  <c r="W865" i="1"/>
  <c r="V865" i="1"/>
  <c r="W864" i="1"/>
  <c r="V864" i="1"/>
  <c r="W863" i="1"/>
  <c r="V863" i="1"/>
  <c r="W862" i="1"/>
  <c r="V862" i="1"/>
  <c r="W861" i="1"/>
  <c r="V861" i="1"/>
  <c r="W860" i="1"/>
  <c r="V860" i="1"/>
  <c r="W859" i="1"/>
  <c r="V859" i="1"/>
  <c r="W858" i="1"/>
  <c r="V858" i="1"/>
  <c r="W857" i="1"/>
  <c r="V857" i="1"/>
  <c r="W856" i="1"/>
  <c r="V856" i="1"/>
  <c r="W855" i="1"/>
  <c r="V855" i="1"/>
  <c r="W854" i="1"/>
  <c r="V854" i="1"/>
  <c r="W853" i="1"/>
  <c r="V853" i="1"/>
  <c r="W852" i="1"/>
  <c r="AR852" i="1" s="1"/>
  <c r="V852" i="1"/>
  <c r="W851" i="1"/>
  <c r="V851" i="1"/>
  <c r="W850" i="1"/>
  <c r="V850" i="1"/>
  <c r="W849" i="1"/>
  <c r="V849" i="1"/>
  <c r="W848" i="1"/>
  <c r="V848" i="1"/>
  <c r="W847" i="1"/>
  <c r="V847" i="1"/>
  <c r="W846" i="1"/>
  <c r="V846" i="1"/>
  <c r="W845" i="1"/>
  <c r="V845" i="1"/>
  <c r="W844" i="1"/>
  <c r="V844" i="1"/>
  <c r="W843" i="1"/>
  <c r="V843" i="1"/>
  <c r="W842" i="1"/>
  <c r="V842" i="1"/>
  <c r="W841" i="1"/>
  <c r="V841" i="1"/>
  <c r="W840" i="1"/>
  <c r="V840" i="1"/>
  <c r="W839" i="1"/>
  <c r="V839" i="1"/>
  <c r="W838" i="1"/>
  <c r="V838" i="1"/>
  <c r="W837" i="1"/>
  <c r="V837" i="1"/>
  <c r="W836" i="1"/>
  <c r="V836" i="1"/>
  <c r="W835" i="1"/>
  <c r="V835" i="1"/>
  <c r="W834" i="1"/>
  <c r="V834" i="1"/>
  <c r="W833" i="1"/>
  <c r="V833" i="1"/>
  <c r="W832" i="1"/>
  <c r="V832" i="1"/>
  <c r="W828" i="1"/>
  <c r="V828" i="1"/>
  <c r="W827" i="1"/>
  <c r="V827" i="1"/>
  <c r="W826" i="1"/>
  <c r="V826" i="1"/>
  <c r="W825" i="1"/>
  <c r="V825" i="1"/>
  <c r="W824" i="1"/>
  <c r="V824" i="1"/>
  <c r="W823" i="1"/>
  <c r="V823" i="1"/>
  <c r="W822" i="1"/>
  <c r="V822" i="1"/>
  <c r="W821" i="1"/>
  <c r="V821" i="1"/>
  <c r="W820" i="1"/>
  <c r="V820" i="1"/>
  <c r="W819" i="1"/>
  <c r="V819" i="1"/>
  <c r="W818" i="1"/>
  <c r="V818" i="1"/>
  <c r="W817" i="1"/>
  <c r="V817" i="1"/>
  <c r="W816" i="1"/>
  <c r="V816" i="1"/>
  <c r="W815" i="1"/>
  <c r="V815" i="1"/>
  <c r="W814" i="1"/>
  <c r="V814" i="1"/>
  <c r="W813" i="1"/>
  <c r="V813" i="1"/>
  <c r="W812" i="1"/>
  <c r="V812" i="1"/>
  <c r="W811" i="1"/>
  <c r="V811" i="1"/>
  <c r="W810" i="1"/>
  <c r="V810" i="1"/>
  <c r="W809" i="1"/>
  <c r="AR809" i="1" s="1"/>
  <c r="V809" i="1"/>
  <c r="W808" i="1"/>
  <c r="V808" i="1"/>
  <c r="W807" i="1"/>
  <c r="V807" i="1"/>
  <c r="W806" i="1"/>
  <c r="V806" i="1"/>
  <c r="W805" i="1"/>
  <c r="V805" i="1"/>
  <c r="W804" i="1"/>
  <c r="V804" i="1"/>
  <c r="W803" i="1"/>
  <c r="V803" i="1"/>
  <c r="W802" i="1"/>
  <c r="V802" i="1"/>
  <c r="W801" i="1"/>
  <c r="V801" i="1"/>
  <c r="W800" i="1"/>
  <c r="V800" i="1"/>
  <c r="W799" i="1"/>
  <c r="V799" i="1"/>
  <c r="W798" i="1"/>
  <c r="V798" i="1"/>
  <c r="W797" i="1"/>
  <c r="V797" i="1"/>
  <c r="W796" i="1"/>
  <c r="V796" i="1"/>
  <c r="W795" i="1"/>
  <c r="V795" i="1"/>
  <c r="W794" i="1"/>
  <c r="V794" i="1"/>
  <c r="W793" i="1"/>
  <c r="V793" i="1"/>
  <c r="W792" i="1"/>
  <c r="V792" i="1"/>
  <c r="W791" i="1"/>
  <c r="V791" i="1"/>
  <c r="W790" i="1"/>
  <c r="V790" i="1"/>
  <c r="W789" i="1"/>
  <c r="V789" i="1"/>
  <c r="W788" i="1"/>
  <c r="V788" i="1"/>
  <c r="W787" i="1"/>
  <c r="V787" i="1"/>
  <c r="W786" i="1"/>
  <c r="V786" i="1"/>
  <c r="W785" i="1"/>
  <c r="V785" i="1"/>
  <c r="W784" i="1"/>
  <c r="V784" i="1"/>
  <c r="W783" i="1"/>
  <c r="V783" i="1"/>
  <c r="W782" i="1"/>
  <c r="V782" i="1"/>
  <c r="W781" i="1"/>
  <c r="V781" i="1"/>
  <c r="W780" i="1"/>
  <c r="V780" i="1"/>
  <c r="W779" i="1"/>
  <c r="V779" i="1"/>
  <c r="W778" i="1"/>
  <c r="V778" i="1"/>
  <c r="W777" i="1"/>
  <c r="V777" i="1"/>
  <c r="W776" i="1"/>
  <c r="V776" i="1"/>
  <c r="W775" i="1"/>
  <c r="V775" i="1"/>
  <c r="W774" i="1"/>
  <c r="V774" i="1"/>
  <c r="W773" i="1"/>
  <c r="AR773" i="1" s="1"/>
  <c r="V773" i="1"/>
  <c r="W772" i="1"/>
  <c r="V772" i="1"/>
  <c r="W771" i="1"/>
  <c r="V771" i="1"/>
  <c r="W770" i="1"/>
  <c r="V770" i="1"/>
  <c r="W769" i="1"/>
  <c r="V769" i="1"/>
  <c r="W768" i="1"/>
  <c r="V768" i="1"/>
  <c r="W767" i="1"/>
  <c r="V767" i="1"/>
  <c r="W766" i="1"/>
  <c r="V766" i="1"/>
  <c r="W765" i="1"/>
  <c r="V765" i="1"/>
  <c r="W764" i="1"/>
  <c r="V764" i="1"/>
  <c r="W763" i="1"/>
  <c r="V763" i="1"/>
  <c r="W762" i="1"/>
  <c r="V762" i="1"/>
  <c r="W761" i="1"/>
  <c r="V761" i="1"/>
  <c r="W760" i="1"/>
  <c r="V760" i="1"/>
  <c r="W759" i="1"/>
  <c r="V759" i="1"/>
  <c r="W758" i="1"/>
  <c r="V758" i="1"/>
  <c r="W757" i="1"/>
  <c r="AR757" i="1" s="1"/>
  <c r="V757" i="1"/>
  <c r="W756" i="1"/>
  <c r="V756" i="1"/>
  <c r="W755" i="1"/>
  <c r="AR755" i="1" s="1"/>
  <c r="V755" i="1"/>
  <c r="W754" i="1"/>
  <c r="V754" i="1"/>
  <c r="W753" i="1"/>
  <c r="AR753" i="1" s="1"/>
  <c r="V753" i="1"/>
  <c r="W752" i="1"/>
  <c r="V752" i="1"/>
  <c r="W751" i="1"/>
  <c r="AR751" i="1" s="1"/>
  <c r="V751" i="1"/>
  <c r="W750" i="1"/>
  <c r="V750" i="1"/>
  <c r="W749" i="1"/>
  <c r="V749" i="1"/>
  <c r="W748" i="1"/>
  <c r="V748" i="1"/>
  <c r="W747" i="1"/>
  <c r="V747" i="1"/>
  <c r="W746" i="1"/>
  <c r="V746" i="1"/>
  <c r="W745" i="1"/>
  <c r="V745" i="1"/>
  <c r="W744" i="1"/>
  <c r="V744" i="1"/>
  <c r="W743" i="1"/>
  <c r="V743" i="1"/>
  <c r="W742" i="1"/>
  <c r="V742" i="1"/>
  <c r="W741" i="1"/>
  <c r="V741" i="1"/>
  <c r="W740" i="1"/>
  <c r="V740" i="1"/>
  <c r="W739" i="1"/>
  <c r="V739" i="1"/>
  <c r="W738" i="1"/>
  <c r="V738" i="1"/>
  <c r="W737" i="1"/>
  <c r="V737" i="1"/>
  <c r="W736" i="1"/>
  <c r="V736" i="1"/>
  <c r="W735" i="1"/>
  <c r="V735" i="1"/>
  <c r="W734" i="1"/>
  <c r="V734" i="1"/>
  <c r="W733" i="1"/>
  <c r="V733" i="1"/>
  <c r="W732" i="1"/>
  <c r="V732" i="1"/>
  <c r="W731" i="1"/>
  <c r="V731" i="1"/>
  <c r="W730" i="1"/>
  <c r="V730" i="1"/>
  <c r="W729" i="1"/>
  <c r="V729" i="1"/>
  <c r="W728" i="1"/>
  <c r="V728" i="1"/>
  <c r="W727" i="1"/>
  <c r="V727" i="1"/>
  <c r="W726" i="1"/>
  <c r="V726" i="1"/>
  <c r="W725" i="1"/>
  <c r="V725" i="1"/>
  <c r="W724" i="1"/>
  <c r="V724" i="1"/>
  <c r="W723" i="1"/>
  <c r="AR723" i="1" s="1"/>
  <c r="V723" i="1"/>
  <c r="W722" i="1"/>
  <c r="V722" i="1"/>
  <c r="W721" i="1"/>
  <c r="V721" i="1"/>
  <c r="W720" i="1"/>
  <c r="V720" i="1"/>
  <c r="W719" i="1"/>
  <c r="V719" i="1"/>
  <c r="W718" i="1"/>
  <c r="V718" i="1"/>
  <c r="W717" i="1"/>
  <c r="V717" i="1"/>
  <c r="W716" i="1"/>
  <c r="V716" i="1"/>
  <c r="W715" i="1"/>
  <c r="V715" i="1"/>
  <c r="W714" i="1"/>
  <c r="V714" i="1"/>
  <c r="W713" i="1"/>
  <c r="V713" i="1"/>
  <c r="W712" i="1"/>
  <c r="V712" i="1"/>
  <c r="W711" i="1"/>
  <c r="V711" i="1"/>
  <c r="W710" i="1"/>
  <c r="V710" i="1"/>
  <c r="W709" i="1"/>
  <c r="V709" i="1"/>
  <c r="W708" i="1"/>
  <c r="V708" i="1"/>
  <c r="W707" i="1"/>
  <c r="V707" i="1"/>
  <c r="W706" i="1"/>
  <c r="V706" i="1"/>
  <c r="W705" i="1"/>
  <c r="V705" i="1"/>
  <c r="W704" i="1"/>
  <c r="V704" i="1"/>
  <c r="W703" i="1"/>
  <c r="V703" i="1"/>
  <c r="W702" i="1"/>
  <c r="V702" i="1"/>
  <c r="W701" i="1"/>
  <c r="V701" i="1"/>
  <c r="W700" i="1"/>
  <c r="V700" i="1"/>
  <c r="W699" i="1"/>
  <c r="V699" i="1"/>
  <c r="W698" i="1"/>
  <c r="V698" i="1"/>
  <c r="W697" i="1"/>
  <c r="V697" i="1"/>
  <c r="W696" i="1"/>
  <c r="V696" i="1"/>
  <c r="W695" i="1"/>
  <c r="V695" i="1"/>
  <c r="W694" i="1"/>
  <c r="V694" i="1"/>
  <c r="W693" i="1"/>
  <c r="AR693" i="1" s="1"/>
  <c r="V693" i="1"/>
  <c r="W692" i="1"/>
  <c r="V692" i="1"/>
  <c r="W691" i="1"/>
  <c r="V691" i="1"/>
  <c r="W690" i="1"/>
  <c r="V690" i="1"/>
  <c r="W689" i="1"/>
  <c r="V689" i="1"/>
  <c r="W688" i="1"/>
  <c r="V688" i="1"/>
  <c r="W687" i="1"/>
  <c r="AR687" i="1" s="1"/>
  <c r="V687" i="1"/>
  <c r="W686" i="1"/>
  <c r="V686" i="1"/>
  <c r="W685" i="1"/>
  <c r="V685" i="1"/>
  <c r="W684" i="1"/>
  <c r="V684" i="1"/>
  <c r="W683" i="1"/>
  <c r="V683" i="1"/>
  <c r="W682" i="1"/>
  <c r="V682" i="1"/>
  <c r="W681" i="1"/>
  <c r="V681" i="1"/>
  <c r="W680" i="1"/>
  <c r="V680" i="1"/>
  <c r="W679" i="1"/>
  <c r="V679" i="1"/>
  <c r="W678" i="1"/>
  <c r="V678" i="1"/>
  <c r="W677" i="1"/>
  <c r="V677" i="1"/>
  <c r="W676" i="1"/>
  <c r="V676" i="1"/>
  <c r="W675" i="1"/>
  <c r="V675" i="1"/>
  <c r="W674" i="1"/>
  <c r="V674" i="1"/>
  <c r="W673" i="1"/>
  <c r="AR673" i="1" s="1"/>
  <c r="V673" i="1"/>
  <c r="W672" i="1"/>
  <c r="V672" i="1"/>
  <c r="W671" i="1"/>
  <c r="V671" i="1"/>
  <c r="W670" i="1"/>
  <c r="V670" i="1"/>
  <c r="W669" i="1"/>
  <c r="AR669" i="1" s="1"/>
  <c r="V669" i="1"/>
  <c r="W668" i="1"/>
  <c r="V668" i="1"/>
  <c r="W666" i="1"/>
  <c r="V666" i="1"/>
  <c r="W665" i="1"/>
  <c r="V665" i="1"/>
  <c r="W664" i="1"/>
  <c r="V664" i="1"/>
  <c r="W663" i="1"/>
  <c r="V663" i="1"/>
  <c r="W662" i="1"/>
  <c r="V662" i="1"/>
  <c r="W661" i="1"/>
  <c r="V661" i="1"/>
  <c r="W660" i="1"/>
  <c r="V660" i="1"/>
  <c r="W659" i="1"/>
  <c r="V659" i="1"/>
  <c r="W658" i="1"/>
  <c r="V658" i="1"/>
  <c r="W657" i="1"/>
  <c r="V657" i="1"/>
  <c r="W656" i="1"/>
  <c r="V656" i="1"/>
  <c r="W655" i="1"/>
  <c r="V655" i="1"/>
  <c r="W654" i="1"/>
  <c r="V654" i="1"/>
  <c r="W653" i="1"/>
  <c r="V653" i="1"/>
  <c r="W652" i="1"/>
  <c r="V652" i="1"/>
  <c r="W651" i="1"/>
  <c r="V651" i="1"/>
  <c r="W650" i="1"/>
  <c r="V650" i="1"/>
  <c r="W649" i="1"/>
  <c r="V649" i="1"/>
  <c r="W648" i="1"/>
  <c r="V648" i="1"/>
  <c r="W647" i="1"/>
  <c r="V647" i="1"/>
  <c r="W646" i="1"/>
  <c r="V646" i="1"/>
  <c r="W645" i="1"/>
  <c r="V645" i="1"/>
  <c r="W644" i="1"/>
  <c r="V644" i="1"/>
  <c r="W643" i="1"/>
  <c r="V643" i="1"/>
  <c r="W642" i="1"/>
  <c r="V642" i="1"/>
  <c r="W641" i="1"/>
  <c r="V641" i="1"/>
  <c r="W639" i="1"/>
  <c r="V639" i="1"/>
  <c r="W638" i="1"/>
  <c r="V638" i="1"/>
  <c r="W637" i="1"/>
  <c r="AR637" i="1" s="1"/>
  <c r="V637" i="1"/>
  <c r="W636" i="1"/>
  <c r="V636" i="1"/>
  <c r="W635" i="1"/>
  <c r="V635" i="1"/>
  <c r="W634" i="1"/>
  <c r="V634" i="1"/>
  <c r="W633" i="1"/>
  <c r="V633" i="1"/>
  <c r="W632" i="1"/>
  <c r="V632" i="1"/>
  <c r="W631" i="1"/>
  <c r="V631" i="1"/>
  <c r="W630" i="1"/>
  <c r="V630" i="1"/>
  <c r="W629" i="1"/>
  <c r="V629" i="1"/>
  <c r="W628" i="1"/>
  <c r="V628" i="1"/>
  <c r="W627" i="1"/>
  <c r="AR627" i="1" s="1"/>
  <c r="V627" i="1"/>
  <c r="W626" i="1"/>
  <c r="V626" i="1"/>
  <c r="W625" i="1"/>
  <c r="V625" i="1"/>
  <c r="W624" i="1"/>
  <c r="V624" i="1"/>
  <c r="W623" i="1"/>
  <c r="V623" i="1"/>
  <c r="W622" i="1"/>
  <c r="V622" i="1"/>
  <c r="W621" i="1"/>
  <c r="V621" i="1"/>
  <c r="W620" i="1"/>
  <c r="V620" i="1"/>
  <c r="W619" i="1"/>
  <c r="V619" i="1"/>
  <c r="W618" i="1"/>
  <c r="V618" i="1"/>
  <c r="W617" i="1"/>
  <c r="V617" i="1"/>
  <c r="W616" i="1"/>
  <c r="V616" i="1"/>
  <c r="W615" i="1"/>
  <c r="V615" i="1"/>
  <c r="W614" i="1"/>
  <c r="V614" i="1"/>
  <c r="W613" i="1"/>
  <c r="V613" i="1"/>
  <c r="W612" i="1"/>
  <c r="V612" i="1"/>
  <c r="W611" i="1"/>
  <c r="V611" i="1"/>
  <c r="W610" i="1"/>
  <c r="V610" i="1"/>
  <c r="W609" i="1"/>
  <c r="V609" i="1"/>
  <c r="W608" i="1"/>
  <c r="V608" i="1"/>
  <c r="W607" i="1"/>
  <c r="V607" i="1"/>
  <c r="W606" i="1"/>
  <c r="V606" i="1"/>
  <c r="W605" i="1"/>
  <c r="V605" i="1"/>
  <c r="W604" i="1"/>
  <c r="V604" i="1"/>
  <c r="W603" i="1"/>
  <c r="V603" i="1"/>
  <c r="W602" i="1"/>
  <c r="V602" i="1"/>
  <c r="W600" i="1"/>
  <c r="V600" i="1"/>
  <c r="W599" i="1"/>
  <c r="V599" i="1"/>
  <c r="W598" i="1"/>
  <c r="V598" i="1"/>
  <c r="W597" i="1"/>
  <c r="V597" i="1"/>
  <c r="W596" i="1"/>
  <c r="V596" i="1"/>
  <c r="W595" i="1"/>
  <c r="V595" i="1"/>
  <c r="W594" i="1"/>
  <c r="AR594" i="1" s="1"/>
  <c r="V594" i="1"/>
  <c r="W593" i="1"/>
  <c r="V593" i="1"/>
  <c r="W592" i="1"/>
  <c r="V592" i="1"/>
  <c r="W591" i="1"/>
  <c r="V591" i="1"/>
  <c r="W590" i="1"/>
  <c r="V590" i="1"/>
  <c r="W589" i="1"/>
  <c r="V589" i="1"/>
  <c r="W588" i="1"/>
  <c r="V588" i="1"/>
  <c r="W587" i="1"/>
  <c r="V587" i="1"/>
  <c r="W586" i="1"/>
  <c r="V586" i="1"/>
  <c r="W585" i="1"/>
  <c r="V585" i="1"/>
  <c r="W584" i="1"/>
  <c r="V584" i="1"/>
  <c r="W583" i="1"/>
  <c r="V583" i="1"/>
  <c r="W582" i="1"/>
  <c r="V582" i="1"/>
  <c r="W581" i="1"/>
  <c r="V581" i="1"/>
  <c r="W580" i="1"/>
  <c r="AR580" i="1" s="1"/>
  <c r="V580" i="1"/>
  <c r="W579" i="1"/>
  <c r="V579" i="1"/>
  <c r="W578" i="1"/>
  <c r="V578" i="1"/>
  <c r="W577" i="1"/>
  <c r="V577" i="1"/>
  <c r="W576" i="1"/>
  <c r="V576" i="1"/>
  <c r="W575" i="1"/>
  <c r="V575" i="1"/>
  <c r="W574" i="1"/>
  <c r="V574" i="1"/>
  <c r="W573" i="1"/>
  <c r="V573" i="1"/>
  <c r="W572" i="1"/>
  <c r="V572" i="1"/>
  <c r="W571" i="1"/>
  <c r="V571" i="1"/>
  <c r="W570" i="1"/>
  <c r="V570" i="1"/>
  <c r="W569" i="1"/>
  <c r="V569" i="1"/>
  <c r="W568" i="1"/>
  <c r="V568" i="1"/>
  <c r="W567" i="1"/>
  <c r="V567" i="1"/>
  <c r="W566" i="1"/>
  <c r="V566" i="1"/>
  <c r="W565" i="1"/>
  <c r="V565" i="1"/>
  <c r="W564" i="1"/>
  <c r="V564" i="1"/>
  <c r="W563" i="1"/>
  <c r="V563" i="1"/>
  <c r="W562" i="1"/>
  <c r="V562" i="1"/>
  <c r="W561" i="1"/>
  <c r="V561" i="1"/>
  <c r="W560" i="1"/>
  <c r="V560" i="1"/>
  <c r="W559" i="1"/>
  <c r="V559" i="1"/>
  <c r="W558" i="1"/>
  <c r="V558" i="1"/>
  <c r="W557" i="1"/>
  <c r="V557" i="1"/>
  <c r="W556" i="1"/>
  <c r="AR556" i="1" s="1"/>
  <c r="V556" i="1"/>
  <c r="W555" i="1"/>
  <c r="V555" i="1"/>
  <c r="W554" i="1"/>
  <c r="AR554" i="1" s="1"/>
  <c r="V554" i="1"/>
  <c r="W553" i="1"/>
  <c r="V553" i="1"/>
  <c r="W552" i="1"/>
  <c r="V552" i="1"/>
  <c r="W551" i="1"/>
  <c r="V551" i="1"/>
  <c r="W550" i="1"/>
  <c r="V550" i="1"/>
  <c r="W549" i="1"/>
  <c r="V549" i="1"/>
  <c r="W548" i="1"/>
  <c r="V548" i="1"/>
  <c r="W547" i="1"/>
  <c r="V547" i="1"/>
  <c r="W546" i="1"/>
  <c r="V546" i="1"/>
  <c r="W545" i="1"/>
  <c r="V545" i="1"/>
  <c r="W544" i="1"/>
  <c r="V544" i="1"/>
  <c r="W543" i="1"/>
  <c r="V543" i="1"/>
  <c r="W542" i="1"/>
  <c r="V542" i="1"/>
  <c r="W541" i="1"/>
  <c r="V541" i="1"/>
  <c r="W540" i="1"/>
  <c r="V540" i="1"/>
  <c r="W539" i="1"/>
  <c r="V539" i="1"/>
  <c r="W538" i="1"/>
  <c r="V538" i="1"/>
  <c r="W537" i="1"/>
  <c r="V537" i="1"/>
  <c r="W536" i="1"/>
  <c r="V536" i="1"/>
  <c r="W535" i="1"/>
  <c r="V535" i="1"/>
  <c r="W534" i="1"/>
  <c r="V534" i="1"/>
  <c r="W533" i="1"/>
  <c r="V533" i="1"/>
  <c r="W532" i="1"/>
  <c r="V532" i="1"/>
  <c r="W531" i="1"/>
  <c r="V531" i="1"/>
  <c r="W530" i="1"/>
  <c r="V530" i="1"/>
  <c r="W529" i="1"/>
  <c r="V529" i="1"/>
  <c r="W528" i="1"/>
  <c r="V528" i="1"/>
  <c r="W527" i="1"/>
  <c r="V527" i="1"/>
  <c r="W526" i="1"/>
  <c r="V526" i="1"/>
  <c r="W525" i="1"/>
  <c r="V525" i="1"/>
  <c r="W524" i="1"/>
  <c r="V524" i="1"/>
  <c r="W523" i="1"/>
  <c r="V523" i="1"/>
  <c r="W522" i="1"/>
  <c r="V522" i="1"/>
  <c r="W521" i="1"/>
  <c r="V521" i="1"/>
  <c r="W520" i="1"/>
  <c r="V520" i="1"/>
  <c r="W519" i="1"/>
  <c r="V519" i="1"/>
  <c r="W518" i="1"/>
  <c r="V518" i="1"/>
  <c r="W517" i="1"/>
  <c r="V517" i="1"/>
  <c r="W516" i="1"/>
  <c r="V516" i="1"/>
  <c r="W515" i="1"/>
  <c r="V515" i="1"/>
  <c r="W514" i="1"/>
  <c r="V514" i="1"/>
  <c r="W513" i="1"/>
  <c r="V513" i="1"/>
  <c r="W512" i="1"/>
  <c r="V512" i="1"/>
  <c r="W511" i="1"/>
  <c r="V511" i="1"/>
  <c r="W510" i="1"/>
  <c r="AR510" i="1" s="1"/>
  <c r="V510" i="1"/>
  <c r="W509" i="1"/>
  <c r="V509" i="1"/>
  <c r="W508" i="1"/>
  <c r="V508" i="1"/>
  <c r="W507" i="1"/>
  <c r="V507" i="1"/>
  <c r="W506" i="1"/>
  <c r="V506" i="1"/>
  <c r="W505" i="1"/>
  <c r="V505" i="1"/>
  <c r="W504" i="1"/>
  <c r="V504" i="1"/>
  <c r="W503" i="1"/>
  <c r="V503" i="1"/>
  <c r="W502" i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X397" i="1"/>
  <c r="W382" i="1"/>
  <c r="V382" i="1"/>
  <c r="W381" i="1"/>
  <c r="V381" i="1"/>
  <c r="W380" i="1"/>
  <c r="V380" i="1"/>
  <c r="AK380" i="1" s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AK348" i="1" s="1"/>
  <c r="W347" i="1"/>
  <c r="V347" i="1"/>
  <c r="W346" i="1"/>
  <c r="V346" i="1"/>
  <c r="W345" i="1"/>
  <c r="V345" i="1"/>
  <c r="W344" i="1"/>
  <c r="V344" i="1"/>
  <c r="W343" i="1"/>
  <c r="V343" i="1"/>
  <c r="W342" i="1"/>
  <c r="V342" i="1"/>
  <c r="W341" i="1"/>
  <c r="V341" i="1"/>
  <c r="W340" i="1"/>
  <c r="V340" i="1"/>
  <c r="H32" i="4" s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AK310" i="1" s="1"/>
  <c r="AR310" i="1" s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84" i="1"/>
  <c r="V284" i="1"/>
  <c r="W283" i="1"/>
  <c r="V283" i="1"/>
  <c r="W282" i="1"/>
  <c r="V282" i="1"/>
  <c r="W281" i="1"/>
  <c r="V281" i="1"/>
  <c r="W280" i="1"/>
  <c r="V280" i="1"/>
  <c r="W279" i="1"/>
  <c r="V279" i="1"/>
  <c r="AK279" i="1" s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AK271" i="1" s="1"/>
  <c r="W270" i="1"/>
  <c r="V270" i="1"/>
  <c r="W269" i="1"/>
  <c r="V269" i="1"/>
  <c r="W268" i="1"/>
  <c r="V268" i="1"/>
  <c r="W267" i="1"/>
  <c r="V267" i="1"/>
  <c r="AK267" i="1" s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W254" i="1"/>
  <c r="V254" i="1"/>
  <c r="W253" i="1"/>
  <c r="V253" i="1"/>
  <c r="W252" i="1"/>
  <c r="V252" i="1"/>
  <c r="W251" i="1"/>
  <c r="V251" i="1"/>
  <c r="W250" i="1"/>
  <c r="V250" i="1"/>
  <c r="W249" i="1"/>
  <c r="V249" i="1"/>
  <c r="AK249" i="1" s="1"/>
  <c r="W248" i="1"/>
  <c r="V248" i="1"/>
  <c r="W247" i="1"/>
  <c r="V247" i="1"/>
  <c r="W246" i="1"/>
  <c r="V246" i="1"/>
  <c r="W245" i="1"/>
  <c r="V245" i="1"/>
  <c r="AK245" i="1" s="1"/>
  <c r="AR245" i="1" s="1"/>
  <c r="W244" i="1"/>
  <c r="V244" i="1"/>
  <c r="W243" i="1"/>
  <c r="V243" i="1"/>
  <c r="W242" i="1"/>
  <c r="V242" i="1"/>
  <c r="W241" i="1"/>
  <c r="V241" i="1"/>
  <c r="W240" i="1"/>
  <c r="V240" i="1"/>
  <c r="W239" i="1"/>
  <c r="V239" i="1"/>
  <c r="AK239" i="1" s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AK231" i="1" s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AK221" i="1" s="1"/>
  <c r="W220" i="1"/>
  <c r="V220" i="1"/>
  <c r="W219" i="1"/>
  <c r="V219" i="1"/>
  <c r="AK219" i="1" s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AK198" i="1" s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P63" i="35" s="1"/>
  <c r="V151" i="1"/>
  <c r="W150" i="1"/>
  <c r="P62" i="35" s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AL53" i="1" s="1"/>
  <c r="AR53" i="1" s="1"/>
  <c r="V53" i="1"/>
  <c r="W52" i="1"/>
  <c r="AL52" i="1" s="1"/>
  <c r="AR52" i="1" s="1"/>
  <c r="V52" i="1"/>
  <c r="W51" i="1"/>
  <c r="AL51" i="1" s="1"/>
  <c r="AR51" i="1" s="1"/>
  <c r="V51" i="1"/>
  <c r="W50" i="1"/>
  <c r="AL50" i="1" s="1"/>
  <c r="AR50" i="1" s="1"/>
  <c r="V50" i="1"/>
  <c r="W49" i="1"/>
  <c r="AL49" i="1" s="1"/>
  <c r="AR49" i="1" s="1"/>
  <c r="V49" i="1"/>
  <c r="W48" i="1"/>
  <c r="AL48" i="1" s="1"/>
  <c r="AR48" i="1" s="1"/>
  <c r="V48" i="1"/>
  <c r="W47" i="1"/>
  <c r="AL47" i="1" s="1"/>
  <c r="AR47" i="1" s="1"/>
  <c r="V47" i="1"/>
  <c r="W46" i="1"/>
  <c r="V46" i="1"/>
  <c r="W45" i="1"/>
  <c r="V45" i="1"/>
  <c r="W44" i="1"/>
  <c r="V44" i="1"/>
  <c r="W43" i="1"/>
  <c r="V43" i="1"/>
  <c r="W42" i="1"/>
  <c r="AL42" i="1" s="1"/>
  <c r="AR42" i="1" s="1"/>
  <c r="V42" i="1"/>
  <c r="W41" i="1"/>
  <c r="V41" i="1"/>
  <c r="W40" i="1"/>
  <c r="AL40" i="1" s="1"/>
  <c r="AR40" i="1" s="1"/>
  <c r="V40" i="1"/>
  <c r="W39" i="1"/>
  <c r="AL39" i="1" s="1"/>
  <c r="AR39" i="1" s="1"/>
  <c r="V39" i="1"/>
  <c r="W38" i="1"/>
  <c r="AL38" i="1" s="1"/>
  <c r="AR38" i="1" s="1"/>
  <c r="V38" i="1"/>
  <c r="W37" i="1"/>
  <c r="AL37" i="1" s="1"/>
  <c r="V37" i="1"/>
  <c r="W36" i="1"/>
  <c r="V36" i="1"/>
  <c r="W35" i="1"/>
  <c r="AL35" i="1" s="1"/>
  <c r="AR35" i="1" s="1"/>
  <c r="V35" i="1"/>
  <c r="W34" i="1"/>
  <c r="V34" i="1"/>
  <c r="W33" i="1"/>
  <c r="AL33" i="1" s="1"/>
  <c r="AR33" i="1" s="1"/>
  <c r="V33" i="1"/>
  <c r="W32" i="1"/>
  <c r="AL32" i="1" s="1"/>
  <c r="AR32" i="1" s="1"/>
  <c r="V32" i="1"/>
  <c r="W31" i="1"/>
  <c r="V31" i="1"/>
  <c r="W30" i="1"/>
  <c r="AL30" i="1" s="1"/>
  <c r="AR30" i="1" s="1"/>
  <c r="V30" i="1"/>
  <c r="W29" i="1"/>
  <c r="V29" i="1"/>
  <c r="W28" i="1"/>
  <c r="AL28" i="1" s="1"/>
  <c r="AR28" i="1" s="1"/>
  <c r="V28" i="1"/>
  <c r="W27" i="1"/>
  <c r="AL27" i="1" s="1"/>
  <c r="AR27" i="1" s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S23" i="1"/>
  <c r="S21" i="1"/>
  <c r="S18" i="1"/>
  <c r="S887" i="1"/>
  <c r="S884" i="1"/>
  <c r="S867" i="1"/>
  <c r="S866" i="1"/>
  <c r="S865" i="1"/>
  <c r="S864" i="1"/>
  <c r="S863" i="1"/>
  <c r="S862" i="1"/>
  <c r="S861" i="1"/>
  <c r="S860" i="1"/>
  <c r="S859" i="1"/>
  <c r="S858" i="1"/>
  <c r="S846" i="1"/>
  <c r="S841" i="1"/>
  <c r="S840" i="1"/>
  <c r="S839" i="1"/>
  <c r="S838" i="1"/>
  <c r="S837" i="1"/>
  <c r="S834" i="1"/>
  <c r="S833" i="1"/>
  <c r="S832" i="1"/>
  <c r="S608" i="1"/>
  <c r="S604" i="1"/>
  <c r="S579" i="1"/>
  <c r="S575" i="1"/>
  <c r="S574" i="1"/>
  <c r="S573" i="1"/>
  <c r="S415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3" i="1"/>
  <c r="S342" i="1"/>
  <c r="S341" i="1"/>
  <c r="S340" i="1"/>
  <c r="S339" i="1"/>
  <c r="S338" i="1"/>
  <c r="S336" i="1"/>
  <c r="S335" i="1"/>
  <c r="S334" i="1"/>
  <c r="S333" i="1"/>
  <c r="S332" i="1"/>
  <c r="S331" i="1"/>
  <c r="S326" i="1"/>
  <c r="S325" i="1"/>
  <c r="S324" i="1"/>
  <c r="S323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2" i="1"/>
  <c r="S291" i="1"/>
  <c r="S283" i="1"/>
  <c r="S256" i="1"/>
  <c r="S255" i="1"/>
  <c r="S254" i="1"/>
  <c r="S253" i="1"/>
  <c r="S250" i="1"/>
  <c r="S249" i="1"/>
  <c r="S248" i="1"/>
  <c r="S247" i="1"/>
  <c r="S246" i="1"/>
  <c r="S245" i="1"/>
  <c r="S240" i="1"/>
  <c r="S239" i="1"/>
  <c r="S236" i="1"/>
  <c r="S231" i="1"/>
  <c r="S230" i="1"/>
  <c r="S229" i="1"/>
  <c r="S223" i="1"/>
  <c r="S221" i="1"/>
  <c r="S219" i="1"/>
  <c r="S196" i="1"/>
  <c r="S189" i="1"/>
  <c r="S188" i="1"/>
  <c r="S185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59" i="1"/>
  <c r="S158" i="1"/>
  <c r="S157" i="1"/>
  <c r="S156" i="1"/>
  <c r="S155" i="1"/>
  <c r="S154" i="1"/>
  <c r="S153" i="1"/>
  <c r="S152" i="1"/>
  <c r="S149" i="1"/>
  <c r="S148" i="1"/>
  <c r="S147" i="1"/>
  <c r="S145" i="1"/>
  <c r="S144" i="1"/>
  <c r="S141" i="1"/>
  <c r="S138" i="1"/>
  <c r="S137" i="1"/>
  <c r="S136" i="1"/>
  <c r="S134" i="1"/>
  <c r="S131" i="1"/>
  <c r="S129" i="1"/>
  <c r="S126" i="1"/>
  <c r="S124" i="1"/>
  <c r="S123" i="1"/>
  <c r="S119" i="1"/>
  <c r="S112" i="1"/>
  <c r="S111" i="1"/>
  <c r="S110" i="1"/>
  <c r="S109" i="1"/>
  <c r="S108" i="1"/>
  <c r="S107" i="1"/>
  <c r="S106" i="1"/>
  <c r="S105" i="1"/>
  <c r="S104" i="1"/>
  <c r="S103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D14" i="4" s="1"/>
  <c r="S76" i="1"/>
  <c r="S75" i="1"/>
  <c r="S74" i="1"/>
  <c r="S73" i="1"/>
  <c r="S72" i="1"/>
  <c r="S71" i="1"/>
  <c r="S55" i="1"/>
  <c r="S54" i="1"/>
  <c r="AV22" i="1"/>
  <c r="AV20" i="1"/>
  <c r="AV19" i="1"/>
  <c r="AV17" i="1"/>
  <c r="T228" i="1"/>
  <c r="T828" i="20"/>
  <c r="S828" i="20"/>
  <c r="T827" i="20"/>
  <c r="S827" i="20"/>
  <c r="T826" i="20"/>
  <c r="S826" i="20"/>
  <c r="T825" i="20"/>
  <c r="S825" i="20"/>
  <c r="T824" i="20"/>
  <c r="S824" i="20"/>
  <c r="T823" i="20"/>
  <c r="S823" i="20"/>
  <c r="T822" i="20"/>
  <c r="S822" i="20"/>
  <c r="T821" i="20"/>
  <c r="S821" i="20"/>
  <c r="T820" i="20"/>
  <c r="S820" i="20"/>
  <c r="T819" i="20"/>
  <c r="S819" i="20"/>
  <c r="T818" i="20"/>
  <c r="S818" i="20"/>
  <c r="T817" i="20"/>
  <c r="S817" i="20"/>
  <c r="T816" i="20"/>
  <c r="S816" i="20"/>
  <c r="T815" i="20"/>
  <c r="S815" i="20"/>
  <c r="T814" i="20"/>
  <c r="S814" i="20"/>
  <c r="T813" i="20"/>
  <c r="S813" i="20"/>
  <c r="T812" i="20"/>
  <c r="S812" i="20"/>
  <c r="T811" i="20"/>
  <c r="S811" i="20"/>
  <c r="T810" i="20"/>
  <c r="S810" i="20"/>
  <c r="T809" i="20"/>
  <c r="S809" i="20"/>
  <c r="T808" i="20"/>
  <c r="S808" i="20"/>
  <c r="T807" i="20"/>
  <c r="S807" i="20"/>
  <c r="T806" i="20"/>
  <c r="S806" i="20"/>
  <c r="T805" i="20"/>
  <c r="S805" i="20"/>
  <c r="T804" i="20"/>
  <c r="S804" i="20"/>
  <c r="T803" i="20"/>
  <c r="S803" i="20"/>
  <c r="T802" i="20"/>
  <c r="S802" i="20"/>
  <c r="T801" i="20"/>
  <c r="S801" i="20"/>
  <c r="T800" i="20"/>
  <c r="S800" i="20"/>
  <c r="T799" i="20"/>
  <c r="S799" i="20"/>
  <c r="T798" i="20"/>
  <c r="S798" i="20"/>
  <c r="T797" i="20"/>
  <c r="S797" i="20"/>
  <c r="T796" i="20"/>
  <c r="S796" i="20"/>
  <c r="T795" i="20"/>
  <c r="S795" i="20"/>
  <c r="T794" i="20"/>
  <c r="S794" i="20"/>
  <c r="T793" i="20"/>
  <c r="S793" i="20"/>
  <c r="T792" i="20"/>
  <c r="S792" i="20"/>
  <c r="T791" i="20"/>
  <c r="S791" i="20"/>
  <c r="T790" i="20"/>
  <c r="S790" i="20"/>
  <c r="T789" i="20"/>
  <c r="S789" i="20"/>
  <c r="T788" i="20"/>
  <c r="S788" i="20"/>
  <c r="T787" i="20"/>
  <c r="S787" i="20"/>
  <c r="T786" i="20"/>
  <c r="S786" i="20"/>
  <c r="T785" i="20"/>
  <c r="S785" i="20"/>
  <c r="T784" i="20"/>
  <c r="S784" i="20"/>
  <c r="T783" i="20"/>
  <c r="S783" i="20"/>
  <c r="T782" i="20"/>
  <c r="S782" i="20"/>
  <c r="T781" i="20"/>
  <c r="S781" i="20"/>
  <c r="T780" i="20"/>
  <c r="S780" i="20"/>
  <c r="T779" i="20"/>
  <c r="S779" i="20"/>
  <c r="T778" i="20"/>
  <c r="S778" i="20"/>
  <c r="T777" i="20"/>
  <c r="S777" i="20"/>
  <c r="T776" i="20"/>
  <c r="S776" i="20"/>
  <c r="T775" i="20"/>
  <c r="S775" i="20"/>
  <c r="T774" i="20"/>
  <c r="S774" i="20"/>
  <c r="T773" i="20"/>
  <c r="S773" i="20"/>
  <c r="T772" i="20"/>
  <c r="S772" i="20"/>
  <c r="T771" i="20"/>
  <c r="S771" i="20"/>
  <c r="T770" i="20"/>
  <c r="S770" i="20"/>
  <c r="T769" i="20"/>
  <c r="S769" i="20"/>
  <c r="T768" i="20"/>
  <c r="S768" i="20"/>
  <c r="T767" i="20"/>
  <c r="S767" i="20"/>
  <c r="T766" i="20"/>
  <c r="S766" i="20"/>
  <c r="T765" i="20"/>
  <c r="S765" i="20"/>
  <c r="T764" i="20"/>
  <c r="S764" i="20"/>
  <c r="T763" i="20"/>
  <c r="S763" i="20"/>
  <c r="V763" i="20"/>
  <c r="T762" i="20"/>
  <c r="S762" i="20"/>
  <c r="T760" i="20"/>
  <c r="S760" i="20"/>
  <c r="T759" i="20"/>
  <c r="S759" i="20"/>
  <c r="T758" i="20"/>
  <c r="S758" i="20"/>
  <c r="T757" i="20"/>
  <c r="S757" i="20"/>
  <c r="T756" i="20"/>
  <c r="S756" i="20"/>
  <c r="T755" i="20"/>
  <c r="S755" i="20"/>
  <c r="T754" i="20"/>
  <c r="S754" i="20"/>
  <c r="T753" i="20"/>
  <c r="S753" i="20"/>
  <c r="T752" i="20"/>
  <c r="S752" i="20"/>
  <c r="T751" i="20"/>
  <c r="S751" i="20"/>
  <c r="T750" i="20"/>
  <c r="S750" i="20"/>
  <c r="T749" i="20"/>
  <c r="S749" i="20"/>
  <c r="T748" i="20"/>
  <c r="S748" i="20"/>
  <c r="T747" i="20"/>
  <c r="S747" i="20"/>
  <c r="T746" i="20"/>
  <c r="S746" i="20"/>
  <c r="T745" i="20"/>
  <c r="S745" i="20"/>
  <c r="T744" i="20"/>
  <c r="S744" i="20"/>
  <c r="T743" i="20"/>
  <c r="S743" i="20"/>
  <c r="T742" i="20"/>
  <c r="S742" i="20"/>
  <c r="T741" i="20"/>
  <c r="S741" i="20"/>
  <c r="T740" i="20"/>
  <c r="S740" i="20"/>
  <c r="T739" i="20"/>
  <c r="S739" i="20"/>
  <c r="T738" i="20"/>
  <c r="S738" i="20"/>
  <c r="T737" i="20"/>
  <c r="S737" i="20"/>
  <c r="T736" i="20"/>
  <c r="S736" i="20"/>
  <c r="T735" i="20"/>
  <c r="S735" i="20"/>
  <c r="T734" i="20"/>
  <c r="S734" i="20"/>
  <c r="T733" i="20"/>
  <c r="S733" i="20"/>
  <c r="T732" i="20"/>
  <c r="S732" i="20"/>
  <c r="T731" i="20"/>
  <c r="S731" i="20"/>
  <c r="T730" i="20"/>
  <c r="S730" i="20"/>
  <c r="T729" i="20"/>
  <c r="S729" i="20"/>
  <c r="T728" i="20"/>
  <c r="S728" i="20"/>
  <c r="T727" i="20"/>
  <c r="S727" i="20"/>
  <c r="T726" i="20"/>
  <c r="S726" i="20"/>
  <c r="T725" i="20"/>
  <c r="S725" i="20"/>
  <c r="T724" i="20"/>
  <c r="S724" i="20"/>
  <c r="T723" i="20"/>
  <c r="S723" i="20"/>
  <c r="T722" i="20"/>
  <c r="S722" i="20"/>
  <c r="T721" i="20"/>
  <c r="S721" i="20"/>
  <c r="T720" i="20"/>
  <c r="S720" i="20"/>
  <c r="T719" i="20"/>
  <c r="S719" i="20"/>
  <c r="T718" i="20"/>
  <c r="S718" i="20"/>
  <c r="T717" i="20"/>
  <c r="S717" i="20"/>
  <c r="T716" i="20"/>
  <c r="S716" i="20"/>
  <c r="T715" i="20"/>
  <c r="S715" i="20"/>
  <c r="T714" i="20"/>
  <c r="S714" i="20"/>
  <c r="T713" i="20"/>
  <c r="S713" i="20"/>
  <c r="T712" i="20"/>
  <c r="S712" i="20"/>
  <c r="T711" i="20"/>
  <c r="S711" i="20"/>
  <c r="T710" i="20"/>
  <c r="S710" i="20"/>
  <c r="T709" i="20"/>
  <c r="S709" i="20"/>
  <c r="T708" i="20"/>
  <c r="S708" i="20"/>
  <c r="T707" i="20"/>
  <c r="S707" i="20"/>
  <c r="T706" i="20"/>
  <c r="S706" i="20"/>
  <c r="T705" i="20"/>
  <c r="S705" i="20"/>
  <c r="T704" i="20"/>
  <c r="S704" i="20"/>
  <c r="T703" i="20"/>
  <c r="S703" i="20"/>
  <c r="T702" i="20"/>
  <c r="S702" i="20"/>
  <c r="T701" i="20"/>
  <c r="S701" i="20"/>
  <c r="T700" i="20"/>
  <c r="S700" i="20"/>
  <c r="T699" i="20"/>
  <c r="S699" i="20"/>
  <c r="T698" i="20"/>
  <c r="S698" i="20"/>
  <c r="T697" i="20"/>
  <c r="S697" i="20"/>
  <c r="T696" i="20"/>
  <c r="S696" i="20"/>
  <c r="T695" i="20"/>
  <c r="S695" i="20"/>
  <c r="T694" i="20"/>
  <c r="S694" i="20"/>
  <c r="T693" i="20"/>
  <c r="S693" i="20"/>
  <c r="T692" i="20"/>
  <c r="S692" i="20"/>
  <c r="T691" i="20"/>
  <c r="S691" i="20"/>
  <c r="T690" i="20"/>
  <c r="S690" i="20"/>
  <c r="T689" i="20"/>
  <c r="S689" i="20"/>
  <c r="T688" i="20"/>
  <c r="S688" i="20"/>
  <c r="T687" i="20"/>
  <c r="S687" i="20"/>
  <c r="T686" i="20"/>
  <c r="S686" i="20"/>
  <c r="T685" i="20"/>
  <c r="S685" i="20"/>
  <c r="T684" i="20"/>
  <c r="S684" i="20"/>
  <c r="T683" i="20"/>
  <c r="S683" i="20"/>
  <c r="T682" i="20"/>
  <c r="S682" i="20"/>
  <c r="T681" i="20"/>
  <c r="S681" i="20"/>
  <c r="T680" i="20"/>
  <c r="S680" i="20"/>
  <c r="T679" i="20"/>
  <c r="S679" i="20"/>
  <c r="T678" i="20"/>
  <c r="S678" i="20"/>
  <c r="T677" i="20"/>
  <c r="S677" i="20"/>
  <c r="T676" i="20"/>
  <c r="S676" i="20"/>
  <c r="T675" i="20"/>
  <c r="S675" i="20"/>
  <c r="T674" i="20"/>
  <c r="S674" i="20"/>
  <c r="T673" i="20"/>
  <c r="S673" i="20"/>
  <c r="T672" i="20"/>
  <c r="S672" i="20"/>
  <c r="T671" i="20"/>
  <c r="S671" i="20"/>
  <c r="T670" i="20"/>
  <c r="S670" i="20"/>
  <c r="T669" i="20"/>
  <c r="S669" i="20"/>
  <c r="T668" i="20"/>
  <c r="S668" i="20"/>
  <c r="T667" i="20"/>
  <c r="S667" i="20"/>
  <c r="V667" i="20" s="1"/>
  <c r="T666" i="20"/>
  <c r="S666" i="20"/>
  <c r="T665" i="20"/>
  <c r="S665" i="20"/>
  <c r="T664" i="20"/>
  <c r="S664" i="20"/>
  <c r="T663" i="20"/>
  <c r="S663" i="20"/>
  <c r="T662" i="20"/>
  <c r="S662" i="20"/>
  <c r="T661" i="20"/>
  <c r="S661" i="20"/>
  <c r="T660" i="20"/>
  <c r="S660" i="20"/>
  <c r="T659" i="20"/>
  <c r="S659" i="20"/>
  <c r="T658" i="20"/>
  <c r="S658" i="20"/>
  <c r="T657" i="20"/>
  <c r="S657" i="20"/>
  <c r="T656" i="20"/>
  <c r="S656" i="20"/>
  <c r="T655" i="20"/>
  <c r="S655" i="20"/>
  <c r="T654" i="20"/>
  <c r="S654" i="20"/>
  <c r="T653" i="20"/>
  <c r="S653" i="20"/>
  <c r="T652" i="20"/>
  <c r="S652" i="20"/>
  <c r="T651" i="20"/>
  <c r="S651" i="20"/>
  <c r="T650" i="20"/>
  <c r="S650" i="20"/>
  <c r="T649" i="20"/>
  <c r="S649" i="20"/>
  <c r="T648" i="20"/>
  <c r="S648" i="20"/>
  <c r="T647" i="20"/>
  <c r="S647" i="20"/>
  <c r="T646" i="20"/>
  <c r="S646" i="20"/>
  <c r="T645" i="20"/>
  <c r="S645" i="20"/>
  <c r="T644" i="20"/>
  <c r="S644" i="20"/>
  <c r="T643" i="20"/>
  <c r="S643" i="20"/>
  <c r="T642" i="20"/>
  <c r="S642" i="20"/>
  <c r="T641" i="20"/>
  <c r="S641" i="20"/>
  <c r="T640" i="20"/>
  <c r="V640" i="20" s="1"/>
  <c r="S640" i="20"/>
  <c r="T639" i="20"/>
  <c r="S639" i="20"/>
  <c r="T638" i="20"/>
  <c r="S638" i="20"/>
  <c r="T637" i="20"/>
  <c r="S637" i="20"/>
  <c r="T636" i="20"/>
  <c r="S636" i="20"/>
  <c r="T635" i="20"/>
  <c r="S635" i="20"/>
  <c r="T634" i="20"/>
  <c r="S634" i="20"/>
  <c r="T633" i="20"/>
  <c r="S633" i="20"/>
  <c r="T632" i="20"/>
  <c r="S632" i="20"/>
  <c r="T631" i="20"/>
  <c r="S631" i="20"/>
  <c r="T630" i="20"/>
  <c r="S630" i="20"/>
  <c r="T629" i="20"/>
  <c r="S629" i="20"/>
  <c r="T628" i="20"/>
  <c r="S628" i="20"/>
  <c r="T627" i="20"/>
  <c r="S627" i="20"/>
  <c r="T626" i="20"/>
  <c r="S626" i="20"/>
  <c r="T625" i="20"/>
  <c r="S625" i="20"/>
  <c r="T624" i="20"/>
  <c r="S624" i="20"/>
  <c r="T623" i="20"/>
  <c r="S623" i="20"/>
  <c r="T622" i="20"/>
  <c r="S622" i="20"/>
  <c r="T621" i="20"/>
  <c r="S621" i="20"/>
  <c r="T620" i="20"/>
  <c r="S620" i="20"/>
  <c r="T619" i="20"/>
  <c r="S619" i="20"/>
  <c r="T618" i="20"/>
  <c r="S618" i="20"/>
  <c r="T617" i="20"/>
  <c r="S617" i="20"/>
  <c r="T616" i="20"/>
  <c r="S616" i="20"/>
  <c r="T615" i="20"/>
  <c r="S615" i="20"/>
  <c r="T614" i="20"/>
  <c r="S614" i="20"/>
  <c r="T613" i="20"/>
  <c r="S613" i="20"/>
  <c r="T612" i="20"/>
  <c r="S612" i="20"/>
  <c r="T611" i="20"/>
  <c r="S611" i="20"/>
  <c r="T610" i="20"/>
  <c r="S610" i="20"/>
  <c r="T609" i="20"/>
  <c r="S609" i="20"/>
  <c r="S608" i="20"/>
  <c r="T607" i="20"/>
  <c r="S607" i="20"/>
  <c r="T606" i="20"/>
  <c r="S606" i="20"/>
  <c r="T605" i="20"/>
  <c r="S605" i="20"/>
  <c r="S604" i="20"/>
  <c r="T603" i="20"/>
  <c r="S603" i="20"/>
  <c r="T602" i="20"/>
  <c r="S602" i="20"/>
  <c r="T600" i="20"/>
  <c r="S600" i="20"/>
  <c r="T599" i="20"/>
  <c r="S599" i="20"/>
  <c r="T598" i="20"/>
  <c r="S598" i="20"/>
  <c r="T597" i="20"/>
  <c r="S597" i="20"/>
  <c r="T596" i="20"/>
  <c r="S596" i="20"/>
  <c r="T595" i="20"/>
  <c r="S595" i="20"/>
  <c r="T594" i="20"/>
  <c r="S594" i="20"/>
  <c r="T593" i="20"/>
  <c r="S593" i="20"/>
  <c r="T592" i="20"/>
  <c r="S592" i="20"/>
  <c r="T591" i="20"/>
  <c r="S591" i="20"/>
  <c r="T590" i="20"/>
  <c r="S590" i="20"/>
  <c r="T589" i="20"/>
  <c r="S589" i="20"/>
  <c r="T588" i="20"/>
  <c r="S588" i="20"/>
  <c r="T587" i="20"/>
  <c r="S587" i="20"/>
  <c r="T586" i="20"/>
  <c r="S586" i="20"/>
  <c r="T585" i="20"/>
  <c r="S585" i="20"/>
  <c r="T584" i="20"/>
  <c r="S584" i="20"/>
  <c r="T583" i="20"/>
  <c r="S583" i="20"/>
  <c r="T582" i="20"/>
  <c r="S582" i="20"/>
  <c r="T581" i="20"/>
  <c r="S581" i="20"/>
  <c r="T580" i="20"/>
  <c r="S579" i="20"/>
  <c r="T578" i="20"/>
  <c r="T577" i="20"/>
  <c r="T576" i="20"/>
  <c r="S575" i="20"/>
  <c r="S574" i="20"/>
  <c r="S573" i="20"/>
  <c r="T572" i="20"/>
  <c r="T571" i="20"/>
  <c r="T569" i="20"/>
  <c r="T568" i="20"/>
  <c r="T567" i="20"/>
  <c r="T566" i="20"/>
  <c r="T565" i="20"/>
  <c r="S565" i="20"/>
  <c r="T564" i="20"/>
  <c r="S564" i="20"/>
  <c r="T563" i="20"/>
  <c r="S563" i="20"/>
  <c r="T562" i="20"/>
  <c r="S562" i="20"/>
  <c r="T561" i="20"/>
  <c r="S561" i="20"/>
  <c r="T560" i="20"/>
  <c r="S560" i="20"/>
  <c r="T559" i="20"/>
  <c r="S559" i="20"/>
  <c r="T558" i="20"/>
  <c r="S558" i="20"/>
  <c r="T557" i="20"/>
  <c r="S557" i="20"/>
  <c r="T556" i="20"/>
  <c r="S556" i="20"/>
  <c r="T555" i="20"/>
  <c r="S555" i="20"/>
  <c r="T554" i="20"/>
  <c r="S554" i="20"/>
  <c r="T553" i="20"/>
  <c r="S553" i="20"/>
  <c r="T552" i="20"/>
  <c r="S552" i="20"/>
  <c r="T551" i="20"/>
  <c r="S551" i="20"/>
  <c r="T550" i="20"/>
  <c r="S550" i="20"/>
  <c r="T549" i="20"/>
  <c r="S549" i="20"/>
  <c r="T548" i="20"/>
  <c r="S548" i="20"/>
  <c r="T547" i="20"/>
  <c r="S547" i="20"/>
  <c r="T546" i="20"/>
  <c r="S546" i="20"/>
  <c r="T545" i="20"/>
  <c r="S545" i="20"/>
  <c r="T544" i="20"/>
  <c r="S544" i="20"/>
  <c r="T543" i="20"/>
  <c r="S543" i="20"/>
  <c r="T542" i="20"/>
  <c r="S542" i="20"/>
  <c r="T541" i="20"/>
  <c r="S541" i="20"/>
  <c r="T540" i="20"/>
  <c r="S540" i="20"/>
  <c r="T539" i="20"/>
  <c r="S539" i="20"/>
  <c r="T538" i="20"/>
  <c r="S538" i="20"/>
  <c r="T537" i="20"/>
  <c r="S537" i="20"/>
  <c r="T536" i="20"/>
  <c r="S536" i="20"/>
  <c r="T535" i="20"/>
  <c r="S535" i="20"/>
  <c r="T534" i="20"/>
  <c r="S534" i="20"/>
  <c r="T533" i="20"/>
  <c r="S533" i="20"/>
  <c r="T532" i="20"/>
  <c r="S532" i="20"/>
  <c r="T531" i="20"/>
  <c r="S531" i="20"/>
  <c r="T530" i="20"/>
  <c r="S530" i="20"/>
  <c r="T529" i="20"/>
  <c r="S529" i="20"/>
  <c r="T528" i="20"/>
  <c r="S528" i="20"/>
  <c r="T527" i="20"/>
  <c r="S527" i="20"/>
  <c r="T526" i="20"/>
  <c r="S526" i="20"/>
  <c r="T525" i="20"/>
  <c r="S525" i="20"/>
  <c r="T524" i="20"/>
  <c r="S524" i="20"/>
  <c r="T523" i="20"/>
  <c r="S523" i="20"/>
  <c r="T522" i="20"/>
  <c r="S522" i="20"/>
  <c r="T521" i="20"/>
  <c r="S521" i="20"/>
  <c r="T520" i="20"/>
  <c r="S520" i="20"/>
  <c r="T519" i="20"/>
  <c r="S519" i="20"/>
  <c r="T518" i="20"/>
  <c r="S518" i="20"/>
  <c r="T517" i="20"/>
  <c r="S517" i="20"/>
  <c r="T516" i="20"/>
  <c r="S516" i="20"/>
  <c r="T515" i="20"/>
  <c r="S515" i="20"/>
  <c r="T514" i="20"/>
  <c r="S514" i="20"/>
  <c r="T513" i="20"/>
  <c r="S513" i="20"/>
  <c r="T512" i="20"/>
  <c r="S512" i="20"/>
  <c r="T511" i="20"/>
  <c r="S511" i="20"/>
  <c r="T510" i="20"/>
  <c r="S510" i="20"/>
  <c r="T509" i="20"/>
  <c r="S509" i="20"/>
  <c r="T508" i="20"/>
  <c r="S508" i="20"/>
  <c r="T507" i="20"/>
  <c r="S507" i="20"/>
  <c r="T506" i="20"/>
  <c r="S506" i="20"/>
  <c r="T505" i="20"/>
  <c r="S505" i="20"/>
  <c r="T504" i="20"/>
  <c r="S504" i="20"/>
  <c r="T503" i="20"/>
  <c r="S503" i="20"/>
  <c r="T502" i="20"/>
  <c r="S502" i="20"/>
  <c r="T501" i="20"/>
  <c r="S501" i="20"/>
  <c r="T500" i="20"/>
  <c r="S500" i="20"/>
  <c r="T499" i="20"/>
  <c r="S499" i="20"/>
  <c r="T498" i="20"/>
  <c r="S498" i="20"/>
  <c r="T497" i="20"/>
  <c r="S497" i="20"/>
  <c r="T496" i="20"/>
  <c r="S496" i="20"/>
  <c r="T495" i="20"/>
  <c r="S495" i="20"/>
  <c r="T494" i="20"/>
  <c r="S494" i="20"/>
  <c r="T493" i="20"/>
  <c r="S493" i="20"/>
  <c r="T492" i="20"/>
  <c r="S492" i="20"/>
  <c r="T491" i="20"/>
  <c r="S491" i="20"/>
  <c r="T490" i="20"/>
  <c r="S490" i="20"/>
  <c r="T489" i="20"/>
  <c r="S489" i="20"/>
  <c r="T488" i="20"/>
  <c r="S488" i="20"/>
  <c r="T487" i="20"/>
  <c r="S487" i="20"/>
  <c r="T486" i="20"/>
  <c r="S486" i="20"/>
  <c r="T485" i="20"/>
  <c r="S485" i="20"/>
  <c r="T484" i="20"/>
  <c r="S484" i="20"/>
  <c r="T483" i="20"/>
  <c r="S483" i="20"/>
  <c r="T482" i="20"/>
  <c r="S482" i="20"/>
  <c r="T481" i="20"/>
  <c r="S481" i="20"/>
  <c r="T480" i="20"/>
  <c r="S480" i="20"/>
  <c r="T479" i="20"/>
  <c r="S479" i="20"/>
  <c r="T478" i="20"/>
  <c r="S478" i="20"/>
  <c r="T477" i="20"/>
  <c r="S477" i="20"/>
  <c r="T476" i="20"/>
  <c r="S476" i="20"/>
  <c r="T475" i="20"/>
  <c r="S475" i="20"/>
  <c r="T474" i="20"/>
  <c r="S474" i="20"/>
  <c r="T473" i="20"/>
  <c r="S473" i="20"/>
  <c r="T472" i="20"/>
  <c r="S472" i="20"/>
  <c r="T471" i="20"/>
  <c r="S471" i="20"/>
  <c r="T470" i="20"/>
  <c r="S470" i="20"/>
  <c r="T469" i="20"/>
  <c r="S469" i="20"/>
  <c r="T468" i="20"/>
  <c r="S468" i="20"/>
  <c r="T467" i="20"/>
  <c r="S467" i="20"/>
  <c r="T466" i="20"/>
  <c r="S466" i="20"/>
  <c r="T465" i="20"/>
  <c r="S465" i="20"/>
  <c r="T464" i="20"/>
  <c r="S464" i="20"/>
  <c r="T463" i="20"/>
  <c r="S463" i="20"/>
  <c r="T462" i="20"/>
  <c r="S462" i="20"/>
  <c r="T461" i="20"/>
  <c r="S461" i="20"/>
  <c r="T460" i="20"/>
  <c r="S460" i="20"/>
  <c r="T459" i="20"/>
  <c r="S459" i="20"/>
  <c r="T458" i="20"/>
  <c r="S458" i="20"/>
  <c r="T457" i="20"/>
  <c r="S457" i="20"/>
  <c r="T456" i="20"/>
  <c r="S456" i="20"/>
  <c r="T455" i="20"/>
  <c r="S455" i="20"/>
  <c r="T454" i="20"/>
  <c r="S454" i="20"/>
  <c r="T453" i="20"/>
  <c r="S453" i="20"/>
  <c r="T452" i="20"/>
  <c r="S452" i="20"/>
  <c r="T451" i="20"/>
  <c r="S451" i="20"/>
  <c r="T450" i="20"/>
  <c r="S450" i="20"/>
  <c r="T449" i="20"/>
  <c r="S449" i="20"/>
  <c r="T448" i="20"/>
  <c r="S448" i="20"/>
  <c r="T447" i="20"/>
  <c r="S447" i="20"/>
  <c r="T446" i="20"/>
  <c r="S446" i="20"/>
  <c r="T445" i="20"/>
  <c r="S445" i="20"/>
  <c r="T444" i="20"/>
  <c r="S444" i="20"/>
  <c r="T443" i="20"/>
  <c r="S443" i="20"/>
  <c r="T442" i="20"/>
  <c r="S442" i="20"/>
  <c r="T441" i="20"/>
  <c r="S441" i="20"/>
  <c r="T440" i="20"/>
  <c r="S440" i="20"/>
  <c r="T439" i="20"/>
  <c r="S439" i="20"/>
  <c r="T438" i="20"/>
  <c r="S438" i="20"/>
  <c r="T437" i="20"/>
  <c r="S437" i="20"/>
  <c r="T436" i="20"/>
  <c r="S436" i="20"/>
  <c r="T435" i="20"/>
  <c r="S435" i="20"/>
  <c r="T434" i="20"/>
  <c r="S434" i="20"/>
  <c r="T433" i="20"/>
  <c r="S433" i="20"/>
  <c r="T432" i="20"/>
  <c r="S432" i="20"/>
  <c r="T431" i="20"/>
  <c r="S431" i="20"/>
  <c r="T430" i="20"/>
  <c r="S430" i="20"/>
  <c r="T429" i="20"/>
  <c r="S429" i="20"/>
  <c r="T428" i="20"/>
  <c r="S428" i="20"/>
  <c r="T427" i="20"/>
  <c r="S427" i="20"/>
  <c r="T426" i="20"/>
  <c r="S426" i="20"/>
  <c r="T425" i="20"/>
  <c r="S425" i="20"/>
  <c r="T424" i="20"/>
  <c r="S424" i="20"/>
  <c r="T423" i="20"/>
  <c r="S423" i="20"/>
  <c r="T422" i="20"/>
  <c r="S422" i="20"/>
  <c r="T421" i="20"/>
  <c r="S421" i="20"/>
  <c r="T420" i="20"/>
  <c r="S420" i="20"/>
  <c r="T419" i="20"/>
  <c r="S419" i="20"/>
  <c r="T418" i="20"/>
  <c r="S418" i="20"/>
  <c r="T417" i="20"/>
  <c r="S417" i="20"/>
  <c r="T416" i="20"/>
  <c r="S415" i="20"/>
  <c r="T414" i="20"/>
  <c r="S414" i="20"/>
  <c r="T413" i="20"/>
  <c r="S413" i="20"/>
  <c r="T412" i="20"/>
  <c r="S412" i="20"/>
  <c r="T411" i="20"/>
  <c r="S411" i="20"/>
  <c r="T410" i="20"/>
  <c r="S410" i="20"/>
  <c r="T409" i="20"/>
  <c r="S409" i="20"/>
  <c r="T408" i="20"/>
  <c r="S408" i="20"/>
  <c r="V408" i="20" s="1"/>
  <c r="T407" i="20"/>
  <c r="S407" i="20"/>
  <c r="T406" i="20"/>
  <c r="S406" i="20"/>
  <c r="T405" i="20"/>
  <c r="S405" i="20"/>
  <c r="V405" i="20"/>
  <c r="T404" i="20"/>
  <c r="S404" i="20"/>
  <c r="V404" i="20" s="1"/>
  <c r="T403" i="20"/>
  <c r="S403" i="20"/>
  <c r="T402" i="20"/>
  <c r="S402" i="20"/>
  <c r="T401" i="20"/>
  <c r="S401" i="20"/>
  <c r="T400" i="20"/>
  <c r="S400" i="20"/>
  <c r="T399" i="20"/>
  <c r="S399" i="20"/>
  <c r="T398" i="20"/>
  <c r="S398" i="20"/>
  <c r="T397" i="20"/>
  <c r="S397" i="20"/>
  <c r="T396" i="20"/>
  <c r="S396" i="20"/>
  <c r="T395" i="20"/>
  <c r="S395" i="20"/>
  <c r="T394" i="20"/>
  <c r="S394" i="20"/>
  <c r="T393" i="20"/>
  <c r="S393" i="20"/>
  <c r="T392" i="20"/>
  <c r="S392" i="20"/>
  <c r="T391" i="20"/>
  <c r="S391" i="20"/>
  <c r="T390" i="20"/>
  <c r="S390" i="20"/>
  <c r="T389" i="20"/>
  <c r="S389" i="20"/>
  <c r="T388" i="20"/>
  <c r="S388" i="20"/>
  <c r="T387" i="20"/>
  <c r="S387" i="20"/>
  <c r="T386" i="20"/>
  <c r="S386" i="20"/>
  <c r="T385" i="20"/>
  <c r="S385" i="20"/>
  <c r="T384" i="20"/>
  <c r="S384" i="20"/>
  <c r="T382" i="20"/>
  <c r="T381" i="20"/>
  <c r="T380" i="20"/>
  <c r="S379" i="20"/>
  <c r="S378" i="20"/>
  <c r="S377" i="20"/>
  <c r="S376" i="20"/>
  <c r="S375" i="20"/>
  <c r="S374" i="20"/>
  <c r="S373" i="20"/>
  <c r="S372" i="20"/>
  <c r="S371" i="20"/>
  <c r="S370" i="20"/>
  <c r="S369" i="20"/>
  <c r="S368" i="20"/>
  <c r="T367" i="20"/>
  <c r="T366" i="20"/>
  <c r="T365" i="20"/>
  <c r="T364" i="20"/>
  <c r="S363" i="20"/>
  <c r="S362" i="20"/>
  <c r="S361" i="20"/>
  <c r="S360" i="20"/>
  <c r="S359" i="20"/>
  <c r="S358" i="20"/>
  <c r="S357" i="20"/>
  <c r="S356" i="20"/>
  <c r="S355" i="20"/>
  <c r="S354" i="20"/>
  <c r="S353" i="20"/>
  <c r="S352" i="20"/>
  <c r="S351" i="20"/>
  <c r="S350" i="20"/>
  <c r="S349" i="20"/>
  <c r="S348" i="20"/>
  <c r="S347" i="20"/>
  <c r="S346" i="20"/>
  <c r="T345" i="20"/>
  <c r="S345" i="20"/>
  <c r="T344" i="20"/>
  <c r="S344" i="20"/>
  <c r="S343" i="20"/>
  <c r="S342" i="20"/>
  <c r="S341" i="20"/>
  <c r="S340" i="20"/>
  <c r="S339" i="20"/>
  <c r="S338" i="20"/>
  <c r="T337" i="20"/>
  <c r="S336" i="20"/>
  <c r="S335" i="20"/>
  <c r="S334" i="20"/>
  <c r="S333" i="20"/>
  <c r="S332" i="20"/>
  <c r="S331" i="20"/>
  <c r="T330" i="20"/>
  <c r="S330" i="20"/>
  <c r="T329" i="20"/>
  <c r="S329" i="20"/>
  <c r="T328" i="20"/>
  <c r="S328" i="20"/>
  <c r="T327" i="20"/>
  <c r="S327" i="20"/>
  <c r="S326" i="20"/>
  <c r="S325" i="20"/>
  <c r="S324" i="20"/>
  <c r="S323" i="20"/>
  <c r="T322" i="20"/>
  <c r="S322" i="20"/>
  <c r="S321" i="20"/>
  <c r="S320" i="20"/>
  <c r="S319" i="20"/>
  <c r="S318" i="20"/>
  <c r="S317" i="20"/>
  <c r="S316" i="20"/>
  <c r="S315" i="20"/>
  <c r="S314" i="20"/>
  <c r="S313" i="20"/>
  <c r="S312" i="20"/>
  <c r="S311" i="20"/>
  <c r="S310" i="20"/>
  <c r="S309" i="20"/>
  <c r="S308" i="20"/>
  <c r="S307" i="20"/>
  <c r="S306" i="20"/>
  <c r="S305" i="20"/>
  <c r="S304" i="20"/>
  <c r="S303" i="20"/>
  <c r="S302" i="20"/>
  <c r="S301" i="20"/>
  <c r="S300" i="20"/>
  <c r="S299" i="20"/>
  <c r="S298" i="20"/>
  <c r="S297" i="20"/>
  <c r="S296" i="20"/>
  <c r="S295" i="20"/>
  <c r="S294" i="20"/>
  <c r="S293" i="20"/>
  <c r="S292" i="20"/>
  <c r="S291" i="20"/>
  <c r="S290" i="20"/>
  <c r="S289" i="20"/>
  <c r="S288" i="20"/>
  <c r="S287" i="20"/>
  <c r="S286" i="20"/>
  <c r="T284" i="20"/>
  <c r="S283" i="20"/>
  <c r="T282" i="20"/>
  <c r="S282" i="20"/>
  <c r="T281" i="20"/>
  <c r="S281" i="20"/>
  <c r="T280" i="20"/>
  <c r="S280" i="20"/>
  <c r="T279" i="20"/>
  <c r="S279" i="20"/>
  <c r="T278" i="20"/>
  <c r="S278" i="20"/>
  <c r="T277" i="20"/>
  <c r="S277" i="20"/>
  <c r="T276" i="20"/>
  <c r="S276" i="20"/>
  <c r="T275" i="20"/>
  <c r="S275" i="20"/>
  <c r="T274" i="20"/>
  <c r="S274" i="20"/>
  <c r="T273" i="20"/>
  <c r="S273" i="20"/>
  <c r="T272" i="20"/>
  <c r="S272" i="20"/>
  <c r="T271" i="20"/>
  <c r="S271" i="20"/>
  <c r="T270" i="20"/>
  <c r="T269" i="20"/>
  <c r="T268" i="20"/>
  <c r="T267" i="20"/>
  <c r="T266" i="20"/>
  <c r="T265" i="20"/>
  <c r="T264" i="20"/>
  <c r="T263" i="20"/>
  <c r="T262" i="20"/>
  <c r="T261" i="20"/>
  <c r="T260" i="20"/>
  <c r="T259" i="20"/>
  <c r="T258" i="20"/>
  <c r="T257" i="20"/>
  <c r="S256" i="20"/>
  <c r="S255" i="20"/>
  <c r="S254" i="20"/>
  <c r="S253" i="20"/>
  <c r="T252" i="20"/>
  <c r="T251" i="20"/>
  <c r="S250" i="20"/>
  <c r="S249" i="20"/>
  <c r="S248" i="20"/>
  <c r="S247" i="20"/>
  <c r="S246" i="20"/>
  <c r="S245" i="20"/>
  <c r="T244" i="20"/>
  <c r="T243" i="20"/>
  <c r="T242" i="20"/>
  <c r="T241" i="20"/>
  <c r="S240" i="20"/>
  <c r="S239" i="20"/>
  <c r="T238" i="20"/>
  <c r="T237" i="20"/>
  <c r="S236" i="20"/>
  <c r="T235" i="20"/>
  <c r="T234" i="20"/>
  <c r="T233" i="20"/>
  <c r="T232" i="20"/>
  <c r="S231" i="20"/>
  <c r="S230" i="20"/>
  <c r="S229" i="20"/>
  <c r="T228" i="20"/>
  <c r="T227" i="20"/>
  <c r="T226" i="20"/>
  <c r="T225" i="20"/>
  <c r="T224" i="20"/>
  <c r="S223" i="20"/>
  <c r="T222" i="20"/>
  <c r="S221" i="20"/>
  <c r="T220" i="20"/>
  <c r="S219" i="20"/>
  <c r="T218" i="20"/>
  <c r="S218" i="20"/>
  <c r="T217" i="20"/>
  <c r="S217" i="20"/>
  <c r="T216" i="20"/>
  <c r="S216" i="20"/>
  <c r="T215" i="20"/>
  <c r="S215" i="20"/>
  <c r="T214" i="20"/>
  <c r="S214" i="20"/>
  <c r="T213" i="20"/>
  <c r="S213" i="20"/>
  <c r="T212" i="20"/>
  <c r="S212" i="20"/>
  <c r="T211" i="20"/>
  <c r="S211" i="20"/>
  <c r="T210" i="20"/>
  <c r="S210" i="20"/>
  <c r="T209" i="20"/>
  <c r="S209" i="20"/>
  <c r="T208" i="20"/>
  <c r="S208" i="20"/>
  <c r="T207" i="20"/>
  <c r="S207" i="20"/>
  <c r="T206" i="20"/>
  <c r="S206" i="20"/>
  <c r="T205" i="20"/>
  <c r="S205" i="20"/>
  <c r="T204" i="20"/>
  <c r="S204" i="20"/>
  <c r="T203" i="20"/>
  <c r="S203" i="20"/>
  <c r="T202" i="20"/>
  <c r="S202" i="20"/>
  <c r="T201" i="20"/>
  <c r="S201" i="20"/>
  <c r="T200" i="20"/>
  <c r="S200" i="20"/>
  <c r="T199" i="20"/>
  <c r="S199" i="20"/>
  <c r="T198" i="20"/>
  <c r="T197" i="20"/>
  <c r="S196" i="20"/>
  <c r="T195" i="20"/>
  <c r="T194" i="20"/>
  <c r="S194" i="20"/>
  <c r="T193" i="20"/>
  <c r="S193" i="20"/>
  <c r="T192" i="20"/>
  <c r="S192" i="20"/>
  <c r="T191" i="20"/>
  <c r="S191" i="20"/>
  <c r="T190" i="20"/>
  <c r="S189" i="20"/>
  <c r="S188" i="20"/>
  <c r="T187" i="20"/>
  <c r="T186" i="20"/>
  <c r="S185" i="20"/>
  <c r="T184" i="20"/>
  <c r="T183" i="20"/>
  <c r="S183" i="20"/>
  <c r="T182" i="20"/>
  <c r="S182" i="20"/>
  <c r="T181" i="20"/>
  <c r="S181" i="20"/>
  <c r="T180" i="20"/>
  <c r="S180" i="20"/>
  <c r="T179" i="20"/>
  <c r="S179" i="20"/>
  <c r="T177" i="20"/>
  <c r="S177" i="20"/>
  <c r="T176" i="20"/>
  <c r="S176" i="20"/>
  <c r="T175" i="20"/>
  <c r="T174" i="20"/>
  <c r="T173" i="20"/>
  <c r="S172" i="20"/>
  <c r="S171" i="20"/>
  <c r="S170" i="20"/>
  <c r="S169" i="20"/>
  <c r="S168" i="20"/>
  <c r="S167" i="20"/>
  <c r="S166" i="20"/>
  <c r="S165" i="20"/>
  <c r="S164" i="20"/>
  <c r="S163" i="20"/>
  <c r="S162" i="20"/>
  <c r="S161" i="20"/>
  <c r="T160" i="20"/>
  <c r="S160" i="20"/>
  <c r="S159" i="20"/>
  <c r="S158" i="20"/>
  <c r="S157" i="20"/>
  <c r="S156" i="20"/>
  <c r="S155" i="20"/>
  <c r="S154" i="20"/>
  <c r="S153" i="20"/>
  <c r="S152" i="20"/>
  <c r="T151" i="20"/>
  <c r="T150" i="20"/>
  <c r="S149" i="20"/>
  <c r="S148" i="20"/>
  <c r="S147" i="20"/>
  <c r="T146" i="20"/>
  <c r="S145" i="20"/>
  <c r="S144" i="20"/>
  <c r="T143" i="20"/>
  <c r="T142" i="20"/>
  <c r="S141" i="20"/>
  <c r="T140" i="20"/>
  <c r="T139" i="20"/>
  <c r="S138" i="20"/>
  <c r="S137" i="20"/>
  <c r="S136" i="20"/>
  <c r="T135" i="20"/>
  <c r="S134" i="20"/>
  <c r="T133" i="20"/>
  <c r="T132" i="20"/>
  <c r="S131" i="20"/>
  <c r="T130" i="20"/>
  <c r="S129" i="20"/>
  <c r="T128" i="20"/>
  <c r="T127" i="20"/>
  <c r="S126" i="20"/>
  <c r="T125" i="20"/>
  <c r="S124" i="20"/>
  <c r="S123" i="20"/>
  <c r="T122" i="20"/>
  <c r="T121" i="20"/>
  <c r="S121" i="20"/>
  <c r="T120" i="20"/>
  <c r="S120" i="20"/>
  <c r="S119" i="20"/>
  <c r="T118" i="20"/>
  <c r="S117" i="20"/>
  <c r="T116" i="20"/>
  <c r="S115" i="20"/>
  <c r="T114" i="20"/>
  <c r="S112" i="20"/>
  <c r="S111" i="20"/>
  <c r="S110" i="20"/>
  <c r="S109" i="20"/>
  <c r="S108" i="20"/>
  <c r="S107" i="20"/>
  <c r="S106" i="20"/>
  <c r="S105" i="20"/>
  <c r="S104" i="20"/>
  <c r="S103" i="20"/>
  <c r="T101" i="20"/>
  <c r="T100" i="20"/>
  <c r="T99" i="20"/>
  <c r="T98" i="20"/>
  <c r="T97" i="20"/>
  <c r="T96" i="20"/>
  <c r="T95" i="20"/>
  <c r="T94" i="20"/>
  <c r="S89" i="20"/>
  <c r="S88" i="20"/>
  <c r="S87" i="20"/>
  <c r="S86" i="20"/>
  <c r="S85" i="20"/>
  <c r="S84" i="20"/>
  <c r="S83" i="20"/>
  <c r="S82" i="20"/>
  <c r="S81" i="20"/>
  <c r="S80" i="20"/>
  <c r="S79" i="20"/>
  <c r="S78" i="20"/>
  <c r="S77" i="20"/>
  <c r="S76" i="20"/>
  <c r="S75" i="20"/>
  <c r="S74" i="20"/>
  <c r="S73" i="20"/>
  <c r="S72" i="20"/>
  <c r="S71" i="20"/>
  <c r="T69" i="20"/>
  <c r="T68" i="20"/>
  <c r="T67" i="20"/>
  <c r="T66" i="20"/>
  <c r="T65" i="20"/>
  <c r="T64" i="20"/>
  <c r="T63" i="20"/>
  <c r="T62" i="20"/>
  <c r="T61" i="20"/>
  <c r="S61" i="20"/>
  <c r="T60" i="20"/>
  <c r="S60" i="20"/>
  <c r="T59" i="20"/>
  <c r="T58" i="20"/>
  <c r="T57" i="20"/>
  <c r="T56" i="20"/>
  <c r="S55" i="20"/>
  <c r="S54" i="20"/>
  <c r="T53" i="20"/>
  <c r="T52" i="20"/>
  <c r="T51" i="20"/>
  <c r="T50" i="20"/>
  <c r="T49" i="20"/>
  <c r="T48" i="20"/>
  <c r="T47" i="20"/>
  <c r="T46" i="20"/>
  <c r="T45" i="20"/>
  <c r="T44" i="20"/>
  <c r="T43" i="20"/>
  <c r="T42" i="20"/>
  <c r="T41" i="20"/>
  <c r="T40" i="20"/>
  <c r="T39" i="20"/>
  <c r="T38" i="20"/>
  <c r="T37" i="20"/>
  <c r="T36" i="20"/>
  <c r="T35" i="20"/>
  <c r="T34" i="20"/>
  <c r="T33" i="20"/>
  <c r="T32" i="20"/>
  <c r="T31" i="20"/>
  <c r="T30" i="20"/>
  <c r="T29" i="20"/>
  <c r="T28" i="20"/>
  <c r="T27" i="20"/>
  <c r="T26" i="20"/>
  <c r="T15" i="20"/>
  <c r="S15" i="20"/>
  <c r="T14" i="20"/>
  <c r="S14" i="20"/>
  <c r="T828" i="25"/>
  <c r="S828" i="25"/>
  <c r="T827" i="25"/>
  <c r="S827" i="25"/>
  <c r="T826" i="25"/>
  <c r="S826" i="25"/>
  <c r="T825" i="25"/>
  <c r="S825" i="25"/>
  <c r="T824" i="25"/>
  <c r="S824" i="25"/>
  <c r="T823" i="25"/>
  <c r="S823" i="25"/>
  <c r="T822" i="25"/>
  <c r="S822" i="25"/>
  <c r="T821" i="25"/>
  <c r="S821" i="25"/>
  <c r="T820" i="25"/>
  <c r="S820" i="25"/>
  <c r="T819" i="25"/>
  <c r="S819" i="25"/>
  <c r="T818" i="25"/>
  <c r="S818" i="25"/>
  <c r="T817" i="25"/>
  <c r="S817" i="25"/>
  <c r="T816" i="25"/>
  <c r="S816" i="25"/>
  <c r="T815" i="25"/>
  <c r="S815" i="25"/>
  <c r="T814" i="25"/>
  <c r="S814" i="25"/>
  <c r="T813" i="25"/>
  <c r="S813" i="25"/>
  <c r="T812" i="25"/>
  <c r="S812" i="25"/>
  <c r="T811" i="25"/>
  <c r="S811" i="25"/>
  <c r="T810" i="25"/>
  <c r="S810" i="25"/>
  <c r="T809" i="25"/>
  <c r="S809" i="25"/>
  <c r="T808" i="25"/>
  <c r="S808" i="25"/>
  <c r="T807" i="25"/>
  <c r="S807" i="25"/>
  <c r="T806" i="25"/>
  <c r="S806" i="25"/>
  <c r="T805" i="25"/>
  <c r="S805" i="25"/>
  <c r="T804" i="25"/>
  <c r="S804" i="25"/>
  <c r="T803" i="25"/>
  <c r="S803" i="25"/>
  <c r="T802" i="25"/>
  <c r="S802" i="25"/>
  <c r="T801" i="25"/>
  <c r="S801" i="25"/>
  <c r="T800" i="25"/>
  <c r="S800" i="25"/>
  <c r="T799" i="25"/>
  <c r="S799" i="25"/>
  <c r="T798" i="25"/>
  <c r="S798" i="25"/>
  <c r="T797" i="25"/>
  <c r="S797" i="25"/>
  <c r="T796" i="25"/>
  <c r="S796" i="25"/>
  <c r="T795" i="25"/>
  <c r="S795" i="25"/>
  <c r="T794" i="25"/>
  <c r="S794" i="25"/>
  <c r="T793" i="25"/>
  <c r="S793" i="25"/>
  <c r="T792" i="25"/>
  <c r="S792" i="25"/>
  <c r="T791" i="25"/>
  <c r="S791" i="25"/>
  <c r="T790" i="25"/>
  <c r="S790" i="25"/>
  <c r="T789" i="25"/>
  <c r="S789" i="25"/>
  <c r="T788" i="25"/>
  <c r="S788" i="25"/>
  <c r="T787" i="25"/>
  <c r="S787" i="25"/>
  <c r="T786" i="25"/>
  <c r="S786" i="25"/>
  <c r="T785" i="25"/>
  <c r="S785" i="25"/>
  <c r="T784" i="25"/>
  <c r="S784" i="25"/>
  <c r="T783" i="25"/>
  <c r="S783" i="25"/>
  <c r="T782" i="25"/>
  <c r="S782" i="25"/>
  <c r="T781" i="25"/>
  <c r="S781" i="25"/>
  <c r="T780" i="25"/>
  <c r="S780" i="25"/>
  <c r="T779" i="25"/>
  <c r="S779" i="25"/>
  <c r="T778" i="25"/>
  <c r="S778" i="25"/>
  <c r="T777" i="25"/>
  <c r="S777" i="25"/>
  <c r="T776" i="25"/>
  <c r="S776" i="25"/>
  <c r="T775" i="25"/>
  <c r="S775" i="25"/>
  <c r="T774" i="25"/>
  <c r="S774" i="25"/>
  <c r="T773" i="25"/>
  <c r="S773" i="25"/>
  <c r="T772" i="25"/>
  <c r="S772" i="25"/>
  <c r="T771" i="25"/>
  <c r="S771" i="25"/>
  <c r="T770" i="25"/>
  <c r="S770" i="25"/>
  <c r="T769" i="25"/>
  <c r="S769" i="25"/>
  <c r="T768" i="25"/>
  <c r="S768" i="25"/>
  <c r="T767" i="25"/>
  <c r="S767" i="25"/>
  <c r="T766" i="25"/>
  <c r="S766" i="25"/>
  <c r="T765" i="25"/>
  <c r="S765" i="25"/>
  <c r="T764" i="25"/>
  <c r="S764" i="25"/>
  <c r="T763" i="25"/>
  <c r="S763" i="25"/>
  <c r="V763" i="25" s="1"/>
  <c r="T762" i="25"/>
  <c r="S762" i="25"/>
  <c r="T760" i="25"/>
  <c r="S760" i="25"/>
  <c r="T759" i="25"/>
  <c r="S759" i="25"/>
  <c r="T758" i="25"/>
  <c r="S758" i="25"/>
  <c r="T757" i="25"/>
  <c r="S757" i="25"/>
  <c r="T756" i="25"/>
  <c r="S756" i="25"/>
  <c r="T755" i="25"/>
  <c r="S755" i="25"/>
  <c r="T754" i="25"/>
  <c r="S754" i="25"/>
  <c r="T753" i="25"/>
  <c r="S753" i="25"/>
  <c r="T752" i="25"/>
  <c r="S752" i="25"/>
  <c r="T751" i="25"/>
  <c r="S751" i="25"/>
  <c r="T750" i="25"/>
  <c r="S750" i="25"/>
  <c r="T749" i="25"/>
  <c r="S749" i="25"/>
  <c r="T748" i="25"/>
  <c r="S748" i="25"/>
  <c r="T747" i="25"/>
  <c r="S747" i="25"/>
  <c r="T746" i="25"/>
  <c r="S746" i="25"/>
  <c r="T745" i="25"/>
  <c r="S745" i="25"/>
  <c r="T744" i="25"/>
  <c r="S744" i="25"/>
  <c r="T743" i="25"/>
  <c r="S743" i="25"/>
  <c r="T742" i="25"/>
  <c r="S742" i="25"/>
  <c r="T741" i="25"/>
  <c r="S741" i="25"/>
  <c r="T740" i="25"/>
  <c r="S740" i="25"/>
  <c r="T739" i="25"/>
  <c r="S739" i="25"/>
  <c r="T738" i="25"/>
  <c r="S738" i="25"/>
  <c r="T737" i="25"/>
  <c r="S737" i="25"/>
  <c r="T736" i="25"/>
  <c r="S736" i="25"/>
  <c r="T735" i="25"/>
  <c r="S735" i="25"/>
  <c r="T734" i="25"/>
  <c r="S734" i="25"/>
  <c r="T733" i="25"/>
  <c r="S733" i="25"/>
  <c r="T732" i="25"/>
  <c r="S732" i="25"/>
  <c r="T731" i="25"/>
  <c r="S731" i="25"/>
  <c r="T730" i="25"/>
  <c r="S730" i="25"/>
  <c r="T729" i="25"/>
  <c r="S729" i="25"/>
  <c r="T728" i="25"/>
  <c r="S728" i="25"/>
  <c r="T727" i="25"/>
  <c r="S727" i="25"/>
  <c r="T726" i="25"/>
  <c r="S726" i="25"/>
  <c r="T725" i="25"/>
  <c r="S725" i="25"/>
  <c r="T724" i="25"/>
  <c r="S724" i="25"/>
  <c r="T723" i="25"/>
  <c r="S723" i="25"/>
  <c r="T722" i="25"/>
  <c r="S722" i="25"/>
  <c r="T721" i="25"/>
  <c r="S721" i="25"/>
  <c r="T720" i="25"/>
  <c r="S720" i="25"/>
  <c r="T719" i="25"/>
  <c r="S719" i="25"/>
  <c r="T718" i="25"/>
  <c r="S718" i="25"/>
  <c r="T717" i="25"/>
  <c r="S717" i="25"/>
  <c r="T716" i="25"/>
  <c r="S716" i="25"/>
  <c r="T715" i="25"/>
  <c r="S715" i="25"/>
  <c r="T714" i="25"/>
  <c r="S714" i="25"/>
  <c r="T713" i="25"/>
  <c r="S713" i="25"/>
  <c r="T712" i="25"/>
  <c r="S712" i="25"/>
  <c r="T711" i="25"/>
  <c r="S711" i="25"/>
  <c r="T710" i="25"/>
  <c r="S710" i="25"/>
  <c r="T709" i="25"/>
  <c r="S709" i="25"/>
  <c r="T708" i="25"/>
  <c r="S708" i="25"/>
  <c r="T707" i="25"/>
  <c r="S707" i="25"/>
  <c r="T706" i="25"/>
  <c r="S706" i="25"/>
  <c r="T705" i="25"/>
  <c r="S705" i="25"/>
  <c r="T704" i="25"/>
  <c r="S704" i="25"/>
  <c r="T703" i="25"/>
  <c r="S703" i="25"/>
  <c r="T702" i="25"/>
  <c r="S702" i="25"/>
  <c r="T701" i="25"/>
  <c r="S701" i="25"/>
  <c r="T700" i="25"/>
  <c r="S700" i="25"/>
  <c r="T699" i="25"/>
  <c r="S699" i="25"/>
  <c r="T698" i="25"/>
  <c r="S698" i="25"/>
  <c r="T697" i="25"/>
  <c r="S697" i="25"/>
  <c r="T696" i="25"/>
  <c r="S696" i="25"/>
  <c r="T695" i="25"/>
  <c r="S695" i="25"/>
  <c r="T694" i="25"/>
  <c r="S694" i="25"/>
  <c r="T693" i="25"/>
  <c r="S693" i="25"/>
  <c r="T692" i="25"/>
  <c r="S692" i="25"/>
  <c r="T691" i="25"/>
  <c r="S691" i="25"/>
  <c r="T690" i="25"/>
  <c r="S690" i="25"/>
  <c r="T689" i="25"/>
  <c r="S689" i="25"/>
  <c r="T688" i="25"/>
  <c r="S688" i="25"/>
  <c r="T687" i="25"/>
  <c r="S687" i="25"/>
  <c r="T686" i="25"/>
  <c r="S686" i="25"/>
  <c r="T685" i="25"/>
  <c r="S685" i="25"/>
  <c r="T684" i="25"/>
  <c r="S684" i="25"/>
  <c r="T683" i="25"/>
  <c r="S683" i="25"/>
  <c r="T682" i="25"/>
  <c r="S682" i="25"/>
  <c r="T681" i="25"/>
  <c r="S681" i="25"/>
  <c r="T680" i="25"/>
  <c r="S680" i="25"/>
  <c r="T679" i="25"/>
  <c r="S679" i="25"/>
  <c r="T678" i="25"/>
  <c r="S678" i="25"/>
  <c r="T677" i="25"/>
  <c r="S677" i="25"/>
  <c r="T676" i="25"/>
  <c r="S676" i="25"/>
  <c r="T675" i="25"/>
  <c r="S675" i="25"/>
  <c r="T674" i="25"/>
  <c r="S674" i="25"/>
  <c r="T673" i="25"/>
  <c r="S673" i="25"/>
  <c r="T672" i="25"/>
  <c r="S672" i="25"/>
  <c r="T671" i="25"/>
  <c r="S671" i="25"/>
  <c r="T670" i="25"/>
  <c r="S670" i="25"/>
  <c r="T669" i="25"/>
  <c r="S669" i="25"/>
  <c r="T668" i="25"/>
  <c r="S668" i="25"/>
  <c r="T667" i="25"/>
  <c r="S667" i="25"/>
  <c r="T666" i="25"/>
  <c r="S666" i="25"/>
  <c r="T665" i="25"/>
  <c r="S665" i="25"/>
  <c r="T664" i="25"/>
  <c r="S664" i="25"/>
  <c r="T663" i="25"/>
  <c r="S663" i="25"/>
  <c r="T662" i="25"/>
  <c r="S662" i="25"/>
  <c r="T661" i="25"/>
  <c r="S661" i="25"/>
  <c r="T660" i="25"/>
  <c r="S660" i="25"/>
  <c r="T659" i="25"/>
  <c r="S659" i="25"/>
  <c r="T658" i="25"/>
  <c r="S658" i="25"/>
  <c r="T657" i="25"/>
  <c r="S657" i="25"/>
  <c r="T656" i="25"/>
  <c r="S656" i="25"/>
  <c r="T655" i="25"/>
  <c r="S655" i="25"/>
  <c r="T654" i="25"/>
  <c r="S654" i="25"/>
  <c r="T653" i="25"/>
  <c r="S653" i="25"/>
  <c r="T652" i="25"/>
  <c r="S652" i="25"/>
  <c r="T651" i="25"/>
  <c r="S651" i="25"/>
  <c r="T650" i="25"/>
  <c r="S650" i="25"/>
  <c r="T649" i="25"/>
  <c r="S649" i="25"/>
  <c r="T648" i="25"/>
  <c r="S648" i="25"/>
  <c r="T647" i="25"/>
  <c r="S647" i="25"/>
  <c r="T646" i="25"/>
  <c r="S646" i="25"/>
  <c r="T645" i="25"/>
  <c r="S645" i="25"/>
  <c r="T644" i="25"/>
  <c r="S644" i="25"/>
  <c r="T643" i="25"/>
  <c r="S643" i="25"/>
  <c r="T642" i="25"/>
  <c r="S642" i="25"/>
  <c r="T641" i="25"/>
  <c r="S641" i="25"/>
  <c r="T640" i="25"/>
  <c r="S640" i="25"/>
  <c r="V640" i="25"/>
  <c r="T639" i="25"/>
  <c r="S639" i="25"/>
  <c r="T638" i="25"/>
  <c r="S638" i="25"/>
  <c r="T637" i="25"/>
  <c r="S637" i="25"/>
  <c r="T636" i="25"/>
  <c r="S636" i="25"/>
  <c r="T635" i="25"/>
  <c r="S635" i="25"/>
  <c r="T634" i="25"/>
  <c r="S634" i="25"/>
  <c r="T633" i="25"/>
  <c r="S633" i="25"/>
  <c r="T632" i="25"/>
  <c r="S632" i="25"/>
  <c r="T631" i="25"/>
  <c r="S631" i="25"/>
  <c r="T630" i="25"/>
  <c r="S630" i="25"/>
  <c r="T629" i="25"/>
  <c r="S629" i="25"/>
  <c r="T628" i="25"/>
  <c r="S628" i="25"/>
  <c r="T627" i="25"/>
  <c r="S627" i="25"/>
  <c r="T626" i="25"/>
  <c r="S626" i="25"/>
  <c r="T625" i="25"/>
  <c r="S625" i="25"/>
  <c r="T624" i="25"/>
  <c r="S624" i="25"/>
  <c r="T623" i="25"/>
  <c r="S623" i="25"/>
  <c r="T622" i="25"/>
  <c r="S622" i="25"/>
  <c r="T621" i="25"/>
  <c r="S621" i="25"/>
  <c r="T620" i="25"/>
  <c r="S620" i="25"/>
  <c r="T619" i="25"/>
  <c r="S619" i="25"/>
  <c r="T618" i="25"/>
  <c r="S618" i="25"/>
  <c r="T617" i="25"/>
  <c r="S617" i="25"/>
  <c r="T616" i="25"/>
  <c r="S616" i="25"/>
  <c r="T615" i="25"/>
  <c r="S615" i="25"/>
  <c r="T614" i="25"/>
  <c r="S614" i="25"/>
  <c r="T613" i="25"/>
  <c r="S613" i="25"/>
  <c r="T612" i="25"/>
  <c r="S612" i="25"/>
  <c r="T611" i="25"/>
  <c r="S611" i="25"/>
  <c r="T610" i="25"/>
  <c r="S610" i="25"/>
  <c r="T609" i="25"/>
  <c r="S609" i="25"/>
  <c r="S608" i="25"/>
  <c r="T607" i="25"/>
  <c r="S607" i="25"/>
  <c r="T606" i="25"/>
  <c r="S606" i="25"/>
  <c r="T605" i="25"/>
  <c r="S605" i="25"/>
  <c r="S604" i="25"/>
  <c r="T603" i="25"/>
  <c r="S603" i="25"/>
  <c r="T602" i="25"/>
  <c r="S602" i="25"/>
  <c r="T600" i="25"/>
  <c r="S600" i="25"/>
  <c r="T599" i="25"/>
  <c r="S599" i="25"/>
  <c r="T598" i="25"/>
  <c r="S598" i="25"/>
  <c r="T597" i="25"/>
  <c r="S597" i="25"/>
  <c r="T596" i="25"/>
  <c r="S596" i="25"/>
  <c r="T595" i="25"/>
  <c r="S595" i="25"/>
  <c r="T594" i="25"/>
  <c r="S594" i="25"/>
  <c r="T593" i="25"/>
  <c r="S593" i="25"/>
  <c r="T592" i="25"/>
  <c r="S592" i="25"/>
  <c r="T591" i="25"/>
  <c r="S591" i="25"/>
  <c r="T590" i="25"/>
  <c r="S590" i="25"/>
  <c r="T589" i="25"/>
  <c r="S589" i="25"/>
  <c r="T588" i="25"/>
  <c r="S588" i="25"/>
  <c r="T587" i="25"/>
  <c r="S587" i="25"/>
  <c r="T586" i="25"/>
  <c r="S586" i="25"/>
  <c r="T585" i="25"/>
  <c r="S585" i="25"/>
  <c r="T584" i="25"/>
  <c r="S584" i="25"/>
  <c r="T583" i="25"/>
  <c r="S583" i="25"/>
  <c r="T582" i="25"/>
  <c r="S582" i="25"/>
  <c r="T581" i="25"/>
  <c r="S581" i="25"/>
  <c r="T580" i="25"/>
  <c r="S579" i="25"/>
  <c r="T578" i="25"/>
  <c r="T577" i="25"/>
  <c r="T576" i="25"/>
  <c r="S575" i="25"/>
  <c r="S574" i="25"/>
  <c r="S573" i="25"/>
  <c r="T572" i="25"/>
  <c r="T571" i="25"/>
  <c r="T569" i="25"/>
  <c r="T568" i="25"/>
  <c r="T567" i="25"/>
  <c r="T566" i="25"/>
  <c r="T565" i="25"/>
  <c r="S565" i="25"/>
  <c r="T564" i="25"/>
  <c r="S564" i="25"/>
  <c r="T563" i="25"/>
  <c r="S563" i="25"/>
  <c r="T562" i="25"/>
  <c r="S562" i="25"/>
  <c r="T561" i="25"/>
  <c r="S561" i="25"/>
  <c r="T560" i="25"/>
  <c r="S560" i="25"/>
  <c r="T559" i="25"/>
  <c r="S559" i="25"/>
  <c r="T558" i="25"/>
  <c r="S558" i="25"/>
  <c r="T557" i="25"/>
  <c r="S557" i="25"/>
  <c r="T556" i="25"/>
  <c r="S556" i="25"/>
  <c r="T555" i="25"/>
  <c r="S555" i="25"/>
  <c r="T554" i="25"/>
  <c r="S554" i="25"/>
  <c r="T553" i="25"/>
  <c r="S553" i="25"/>
  <c r="T552" i="25"/>
  <c r="S552" i="25"/>
  <c r="T551" i="25"/>
  <c r="S551" i="25"/>
  <c r="T550" i="25"/>
  <c r="S550" i="25"/>
  <c r="T549" i="25"/>
  <c r="S549" i="25"/>
  <c r="T548" i="25"/>
  <c r="S548" i="25"/>
  <c r="T547" i="25"/>
  <c r="S547" i="25"/>
  <c r="T546" i="25"/>
  <c r="S546" i="25"/>
  <c r="T545" i="25"/>
  <c r="S545" i="25"/>
  <c r="T544" i="25"/>
  <c r="S544" i="25"/>
  <c r="T543" i="25"/>
  <c r="S543" i="25"/>
  <c r="T542" i="25"/>
  <c r="S542" i="25"/>
  <c r="T541" i="25"/>
  <c r="S541" i="25"/>
  <c r="T540" i="25"/>
  <c r="S540" i="25"/>
  <c r="T539" i="25"/>
  <c r="S539" i="25"/>
  <c r="T538" i="25"/>
  <c r="S538" i="25"/>
  <c r="T537" i="25"/>
  <c r="S537" i="25"/>
  <c r="T536" i="25"/>
  <c r="S536" i="25"/>
  <c r="T535" i="25"/>
  <c r="S535" i="25"/>
  <c r="T534" i="25"/>
  <c r="S534" i="25"/>
  <c r="T533" i="25"/>
  <c r="S533" i="25"/>
  <c r="T532" i="25"/>
  <c r="S532" i="25"/>
  <c r="T531" i="25"/>
  <c r="S531" i="25"/>
  <c r="T530" i="25"/>
  <c r="S530" i="25"/>
  <c r="T529" i="25"/>
  <c r="S529" i="25"/>
  <c r="T528" i="25"/>
  <c r="S528" i="25"/>
  <c r="T527" i="25"/>
  <c r="S527" i="25"/>
  <c r="T526" i="25"/>
  <c r="S526" i="25"/>
  <c r="T525" i="25"/>
  <c r="S525" i="25"/>
  <c r="T524" i="25"/>
  <c r="S524" i="25"/>
  <c r="T523" i="25"/>
  <c r="S523" i="25"/>
  <c r="T522" i="25"/>
  <c r="S522" i="25"/>
  <c r="T521" i="25"/>
  <c r="S521" i="25"/>
  <c r="T520" i="25"/>
  <c r="S520" i="25"/>
  <c r="T519" i="25"/>
  <c r="S519" i="25"/>
  <c r="T518" i="25"/>
  <c r="S518" i="25"/>
  <c r="T517" i="25"/>
  <c r="S517" i="25"/>
  <c r="T516" i="25"/>
  <c r="S516" i="25"/>
  <c r="T515" i="25"/>
  <c r="S515" i="25"/>
  <c r="T514" i="25"/>
  <c r="S514" i="25"/>
  <c r="T513" i="25"/>
  <c r="S513" i="25"/>
  <c r="T512" i="25"/>
  <c r="S512" i="25"/>
  <c r="T511" i="25"/>
  <c r="S511" i="25"/>
  <c r="T510" i="25"/>
  <c r="S510" i="25"/>
  <c r="T509" i="25"/>
  <c r="S509" i="25"/>
  <c r="T508" i="25"/>
  <c r="S508" i="25"/>
  <c r="T507" i="25"/>
  <c r="S507" i="25"/>
  <c r="T506" i="25"/>
  <c r="S506" i="25"/>
  <c r="T505" i="25"/>
  <c r="S505" i="25"/>
  <c r="T504" i="25"/>
  <c r="S504" i="25"/>
  <c r="T503" i="25"/>
  <c r="S503" i="25"/>
  <c r="T502" i="25"/>
  <c r="S502" i="25"/>
  <c r="T501" i="25"/>
  <c r="S501" i="25"/>
  <c r="T500" i="25"/>
  <c r="S500" i="25"/>
  <c r="T499" i="25"/>
  <c r="S499" i="25"/>
  <c r="T498" i="25"/>
  <c r="S498" i="25"/>
  <c r="T497" i="25"/>
  <c r="S497" i="25"/>
  <c r="T496" i="25"/>
  <c r="S496" i="25"/>
  <c r="T495" i="25"/>
  <c r="S495" i="25"/>
  <c r="T494" i="25"/>
  <c r="S494" i="25"/>
  <c r="T493" i="25"/>
  <c r="S493" i="25"/>
  <c r="T492" i="25"/>
  <c r="S492" i="25"/>
  <c r="T491" i="25"/>
  <c r="S491" i="25"/>
  <c r="T490" i="25"/>
  <c r="S490" i="25"/>
  <c r="T489" i="25"/>
  <c r="S489" i="25"/>
  <c r="T488" i="25"/>
  <c r="S488" i="25"/>
  <c r="T487" i="25"/>
  <c r="S487" i="25"/>
  <c r="T486" i="25"/>
  <c r="S486" i="25"/>
  <c r="T485" i="25"/>
  <c r="S485" i="25"/>
  <c r="T484" i="25"/>
  <c r="S484" i="25"/>
  <c r="T483" i="25"/>
  <c r="S483" i="25"/>
  <c r="T482" i="25"/>
  <c r="S482" i="25"/>
  <c r="T481" i="25"/>
  <c r="S481" i="25"/>
  <c r="T480" i="25"/>
  <c r="S480" i="25"/>
  <c r="T479" i="25"/>
  <c r="S479" i="25"/>
  <c r="T478" i="25"/>
  <c r="S478" i="25"/>
  <c r="T477" i="25"/>
  <c r="S477" i="25"/>
  <c r="T476" i="25"/>
  <c r="S476" i="25"/>
  <c r="T475" i="25"/>
  <c r="S475" i="25"/>
  <c r="T474" i="25"/>
  <c r="S474" i="25"/>
  <c r="T473" i="25"/>
  <c r="S473" i="25"/>
  <c r="T472" i="25"/>
  <c r="S472" i="25"/>
  <c r="T471" i="25"/>
  <c r="S471" i="25"/>
  <c r="T470" i="25"/>
  <c r="S470" i="25"/>
  <c r="T469" i="25"/>
  <c r="S469" i="25"/>
  <c r="T468" i="25"/>
  <c r="S468" i="25"/>
  <c r="T467" i="25"/>
  <c r="S467" i="25"/>
  <c r="T466" i="25"/>
  <c r="S466" i="25"/>
  <c r="T465" i="25"/>
  <c r="S465" i="25"/>
  <c r="T464" i="25"/>
  <c r="S464" i="25"/>
  <c r="T463" i="25"/>
  <c r="S463" i="25"/>
  <c r="T462" i="25"/>
  <c r="S462" i="25"/>
  <c r="T461" i="25"/>
  <c r="S461" i="25"/>
  <c r="T460" i="25"/>
  <c r="S460" i="25"/>
  <c r="T459" i="25"/>
  <c r="S459" i="25"/>
  <c r="T458" i="25"/>
  <c r="S458" i="25"/>
  <c r="T457" i="25"/>
  <c r="S457" i="25"/>
  <c r="T456" i="25"/>
  <c r="S456" i="25"/>
  <c r="T455" i="25"/>
  <c r="S455" i="25"/>
  <c r="T454" i="25"/>
  <c r="S454" i="25"/>
  <c r="T453" i="25"/>
  <c r="S453" i="25"/>
  <c r="T452" i="25"/>
  <c r="S452" i="25"/>
  <c r="T451" i="25"/>
  <c r="S451" i="25"/>
  <c r="T450" i="25"/>
  <c r="S450" i="25"/>
  <c r="T449" i="25"/>
  <c r="S449" i="25"/>
  <c r="T448" i="25"/>
  <c r="S448" i="25"/>
  <c r="T447" i="25"/>
  <c r="S447" i="25"/>
  <c r="T446" i="25"/>
  <c r="S446" i="25"/>
  <c r="T445" i="25"/>
  <c r="S445" i="25"/>
  <c r="T444" i="25"/>
  <c r="S444" i="25"/>
  <c r="T443" i="25"/>
  <c r="S443" i="25"/>
  <c r="T442" i="25"/>
  <c r="S442" i="25"/>
  <c r="T441" i="25"/>
  <c r="S441" i="25"/>
  <c r="T440" i="25"/>
  <c r="S440" i="25"/>
  <c r="T439" i="25"/>
  <c r="S439" i="25"/>
  <c r="T438" i="25"/>
  <c r="S438" i="25"/>
  <c r="T437" i="25"/>
  <c r="S437" i="25"/>
  <c r="T436" i="25"/>
  <c r="S436" i="25"/>
  <c r="T435" i="25"/>
  <c r="S435" i="25"/>
  <c r="T434" i="25"/>
  <c r="S434" i="25"/>
  <c r="T433" i="25"/>
  <c r="S433" i="25"/>
  <c r="T432" i="25"/>
  <c r="S432" i="25"/>
  <c r="T431" i="25"/>
  <c r="S431" i="25"/>
  <c r="T430" i="25"/>
  <c r="S430" i="25"/>
  <c r="T429" i="25"/>
  <c r="S429" i="25"/>
  <c r="T428" i="25"/>
  <c r="S428" i="25"/>
  <c r="T427" i="25"/>
  <c r="S427" i="25"/>
  <c r="T426" i="25"/>
  <c r="S426" i="25"/>
  <c r="T425" i="25"/>
  <c r="S425" i="25"/>
  <c r="T424" i="25"/>
  <c r="S424" i="25"/>
  <c r="T423" i="25"/>
  <c r="S423" i="25"/>
  <c r="T422" i="25"/>
  <c r="S422" i="25"/>
  <c r="T421" i="25"/>
  <c r="S421" i="25"/>
  <c r="T420" i="25"/>
  <c r="S420" i="25"/>
  <c r="T419" i="25"/>
  <c r="S419" i="25"/>
  <c r="T418" i="25"/>
  <c r="S418" i="25"/>
  <c r="T417" i="25"/>
  <c r="S417" i="25"/>
  <c r="T416" i="25"/>
  <c r="S415" i="25"/>
  <c r="T414" i="25"/>
  <c r="S414" i="25"/>
  <c r="T413" i="25"/>
  <c r="S413" i="25"/>
  <c r="T412" i="25"/>
  <c r="S412" i="25"/>
  <c r="T411" i="25"/>
  <c r="S411" i="25"/>
  <c r="T410" i="25"/>
  <c r="S410" i="25"/>
  <c r="T409" i="25"/>
  <c r="S409" i="25"/>
  <c r="V409" i="25" s="1"/>
  <c r="T408" i="25"/>
  <c r="S408" i="25"/>
  <c r="T407" i="25"/>
  <c r="V407" i="25" s="1"/>
  <c r="S407" i="25"/>
  <c r="T406" i="25"/>
  <c r="S406" i="25"/>
  <c r="V406" i="25" s="1"/>
  <c r="T405" i="25"/>
  <c r="S405" i="25"/>
  <c r="V405" i="25"/>
  <c r="T404" i="25"/>
  <c r="S404" i="25"/>
  <c r="T403" i="25"/>
  <c r="S403" i="25"/>
  <c r="V403" i="25" s="1"/>
  <c r="T402" i="25"/>
  <c r="S402" i="25"/>
  <c r="V402" i="25"/>
  <c r="T401" i="25"/>
  <c r="S401" i="25"/>
  <c r="T400" i="25"/>
  <c r="S400" i="25"/>
  <c r="T399" i="25"/>
  <c r="S399" i="25"/>
  <c r="T398" i="25"/>
  <c r="S398" i="25"/>
  <c r="T397" i="25"/>
  <c r="S397" i="25"/>
  <c r="T396" i="25"/>
  <c r="S396" i="25"/>
  <c r="T395" i="25"/>
  <c r="S395" i="25"/>
  <c r="T394" i="25"/>
  <c r="S394" i="25"/>
  <c r="T393" i="25"/>
  <c r="S393" i="25"/>
  <c r="T392" i="25"/>
  <c r="S392" i="25"/>
  <c r="T391" i="25"/>
  <c r="S391" i="25"/>
  <c r="T390" i="25"/>
  <c r="S390" i="25"/>
  <c r="T389" i="25"/>
  <c r="S389" i="25"/>
  <c r="T388" i="25"/>
  <c r="S388" i="25"/>
  <c r="T387" i="25"/>
  <c r="S387" i="25"/>
  <c r="T386" i="25"/>
  <c r="S386" i="25"/>
  <c r="T385" i="25"/>
  <c r="S385" i="25"/>
  <c r="T384" i="25"/>
  <c r="S384" i="25"/>
  <c r="T382" i="25"/>
  <c r="T381" i="25"/>
  <c r="T380" i="25"/>
  <c r="S379" i="25"/>
  <c r="S378" i="25"/>
  <c r="S377" i="25"/>
  <c r="S376" i="25"/>
  <c r="S375" i="25"/>
  <c r="S374" i="25"/>
  <c r="S373" i="25"/>
  <c r="S372" i="25"/>
  <c r="S371" i="25"/>
  <c r="S370" i="25"/>
  <c r="S369" i="25"/>
  <c r="S368" i="25"/>
  <c r="T367" i="25"/>
  <c r="T366" i="25"/>
  <c r="T365" i="25"/>
  <c r="T364" i="25"/>
  <c r="S363" i="25"/>
  <c r="S362" i="25"/>
  <c r="S361" i="25"/>
  <c r="S360" i="25"/>
  <c r="S359" i="25"/>
  <c r="S358" i="25"/>
  <c r="S357" i="25"/>
  <c r="S356" i="25"/>
  <c r="S355" i="25"/>
  <c r="S354" i="25"/>
  <c r="S353" i="25"/>
  <c r="S352" i="25"/>
  <c r="S351" i="25"/>
  <c r="S350" i="25"/>
  <c r="S349" i="25"/>
  <c r="S348" i="25"/>
  <c r="S347" i="25"/>
  <c r="S346" i="25"/>
  <c r="T345" i="25"/>
  <c r="S345" i="25"/>
  <c r="T344" i="25"/>
  <c r="S344" i="25"/>
  <c r="S343" i="25"/>
  <c r="S342" i="25"/>
  <c r="S341" i="25"/>
  <c r="S340" i="25"/>
  <c r="S339" i="25"/>
  <c r="S338" i="25"/>
  <c r="T337" i="25"/>
  <c r="S336" i="25"/>
  <c r="S335" i="25"/>
  <c r="S334" i="25"/>
  <c r="S333" i="25"/>
  <c r="S332" i="25"/>
  <c r="S331" i="25"/>
  <c r="T330" i="25"/>
  <c r="S330" i="25"/>
  <c r="T329" i="25"/>
  <c r="S329" i="25"/>
  <c r="T328" i="25"/>
  <c r="S328" i="25"/>
  <c r="T327" i="25"/>
  <c r="S327" i="25"/>
  <c r="S326" i="25"/>
  <c r="S325" i="25"/>
  <c r="S324" i="25"/>
  <c r="S323" i="25"/>
  <c r="T322" i="25"/>
  <c r="S322" i="25"/>
  <c r="S321" i="25"/>
  <c r="S320" i="25"/>
  <c r="S319" i="25"/>
  <c r="S318" i="25"/>
  <c r="S317" i="25"/>
  <c r="S316" i="25"/>
  <c r="S315" i="25"/>
  <c r="S314" i="25"/>
  <c r="S313" i="25"/>
  <c r="S312" i="25"/>
  <c r="S311" i="25"/>
  <c r="S310" i="25"/>
  <c r="S309" i="25"/>
  <c r="S308" i="25"/>
  <c r="S307" i="25"/>
  <c r="S306" i="25"/>
  <c r="S305" i="25"/>
  <c r="S304" i="25"/>
  <c r="S303" i="25"/>
  <c r="S302" i="25"/>
  <c r="S301" i="25"/>
  <c r="S300" i="25"/>
  <c r="S299" i="25"/>
  <c r="S298" i="25"/>
  <c r="S297" i="25"/>
  <c r="S296" i="25"/>
  <c r="S295" i="25"/>
  <c r="S294" i="25"/>
  <c r="S293" i="25"/>
  <c r="S292" i="25"/>
  <c r="S291" i="25"/>
  <c r="S290" i="25"/>
  <c r="S289" i="25"/>
  <c r="S288" i="25"/>
  <c r="S287" i="25"/>
  <c r="S286" i="25"/>
  <c r="T284" i="25"/>
  <c r="S283" i="25"/>
  <c r="T282" i="25"/>
  <c r="S282" i="25"/>
  <c r="T281" i="25"/>
  <c r="S281" i="25"/>
  <c r="T280" i="25"/>
  <c r="S280" i="25"/>
  <c r="T279" i="25"/>
  <c r="S279" i="25"/>
  <c r="T278" i="25"/>
  <c r="S278" i="25"/>
  <c r="T277" i="25"/>
  <c r="S277" i="25"/>
  <c r="T276" i="25"/>
  <c r="S276" i="25"/>
  <c r="T275" i="25"/>
  <c r="S275" i="25"/>
  <c r="T274" i="25"/>
  <c r="S274" i="25"/>
  <c r="T273" i="25"/>
  <c r="S273" i="25"/>
  <c r="T272" i="25"/>
  <c r="S272" i="25"/>
  <c r="T271" i="25"/>
  <c r="S271" i="25"/>
  <c r="T270" i="25"/>
  <c r="T269" i="25"/>
  <c r="T268" i="25"/>
  <c r="T267" i="25"/>
  <c r="T266" i="25"/>
  <c r="T265" i="25"/>
  <c r="T264" i="25"/>
  <c r="T263" i="25"/>
  <c r="T262" i="25"/>
  <c r="T261" i="25"/>
  <c r="T260" i="25"/>
  <c r="T259" i="25"/>
  <c r="T258" i="25"/>
  <c r="T257" i="25"/>
  <c r="S256" i="25"/>
  <c r="S255" i="25"/>
  <c r="S254" i="25"/>
  <c r="S253" i="25"/>
  <c r="T252" i="25"/>
  <c r="T251" i="25"/>
  <c r="S250" i="25"/>
  <c r="S249" i="25"/>
  <c r="S248" i="25"/>
  <c r="S247" i="25"/>
  <c r="S246" i="25"/>
  <c r="S245" i="25"/>
  <c r="T244" i="25"/>
  <c r="T243" i="25"/>
  <c r="T242" i="25"/>
  <c r="T241" i="25"/>
  <c r="S240" i="25"/>
  <c r="S239" i="25"/>
  <c r="T238" i="25"/>
  <c r="T237" i="25"/>
  <c r="S236" i="25"/>
  <c r="T235" i="25"/>
  <c r="T234" i="25"/>
  <c r="T233" i="25"/>
  <c r="T232" i="25"/>
  <c r="S231" i="25"/>
  <c r="S230" i="25"/>
  <c r="S229" i="25"/>
  <c r="T228" i="25"/>
  <c r="T227" i="25"/>
  <c r="T226" i="25"/>
  <c r="T225" i="25"/>
  <c r="T224" i="25"/>
  <c r="S223" i="25"/>
  <c r="T222" i="25"/>
  <c r="S221" i="25"/>
  <c r="T220" i="25"/>
  <c r="S219" i="25"/>
  <c r="T218" i="25"/>
  <c r="S218" i="25"/>
  <c r="T217" i="25"/>
  <c r="S217" i="25"/>
  <c r="T216" i="25"/>
  <c r="S216" i="25"/>
  <c r="T215" i="25"/>
  <c r="S215" i="25"/>
  <c r="T214" i="25"/>
  <c r="S214" i="25"/>
  <c r="T213" i="25"/>
  <c r="S213" i="25"/>
  <c r="T212" i="25"/>
  <c r="S212" i="25"/>
  <c r="T211" i="25"/>
  <c r="S211" i="25"/>
  <c r="T210" i="25"/>
  <c r="S210" i="25"/>
  <c r="T209" i="25"/>
  <c r="S209" i="25"/>
  <c r="T208" i="25"/>
  <c r="S208" i="25"/>
  <c r="T207" i="25"/>
  <c r="S207" i="25"/>
  <c r="T206" i="25"/>
  <c r="S206" i="25"/>
  <c r="T205" i="25"/>
  <c r="S205" i="25"/>
  <c r="T204" i="25"/>
  <c r="S204" i="25"/>
  <c r="T203" i="25"/>
  <c r="S203" i="25"/>
  <c r="T202" i="25"/>
  <c r="S202" i="25"/>
  <c r="T201" i="25"/>
  <c r="S201" i="25"/>
  <c r="T200" i="25"/>
  <c r="S200" i="25"/>
  <c r="T199" i="25"/>
  <c r="S199" i="25"/>
  <c r="T198" i="25"/>
  <c r="T197" i="25"/>
  <c r="S196" i="25"/>
  <c r="T195" i="25"/>
  <c r="T194" i="25"/>
  <c r="S194" i="25"/>
  <c r="T193" i="25"/>
  <c r="S193" i="25"/>
  <c r="T192" i="25"/>
  <c r="S192" i="25"/>
  <c r="T191" i="25"/>
  <c r="S191" i="25"/>
  <c r="T190" i="25"/>
  <c r="S189" i="25"/>
  <c r="S188" i="25"/>
  <c r="T187" i="25"/>
  <c r="T186" i="25"/>
  <c r="S185" i="25"/>
  <c r="T184" i="25"/>
  <c r="T183" i="25"/>
  <c r="S183" i="25"/>
  <c r="T182" i="25"/>
  <c r="S182" i="25"/>
  <c r="T181" i="25"/>
  <c r="S181" i="25"/>
  <c r="T180" i="25"/>
  <c r="S180" i="25"/>
  <c r="T179" i="25"/>
  <c r="S179" i="25"/>
  <c r="T177" i="25"/>
  <c r="S177" i="25"/>
  <c r="T176" i="25"/>
  <c r="S176" i="25"/>
  <c r="T175" i="25"/>
  <c r="T174" i="25"/>
  <c r="T173" i="25"/>
  <c r="S172" i="25"/>
  <c r="S171" i="25"/>
  <c r="S170" i="25"/>
  <c r="S169" i="25"/>
  <c r="S168" i="25"/>
  <c r="S167" i="25"/>
  <c r="S166" i="25"/>
  <c r="S165" i="25"/>
  <c r="S164" i="25"/>
  <c r="S163" i="25"/>
  <c r="S162" i="25"/>
  <c r="S161" i="25"/>
  <c r="T160" i="25"/>
  <c r="S160" i="25"/>
  <c r="S159" i="25"/>
  <c r="S158" i="25"/>
  <c r="S157" i="25"/>
  <c r="S156" i="25"/>
  <c r="S155" i="25"/>
  <c r="S154" i="25"/>
  <c r="S153" i="25"/>
  <c r="S152" i="25"/>
  <c r="T151" i="25"/>
  <c r="T150" i="25"/>
  <c r="S149" i="25"/>
  <c r="S148" i="25"/>
  <c r="S147" i="25"/>
  <c r="T146" i="25"/>
  <c r="S145" i="25"/>
  <c r="S144" i="25"/>
  <c r="T143" i="25"/>
  <c r="T142" i="25"/>
  <c r="S141" i="25"/>
  <c r="T140" i="25"/>
  <c r="T139" i="25"/>
  <c r="S138" i="25"/>
  <c r="S137" i="25"/>
  <c r="S136" i="25"/>
  <c r="T135" i="25"/>
  <c r="S134" i="25"/>
  <c r="T133" i="25"/>
  <c r="T132" i="25"/>
  <c r="S131" i="25"/>
  <c r="T130" i="25"/>
  <c r="S129" i="25"/>
  <c r="T128" i="25"/>
  <c r="T127" i="25"/>
  <c r="S126" i="25"/>
  <c r="T125" i="25"/>
  <c r="S124" i="25"/>
  <c r="S123" i="25"/>
  <c r="T122" i="25"/>
  <c r="T121" i="25"/>
  <c r="S121" i="25"/>
  <c r="T120" i="25"/>
  <c r="S120" i="25"/>
  <c r="S119" i="25"/>
  <c r="T118" i="25"/>
  <c r="S117" i="25"/>
  <c r="S115" i="25"/>
  <c r="T114" i="25"/>
  <c r="S112" i="25"/>
  <c r="S111" i="25"/>
  <c r="S110" i="25"/>
  <c r="S109" i="25"/>
  <c r="S108" i="25"/>
  <c r="S107" i="25"/>
  <c r="S106" i="25"/>
  <c r="S105" i="25"/>
  <c r="S104" i="25"/>
  <c r="S103" i="25"/>
  <c r="T101" i="25"/>
  <c r="T100" i="25"/>
  <c r="T99" i="25"/>
  <c r="T98" i="25"/>
  <c r="T97" i="25"/>
  <c r="T96" i="25"/>
  <c r="T95" i="25"/>
  <c r="T94" i="25"/>
  <c r="S89" i="25"/>
  <c r="S88" i="25"/>
  <c r="S87" i="25"/>
  <c r="S86" i="25"/>
  <c r="S85" i="25"/>
  <c r="S84" i="25"/>
  <c r="S83" i="25"/>
  <c r="S82" i="25"/>
  <c r="S81" i="25"/>
  <c r="S80" i="25"/>
  <c r="S79" i="25"/>
  <c r="S78" i="25"/>
  <c r="S77" i="25"/>
  <c r="S76" i="25"/>
  <c r="S75" i="25"/>
  <c r="S74" i="25"/>
  <c r="S73" i="25"/>
  <c r="S72" i="25"/>
  <c r="S71" i="25"/>
  <c r="T69" i="25"/>
  <c r="T68" i="25"/>
  <c r="T67" i="25"/>
  <c r="T66" i="25"/>
  <c r="T65" i="25"/>
  <c r="T64" i="25"/>
  <c r="T63" i="25"/>
  <c r="T62" i="25"/>
  <c r="T61" i="25"/>
  <c r="S61" i="25"/>
  <c r="T60" i="25"/>
  <c r="S60" i="25"/>
  <c r="T59" i="25"/>
  <c r="T58" i="25"/>
  <c r="T57" i="25"/>
  <c r="T56" i="25"/>
  <c r="S55" i="25"/>
  <c r="S54" i="25"/>
  <c r="T53" i="25"/>
  <c r="T52" i="25"/>
  <c r="T51" i="25"/>
  <c r="T50" i="25"/>
  <c r="T49" i="25"/>
  <c r="T48" i="25"/>
  <c r="T47" i="25"/>
  <c r="T46" i="25"/>
  <c r="T45" i="25"/>
  <c r="T44" i="25"/>
  <c r="T43" i="25"/>
  <c r="T42" i="25"/>
  <c r="T41" i="25"/>
  <c r="T40" i="25"/>
  <c r="T39" i="25"/>
  <c r="T38" i="25"/>
  <c r="T37" i="25"/>
  <c r="T36" i="25"/>
  <c r="T35" i="25"/>
  <c r="T34" i="25"/>
  <c r="T33" i="25"/>
  <c r="T32" i="25"/>
  <c r="T31" i="25"/>
  <c r="T30" i="25"/>
  <c r="T29" i="25"/>
  <c r="T28" i="25"/>
  <c r="T27" i="25"/>
  <c r="T26" i="25"/>
  <c r="T15" i="25"/>
  <c r="S15" i="25"/>
  <c r="T14" i="25"/>
  <c r="S14" i="25"/>
  <c r="T828" i="26"/>
  <c r="S828" i="26"/>
  <c r="T827" i="26"/>
  <c r="S827" i="26"/>
  <c r="T826" i="26"/>
  <c r="S826" i="26"/>
  <c r="T825" i="26"/>
  <c r="S825" i="26"/>
  <c r="T824" i="26"/>
  <c r="S824" i="26"/>
  <c r="T823" i="26"/>
  <c r="S823" i="26"/>
  <c r="T822" i="26"/>
  <c r="S822" i="26"/>
  <c r="T821" i="26"/>
  <c r="S821" i="26"/>
  <c r="T820" i="26"/>
  <c r="S820" i="26"/>
  <c r="T819" i="26"/>
  <c r="S819" i="26"/>
  <c r="T818" i="26"/>
  <c r="S818" i="26"/>
  <c r="T817" i="26"/>
  <c r="S817" i="26"/>
  <c r="T816" i="26"/>
  <c r="S816" i="26"/>
  <c r="T815" i="26"/>
  <c r="S815" i="26"/>
  <c r="T814" i="26"/>
  <c r="S814" i="26"/>
  <c r="T813" i="26"/>
  <c r="S813" i="26"/>
  <c r="T812" i="26"/>
  <c r="S812" i="26"/>
  <c r="T811" i="26"/>
  <c r="S811" i="26"/>
  <c r="T810" i="26"/>
  <c r="S810" i="26"/>
  <c r="T809" i="26"/>
  <c r="S809" i="26"/>
  <c r="T808" i="26"/>
  <c r="S808" i="26"/>
  <c r="T807" i="26"/>
  <c r="S807" i="26"/>
  <c r="T806" i="26"/>
  <c r="S806" i="26"/>
  <c r="T805" i="26"/>
  <c r="S805" i="26"/>
  <c r="T804" i="26"/>
  <c r="S804" i="26"/>
  <c r="T803" i="26"/>
  <c r="S803" i="26"/>
  <c r="T802" i="26"/>
  <c r="S802" i="26"/>
  <c r="T801" i="26"/>
  <c r="S801" i="26"/>
  <c r="T800" i="26"/>
  <c r="S800" i="26"/>
  <c r="T799" i="26"/>
  <c r="S799" i="26"/>
  <c r="T798" i="26"/>
  <c r="S798" i="26"/>
  <c r="T797" i="26"/>
  <c r="S797" i="26"/>
  <c r="T796" i="26"/>
  <c r="S796" i="26"/>
  <c r="T795" i="26"/>
  <c r="S795" i="26"/>
  <c r="T794" i="26"/>
  <c r="S794" i="26"/>
  <c r="T793" i="26"/>
  <c r="S793" i="26"/>
  <c r="T792" i="26"/>
  <c r="S792" i="26"/>
  <c r="T791" i="26"/>
  <c r="S791" i="26"/>
  <c r="T790" i="26"/>
  <c r="S790" i="26"/>
  <c r="T789" i="26"/>
  <c r="S789" i="26"/>
  <c r="T788" i="26"/>
  <c r="S788" i="26"/>
  <c r="T787" i="26"/>
  <c r="S787" i="26"/>
  <c r="T786" i="26"/>
  <c r="S786" i="26"/>
  <c r="T785" i="26"/>
  <c r="S785" i="26"/>
  <c r="T784" i="26"/>
  <c r="S784" i="26"/>
  <c r="T783" i="26"/>
  <c r="S783" i="26"/>
  <c r="T782" i="26"/>
  <c r="S782" i="26"/>
  <c r="T781" i="26"/>
  <c r="S781" i="26"/>
  <c r="T780" i="26"/>
  <c r="S780" i="26"/>
  <c r="T779" i="26"/>
  <c r="S779" i="26"/>
  <c r="T778" i="26"/>
  <c r="S778" i="26"/>
  <c r="T777" i="26"/>
  <c r="S777" i="26"/>
  <c r="T776" i="26"/>
  <c r="S776" i="26"/>
  <c r="T775" i="26"/>
  <c r="S775" i="26"/>
  <c r="T774" i="26"/>
  <c r="S774" i="26"/>
  <c r="T773" i="26"/>
  <c r="S773" i="26"/>
  <c r="T772" i="26"/>
  <c r="S772" i="26"/>
  <c r="T771" i="26"/>
  <c r="S771" i="26"/>
  <c r="T770" i="26"/>
  <c r="S770" i="26"/>
  <c r="T769" i="26"/>
  <c r="S769" i="26"/>
  <c r="T768" i="26"/>
  <c r="S768" i="26"/>
  <c r="T767" i="26"/>
  <c r="S767" i="26"/>
  <c r="T766" i="26"/>
  <c r="S766" i="26"/>
  <c r="T765" i="26"/>
  <c r="S765" i="26"/>
  <c r="T764" i="26"/>
  <c r="S764" i="26"/>
  <c r="T763" i="26"/>
  <c r="S763" i="26"/>
  <c r="V763" i="26" s="1"/>
  <c r="T762" i="26"/>
  <c r="S762" i="26"/>
  <c r="T760" i="26"/>
  <c r="S760" i="26"/>
  <c r="T759" i="26"/>
  <c r="S759" i="26"/>
  <c r="T758" i="26"/>
  <c r="S758" i="26"/>
  <c r="T757" i="26"/>
  <c r="S757" i="26"/>
  <c r="T756" i="26"/>
  <c r="S756" i="26"/>
  <c r="T755" i="26"/>
  <c r="S755" i="26"/>
  <c r="T754" i="26"/>
  <c r="S754" i="26"/>
  <c r="T753" i="26"/>
  <c r="S753" i="26"/>
  <c r="T752" i="26"/>
  <c r="S752" i="26"/>
  <c r="T751" i="26"/>
  <c r="S751" i="26"/>
  <c r="T750" i="26"/>
  <c r="S750" i="26"/>
  <c r="T749" i="26"/>
  <c r="S749" i="26"/>
  <c r="T748" i="26"/>
  <c r="S748" i="26"/>
  <c r="T747" i="26"/>
  <c r="S747" i="26"/>
  <c r="T746" i="26"/>
  <c r="S746" i="26"/>
  <c r="T745" i="26"/>
  <c r="S745" i="26"/>
  <c r="T744" i="26"/>
  <c r="S744" i="26"/>
  <c r="T743" i="26"/>
  <c r="S743" i="26"/>
  <c r="T742" i="26"/>
  <c r="S742" i="26"/>
  <c r="T741" i="26"/>
  <c r="S741" i="26"/>
  <c r="T740" i="26"/>
  <c r="S740" i="26"/>
  <c r="T739" i="26"/>
  <c r="S739" i="26"/>
  <c r="T738" i="26"/>
  <c r="S738" i="26"/>
  <c r="T737" i="26"/>
  <c r="S737" i="26"/>
  <c r="T736" i="26"/>
  <c r="S736" i="26"/>
  <c r="T735" i="26"/>
  <c r="S735" i="26"/>
  <c r="T734" i="26"/>
  <c r="S734" i="26"/>
  <c r="T733" i="26"/>
  <c r="S733" i="26"/>
  <c r="T732" i="26"/>
  <c r="S732" i="26"/>
  <c r="T731" i="26"/>
  <c r="S731" i="26"/>
  <c r="T730" i="26"/>
  <c r="S730" i="26"/>
  <c r="T729" i="26"/>
  <c r="S729" i="26"/>
  <c r="T728" i="26"/>
  <c r="S728" i="26"/>
  <c r="T727" i="26"/>
  <c r="S727" i="26"/>
  <c r="T726" i="26"/>
  <c r="S726" i="26"/>
  <c r="T725" i="26"/>
  <c r="S725" i="26"/>
  <c r="T724" i="26"/>
  <c r="S724" i="26"/>
  <c r="T723" i="26"/>
  <c r="S723" i="26"/>
  <c r="T722" i="26"/>
  <c r="S722" i="26"/>
  <c r="T721" i="26"/>
  <c r="S721" i="26"/>
  <c r="T720" i="26"/>
  <c r="S720" i="26"/>
  <c r="T719" i="26"/>
  <c r="S719" i="26"/>
  <c r="T718" i="26"/>
  <c r="S718" i="26"/>
  <c r="T717" i="26"/>
  <c r="S717" i="26"/>
  <c r="T716" i="26"/>
  <c r="S716" i="26"/>
  <c r="T715" i="26"/>
  <c r="S715" i="26"/>
  <c r="T714" i="26"/>
  <c r="S714" i="26"/>
  <c r="T713" i="26"/>
  <c r="S713" i="26"/>
  <c r="T712" i="26"/>
  <c r="S712" i="26"/>
  <c r="T711" i="26"/>
  <c r="S711" i="26"/>
  <c r="T710" i="26"/>
  <c r="S710" i="26"/>
  <c r="T709" i="26"/>
  <c r="S709" i="26"/>
  <c r="T708" i="26"/>
  <c r="S708" i="26"/>
  <c r="T707" i="26"/>
  <c r="S707" i="26"/>
  <c r="T706" i="26"/>
  <c r="S706" i="26"/>
  <c r="T705" i="26"/>
  <c r="S705" i="26"/>
  <c r="T704" i="26"/>
  <c r="S704" i="26"/>
  <c r="T703" i="26"/>
  <c r="S703" i="26"/>
  <c r="T702" i="26"/>
  <c r="S702" i="26"/>
  <c r="T701" i="26"/>
  <c r="S701" i="26"/>
  <c r="T700" i="26"/>
  <c r="S700" i="26"/>
  <c r="T699" i="26"/>
  <c r="S699" i="26"/>
  <c r="T698" i="26"/>
  <c r="S698" i="26"/>
  <c r="T697" i="26"/>
  <c r="S697" i="26"/>
  <c r="T696" i="26"/>
  <c r="S696" i="26"/>
  <c r="T695" i="26"/>
  <c r="S695" i="26"/>
  <c r="T694" i="26"/>
  <c r="S694" i="26"/>
  <c r="T693" i="26"/>
  <c r="S693" i="26"/>
  <c r="T692" i="26"/>
  <c r="S692" i="26"/>
  <c r="T691" i="26"/>
  <c r="S691" i="26"/>
  <c r="T690" i="26"/>
  <c r="S690" i="26"/>
  <c r="T689" i="26"/>
  <c r="S689" i="26"/>
  <c r="T688" i="26"/>
  <c r="S688" i="26"/>
  <c r="T687" i="26"/>
  <c r="S687" i="26"/>
  <c r="T686" i="26"/>
  <c r="S686" i="26"/>
  <c r="T685" i="26"/>
  <c r="S685" i="26"/>
  <c r="T684" i="26"/>
  <c r="S684" i="26"/>
  <c r="T683" i="26"/>
  <c r="S683" i="26"/>
  <c r="T682" i="26"/>
  <c r="S682" i="26"/>
  <c r="T681" i="26"/>
  <c r="S681" i="26"/>
  <c r="T680" i="26"/>
  <c r="S680" i="26"/>
  <c r="T679" i="26"/>
  <c r="S679" i="26"/>
  <c r="T678" i="26"/>
  <c r="S678" i="26"/>
  <c r="T677" i="26"/>
  <c r="S677" i="26"/>
  <c r="T676" i="26"/>
  <c r="S676" i="26"/>
  <c r="T675" i="26"/>
  <c r="S675" i="26"/>
  <c r="T674" i="26"/>
  <c r="S674" i="26"/>
  <c r="T673" i="26"/>
  <c r="S673" i="26"/>
  <c r="T672" i="26"/>
  <c r="S672" i="26"/>
  <c r="T671" i="26"/>
  <c r="S671" i="26"/>
  <c r="T670" i="26"/>
  <c r="S670" i="26"/>
  <c r="T669" i="26"/>
  <c r="S669" i="26"/>
  <c r="T668" i="26"/>
  <c r="S668" i="26"/>
  <c r="T667" i="26"/>
  <c r="S667" i="26"/>
  <c r="T666" i="26"/>
  <c r="S666" i="26"/>
  <c r="T665" i="26"/>
  <c r="S665" i="26"/>
  <c r="T664" i="26"/>
  <c r="S664" i="26"/>
  <c r="T663" i="26"/>
  <c r="S663" i="26"/>
  <c r="T662" i="26"/>
  <c r="S662" i="26"/>
  <c r="T661" i="26"/>
  <c r="S661" i="26"/>
  <c r="T660" i="26"/>
  <c r="S660" i="26"/>
  <c r="T659" i="26"/>
  <c r="S659" i="26"/>
  <c r="T658" i="26"/>
  <c r="S658" i="26"/>
  <c r="T657" i="26"/>
  <c r="S657" i="26"/>
  <c r="T656" i="26"/>
  <c r="S656" i="26"/>
  <c r="T655" i="26"/>
  <c r="S655" i="26"/>
  <c r="T654" i="26"/>
  <c r="S654" i="26"/>
  <c r="T653" i="26"/>
  <c r="S653" i="26"/>
  <c r="T652" i="26"/>
  <c r="S652" i="26"/>
  <c r="T651" i="26"/>
  <c r="S651" i="26"/>
  <c r="T650" i="26"/>
  <c r="S650" i="26"/>
  <c r="T649" i="26"/>
  <c r="S649" i="26"/>
  <c r="T648" i="26"/>
  <c r="S648" i="26"/>
  <c r="T647" i="26"/>
  <c r="S647" i="26"/>
  <c r="T646" i="26"/>
  <c r="S646" i="26"/>
  <c r="T645" i="26"/>
  <c r="S645" i="26"/>
  <c r="T644" i="26"/>
  <c r="S644" i="26"/>
  <c r="T643" i="26"/>
  <c r="S643" i="26"/>
  <c r="T642" i="26"/>
  <c r="S642" i="26"/>
  <c r="T641" i="26"/>
  <c r="S641" i="26"/>
  <c r="T640" i="26"/>
  <c r="S640" i="26"/>
  <c r="V640" i="26"/>
  <c r="T639" i="26"/>
  <c r="S639" i="26"/>
  <c r="T638" i="26"/>
  <c r="S638" i="26"/>
  <c r="T637" i="26"/>
  <c r="S637" i="26"/>
  <c r="T636" i="26"/>
  <c r="S636" i="26"/>
  <c r="T635" i="26"/>
  <c r="S635" i="26"/>
  <c r="T634" i="26"/>
  <c r="S634" i="26"/>
  <c r="T633" i="26"/>
  <c r="S633" i="26"/>
  <c r="T632" i="26"/>
  <c r="S632" i="26"/>
  <c r="T631" i="26"/>
  <c r="S631" i="26"/>
  <c r="T630" i="26"/>
  <c r="S630" i="26"/>
  <c r="T629" i="26"/>
  <c r="S629" i="26"/>
  <c r="T628" i="26"/>
  <c r="S628" i="26"/>
  <c r="T627" i="26"/>
  <c r="S627" i="26"/>
  <c r="T626" i="26"/>
  <c r="S626" i="26"/>
  <c r="T625" i="26"/>
  <c r="S625" i="26"/>
  <c r="T624" i="26"/>
  <c r="S624" i="26"/>
  <c r="T623" i="26"/>
  <c r="S623" i="26"/>
  <c r="T622" i="26"/>
  <c r="S622" i="26"/>
  <c r="T621" i="26"/>
  <c r="S621" i="26"/>
  <c r="T620" i="26"/>
  <c r="S620" i="26"/>
  <c r="T619" i="26"/>
  <c r="S619" i="26"/>
  <c r="T618" i="26"/>
  <c r="S618" i="26"/>
  <c r="T617" i="26"/>
  <c r="S617" i="26"/>
  <c r="T616" i="26"/>
  <c r="S616" i="26"/>
  <c r="T615" i="26"/>
  <c r="S615" i="26"/>
  <c r="T614" i="26"/>
  <c r="S614" i="26"/>
  <c r="T613" i="26"/>
  <c r="S613" i="26"/>
  <c r="T612" i="26"/>
  <c r="S612" i="26"/>
  <c r="T611" i="26"/>
  <c r="S611" i="26"/>
  <c r="T610" i="26"/>
  <c r="S610" i="26"/>
  <c r="T609" i="26"/>
  <c r="S609" i="26"/>
  <c r="S608" i="26"/>
  <c r="T607" i="26"/>
  <c r="S607" i="26"/>
  <c r="T606" i="26"/>
  <c r="S606" i="26"/>
  <c r="T605" i="26"/>
  <c r="S605" i="26"/>
  <c r="S604" i="26"/>
  <c r="T603" i="26"/>
  <c r="S603" i="26"/>
  <c r="T602" i="26"/>
  <c r="S602" i="26"/>
  <c r="T600" i="26"/>
  <c r="S600" i="26"/>
  <c r="T599" i="26"/>
  <c r="S599" i="26"/>
  <c r="T598" i="26"/>
  <c r="S598" i="26"/>
  <c r="T597" i="26"/>
  <c r="S597" i="26"/>
  <c r="T596" i="26"/>
  <c r="S596" i="26"/>
  <c r="T595" i="26"/>
  <c r="S595" i="26"/>
  <c r="T594" i="26"/>
  <c r="S594" i="26"/>
  <c r="T593" i="26"/>
  <c r="S593" i="26"/>
  <c r="T592" i="26"/>
  <c r="S592" i="26"/>
  <c r="T591" i="26"/>
  <c r="S591" i="26"/>
  <c r="T590" i="26"/>
  <c r="S590" i="26"/>
  <c r="T589" i="26"/>
  <c r="S589" i="26"/>
  <c r="T588" i="26"/>
  <c r="S588" i="26"/>
  <c r="T587" i="26"/>
  <c r="S587" i="26"/>
  <c r="T586" i="26"/>
  <c r="S586" i="26"/>
  <c r="T585" i="26"/>
  <c r="S585" i="26"/>
  <c r="T584" i="26"/>
  <c r="S584" i="26"/>
  <c r="T583" i="26"/>
  <c r="S583" i="26"/>
  <c r="T582" i="26"/>
  <c r="S582" i="26"/>
  <c r="T581" i="26"/>
  <c r="S581" i="26"/>
  <c r="T580" i="26"/>
  <c r="S579" i="26"/>
  <c r="T578" i="26"/>
  <c r="T577" i="26"/>
  <c r="T576" i="26"/>
  <c r="S575" i="26"/>
  <c r="S574" i="26"/>
  <c r="S573" i="26"/>
  <c r="T572" i="26"/>
  <c r="T571" i="26"/>
  <c r="T569" i="26"/>
  <c r="T568" i="26"/>
  <c r="T567" i="26"/>
  <c r="T566" i="26"/>
  <c r="T565" i="26"/>
  <c r="S565" i="26"/>
  <c r="T564" i="26"/>
  <c r="S564" i="26"/>
  <c r="T563" i="26"/>
  <c r="S563" i="26"/>
  <c r="T562" i="26"/>
  <c r="S562" i="26"/>
  <c r="T561" i="26"/>
  <c r="S561" i="26"/>
  <c r="T560" i="26"/>
  <c r="S560" i="26"/>
  <c r="T559" i="26"/>
  <c r="S559" i="26"/>
  <c r="T558" i="26"/>
  <c r="S558" i="26"/>
  <c r="T557" i="26"/>
  <c r="S557" i="26"/>
  <c r="T556" i="26"/>
  <c r="S556" i="26"/>
  <c r="T555" i="26"/>
  <c r="S555" i="26"/>
  <c r="T554" i="26"/>
  <c r="S554" i="26"/>
  <c r="T553" i="26"/>
  <c r="S553" i="26"/>
  <c r="T552" i="26"/>
  <c r="S552" i="26"/>
  <c r="T551" i="26"/>
  <c r="S551" i="26"/>
  <c r="T550" i="26"/>
  <c r="S550" i="26"/>
  <c r="T549" i="26"/>
  <c r="S549" i="26"/>
  <c r="T548" i="26"/>
  <c r="S548" i="26"/>
  <c r="T547" i="26"/>
  <c r="S547" i="26"/>
  <c r="T546" i="26"/>
  <c r="S546" i="26"/>
  <c r="T545" i="26"/>
  <c r="S545" i="26"/>
  <c r="T544" i="26"/>
  <c r="S544" i="26"/>
  <c r="T543" i="26"/>
  <c r="S543" i="26"/>
  <c r="T542" i="26"/>
  <c r="S542" i="26"/>
  <c r="T541" i="26"/>
  <c r="S541" i="26"/>
  <c r="T540" i="26"/>
  <c r="S540" i="26"/>
  <c r="T539" i="26"/>
  <c r="S539" i="26"/>
  <c r="T538" i="26"/>
  <c r="S538" i="26"/>
  <c r="T537" i="26"/>
  <c r="S537" i="26"/>
  <c r="T536" i="26"/>
  <c r="S536" i="26"/>
  <c r="T535" i="26"/>
  <c r="S535" i="26"/>
  <c r="T534" i="26"/>
  <c r="S534" i="26"/>
  <c r="T533" i="26"/>
  <c r="S533" i="26"/>
  <c r="T532" i="26"/>
  <c r="S532" i="26"/>
  <c r="T531" i="26"/>
  <c r="S531" i="26"/>
  <c r="T530" i="26"/>
  <c r="S530" i="26"/>
  <c r="T529" i="26"/>
  <c r="S529" i="26"/>
  <c r="T528" i="26"/>
  <c r="S528" i="26"/>
  <c r="T527" i="26"/>
  <c r="S527" i="26"/>
  <c r="T526" i="26"/>
  <c r="S526" i="26"/>
  <c r="T525" i="26"/>
  <c r="S525" i="26"/>
  <c r="T524" i="26"/>
  <c r="S524" i="26"/>
  <c r="T523" i="26"/>
  <c r="S523" i="26"/>
  <c r="T522" i="26"/>
  <c r="S522" i="26"/>
  <c r="T521" i="26"/>
  <c r="S521" i="26"/>
  <c r="T520" i="26"/>
  <c r="S520" i="26"/>
  <c r="T519" i="26"/>
  <c r="S519" i="26"/>
  <c r="T518" i="26"/>
  <c r="S518" i="26"/>
  <c r="T517" i="26"/>
  <c r="S517" i="26"/>
  <c r="T516" i="26"/>
  <c r="S516" i="26"/>
  <c r="T515" i="26"/>
  <c r="S515" i="26"/>
  <c r="T514" i="26"/>
  <c r="S514" i="26"/>
  <c r="T513" i="26"/>
  <c r="S513" i="26"/>
  <c r="T512" i="26"/>
  <c r="S512" i="26"/>
  <c r="T511" i="26"/>
  <c r="S511" i="26"/>
  <c r="T510" i="26"/>
  <c r="S510" i="26"/>
  <c r="T509" i="26"/>
  <c r="S509" i="26"/>
  <c r="T508" i="26"/>
  <c r="S508" i="26"/>
  <c r="T507" i="26"/>
  <c r="S507" i="26"/>
  <c r="T506" i="26"/>
  <c r="S506" i="26"/>
  <c r="T505" i="26"/>
  <c r="S505" i="26"/>
  <c r="T504" i="26"/>
  <c r="S504" i="26"/>
  <c r="T503" i="26"/>
  <c r="S503" i="26"/>
  <c r="T502" i="26"/>
  <c r="S502" i="26"/>
  <c r="T501" i="26"/>
  <c r="S501" i="26"/>
  <c r="T500" i="26"/>
  <c r="S500" i="26"/>
  <c r="T499" i="26"/>
  <c r="S499" i="26"/>
  <c r="T498" i="26"/>
  <c r="S498" i="26"/>
  <c r="T497" i="26"/>
  <c r="S497" i="26"/>
  <c r="T496" i="26"/>
  <c r="S496" i="26"/>
  <c r="T495" i="26"/>
  <c r="S495" i="26"/>
  <c r="T494" i="26"/>
  <c r="S494" i="26"/>
  <c r="T493" i="26"/>
  <c r="S493" i="26"/>
  <c r="T492" i="26"/>
  <c r="S492" i="26"/>
  <c r="T491" i="26"/>
  <c r="S491" i="26"/>
  <c r="T490" i="26"/>
  <c r="S490" i="26"/>
  <c r="T489" i="26"/>
  <c r="S489" i="26"/>
  <c r="T488" i="26"/>
  <c r="S488" i="26"/>
  <c r="T487" i="26"/>
  <c r="S487" i="26"/>
  <c r="T486" i="26"/>
  <c r="S486" i="26"/>
  <c r="T485" i="26"/>
  <c r="S485" i="26"/>
  <c r="T484" i="26"/>
  <c r="S484" i="26"/>
  <c r="T483" i="26"/>
  <c r="S483" i="26"/>
  <c r="T482" i="26"/>
  <c r="S482" i="26"/>
  <c r="T481" i="26"/>
  <c r="S481" i="26"/>
  <c r="T480" i="26"/>
  <c r="S480" i="26"/>
  <c r="T479" i="26"/>
  <c r="S479" i="26"/>
  <c r="T478" i="26"/>
  <c r="S478" i="26"/>
  <c r="T477" i="26"/>
  <c r="S477" i="26"/>
  <c r="T476" i="26"/>
  <c r="S476" i="26"/>
  <c r="T475" i="26"/>
  <c r="S475" i="26"/>
  <c r="T474" i="26"/>
  <c r="S474" i="26"/>
  <c r="T473" i="26"/>
  <c r="S473" i="26"/>
  <c r="T472" i="26"/>
  <c r="S472" i="26"/>
  <c r="T471" i="26"/>
  <c r="S471" i="26"/>
  <c r="T470" i="26"/>
  <c r="S470" i="26"/>
  <c r="T469" i="26"/>
  <c r="S469" i="26"/>
  <c r="T468" i="26"/>
  <c r="S468" i="26"/>
  <c r="T467" i="26"/>
  <c r="S467" i="26"/>
  <c r="T466" i="26"/>
  <c r="S466" i="26"/>
  <c r="T465" i="26"/>
  <c r="S465" i="26"/>
  <c r="T464" i="26"/>
  <c r="S464" i="26"/>
  <c r="T463" i="26"/>
  <c r="S463" i="26"/>
  <c r="T462" i="26"/>
  <c r="S462" i="26"/>
  <c r="T461" i="26"/>
  <c r="S461" i="26"/>
  <c r="T460" i="26"/>
  <c r="S460" i="26"/>
  <c r="T459" i="26"/>
  <c r="S459" i="26"/>
  <c r="T458" i="26"/>
  <c r="S458" i="26"/>
  <c r="T457" i="26"/>
  <c r="S457" i="26"/>
  <c r="T456" i="26"/>
  <c r="S456" i="26"/>
  <c r="T455" i="26"/>
  <c r="S455" i="26"/>
  <c r="T454" i="26"/>
  <c r="S454" i="26"/>
  <c r="T453" i="26"/>
  <c r="S453" i="26"/>
  <c r="T452" i="26"/>
  <c r="S452" i="26"/>
  <c r="T451" i="26"/>
  <c r="S451" i="26"/>
  <c r="T450" i="26"/>
  <c r="S450" i="26"/>
  <c r="T449" i="26"/>
  <c r="S449" i="26"/>
  <c r="T448" i="26"/>
  <c r="S448" i="26"/>
  <c r="T447" i="26"/>
  <c r="S447" i="26"/>
  <c r="T446" i="26"/>
  <c r="S446" i="26"/>
  <c r="T445" i="26"/>
  <c r="S445" i="26"/>
  <c r="T444" i="26"/>
  <c r="S444" i="26"/>
  <c r="T443" i="26"/>
  <c r="S443" i="26"/>
  <c r="T442" i="26"/>
  <c r="S442" i="26"/>
  <c r="T441" i="26"/>
  <c r="S441" i="26"/>
  <c r="T440" i="26"/>
  <c r="S440" i="26"/>
  <c r="T439" i="26"/>
  <c r="S439" i="26"/>
  <c r="T438" i="26"/>
  <c r="S438" i="26"/>
  <c r="T437" i="26"/>
  <c r="S437" i="26"/>
  <c r="T436" i="26"/>
  <c r="S436" i="26"/>
  <c r="T435" i="26"/>
  <c r="S435" i="26"/>
  <c r="T434" i="26"/>
  <c r="S434" i="26"/>
  <c r="T433" i="26"/>
  <c r="S433" i="26"/>
  <c r="T432" i="26"/>
  <c r="S432" i="26"/>
  <c r="T431" i="26"/>
  <c r="S431" i="26"/>
  <c r="T430" i="26"/>
  <c r="S430" i="26"/>
  <c r="T429" i="26"/>
  <c r="S429" i="26"/>
  <c r="T428" i="26"/>
  <c r="S428" i="26"/>
  <c r="T427" i="26"/>
  <c r="S427" i="26"/>
  <c r="T426" i="26"/>
  <c r="S426" i="26"/>
  <c r="T425" i="26"/>
  <c r="S425" i="26"/>
  <c r="T424" i="26"/>
  <c r="S424" i="26"/>
  <c r="T423" i="26"/>
  <c r="S423" i="26"/>
  <c r="T422" i="26"/>
  <c r="S422" i="26"/>
  <c r="T421" i="26"/>
  <c r="S421" i="26"/>
  <c r="T420" i="26"/>
  <c r="S420" i="26"/>
  <c r="T419" i="26"/>
  <c r="S419" i="26"/>
  <c r="T418" i="26"/>
  <c r="S418" i="26"/>
  <c r="T417" i="26"/>
  <c r="S417" i="26"/>
  <c r="T416" i="26"/>
  <c r="S415" i="26"/>
  <c r="T414" i="26"/>
  <c r="S414" i="26"/>
  <c r="T413" i="26"/>
  <c r="S413" i="26"/>
  <c r="T412" i="26"/>
  <c r="S412" i="26"/>
  <c r="T411" i="26"/>
  <c r="S411" i="26"/>
  <c r="T410" i="26"/>
  <c r="S410" i="26"/>
  <c r="T409" i="26"/>
  <c r="S409" i="26"/>
  <c r="T408" i="26"/>
  <c r="S408" i="26"/>
  <c r="T407" i="26"/>
  <c r="S407" i="26"/>
  <c r="V407" i="26" s="1"/>
  <c r="T406" i="26"/>
  <c r="S406" i="26"/>
  <c r="V406" i="26"/>
  <c r="T405" i="26"/>
  <c r="S405" i="26"/>
  <c r="T404" i="26"/>
  <c r="S404" i="26"/>
  <c r="T403" i="26"/>
  <c r="S403" i="26"/>
  <c r="V403" i="26" s="1"/>
  <c r="T402" i="26"/>
  <c r="V402" i="26" s="1"/>
  <c r="S402" i="26"/>
  <c r="T401" i="26"/>
  <c r="S401" i="26"/>
  <c r="T400" i="26"/>
  <c r="S400" i="26"/>
  <c r="T399" i="26"/>
  <c r="S399" i="26"/>
  <c r="T398" i="26"/>
  <c r="S398" i="26"/>
  <c r="T397" i="26"/>
  <c r="S397" i="26"/>
  <c r="T396" i="26"/>
  <c r="S396" i="26"/>
  <c r="T395" i="26"/>
  <c r="S395" i="26"/>
  <c r="T394" i="26"/>
  <c r="S394" i="26"/>
  <c r="T393" i="26"/>
  <c r="S393" i="26"/>
  <c r="T392" i="26"/>
  <c r="S392" i="26"/>
  <c r="T391" i="26"/>
  <c r="S391" i="26"/>
  <c r="T390" i="26"/>
  <c r="S390" i="26"/>
  <c r="T389" i="26"/>
  <c r="S389" i="26"/>
  <c r="T388" i="26"/>
  <c r="S388" i="26"/>
  <c r="T387" i="26"/>
  <c r="S387" i="26"/>
  <c r="T386" i="26"/>
  <c r="S386" i="26"/>
  <c r="T385" i="26"/>
  <c r="S385" i="26"/>
  <c r="T384" i="26"/>
  <c r="S384" i="26"/>
  <c r="T382" i="26"/>
  <c r="T381" i="26"/>
  <c r="T380" i="26"/>
  <c r="S379" i="26"/>
  <c r="S378" i="26"/>
  <c r="S377" i="26"/>
  <c r="S376" i="26"/>
  <c r="S375" i="26"/>
  <c r="S374" i="26"/>
  <c r="S373" i="26"/>
  <c r="S372" i="26"/>
  <c r="S371" i="26"/>
  <c r="S370" i="26"/>
  <c r="S369" i="26"/>
  <c r="S368" i="26"/>
  <c r="T367" i="26"/>
  <c r="T366" i="26"/>
  <c r="T365" i="26"/>
  <c r="T364" i="26"/>
  <c r="S363" i="26"/>
  <c r="S362" i="26"/>
  <c r="S361" i="26"/>
  <c r="S360" i="26"/>
  <c r="S359" i="26"/>
  <c r="S358" i="26"/>
  <c r="S357" i="26"/>
  <c r="S356" i="26"/>
  <c r="S355" i="26"/>
  <c r="S354" i="26"/>
  <c r="S353" i="26"/>
  <c r="S352" i="26"/>
  <c r="S351" i="26"/>
  <c r="S350" i="26"/>
  <c r="S349" i="26"/>
  <c r="S348" i="26"/>
  <c r="S347" i="26"/>
  <c r="S346" i="26"/>
  <c r="T345" i="26"/>
  <c r="S345" i="26"/>
  <c r="T344" i="26"/>
  <c r="S344" i="26"/>
  <c r="S343" i="26"/>
  <c r="S342" i="26"/>
  <c r="S341" i="26"/>
  <c r="S340" i="26"/>
  <c r="S339" i="26"/>
  <c r="S338" i="26"/>
  <c r="T337" i="26"/>
  <c r="S336" i="26"/>
  <c r="S335" i="26"/>
  <c r="S334" i="26"/>
  <c r="S333" i="26"/>
  <c r="S332" i="26"/>
  <c r="S331" i="26"/>
  <c r="T330" i="26"/>
  <c r="S330" i="26"/>
  <c r="T329" i="26"/>
  <c r="S329" i="26"/>
  <c r="T328" i="26"/>
  <c r="S328" i="26"/>
  <c r="T327" i="26"/>
  <c r="S327" i="26"/>
  <c r="S326" i="26"/>
  <c r="S325" i="26"/>
  <c r="S324" i="26"/>
  <c r="S323" i="26"/>
  <c r="T322" i="26"/>
  <c r="S322" i="26"/>
  <c r="S321" i="26"/>
  <c r="S320" i="26"/>
  <c r="S319" i="26"/>
  <c r="S318" i="26"/>
  <c r="S317" i="26"/>
  <c r="S316" i="26"/>
  <c r="S315" i="26"/>
  <c r="S314" i="26"/>
  <c r="S313" i="26"/>
  <c r="S312" i="26"/>
  <c r="S311" i="26"/>
  <c r="S310" i="26"/>
  <c r="S309" i="26"/>
  <c r="S308" i="26"/>
  <c r="S307" i="26"/>
  <c r="S306" i="26"/>
  <c r="S305" i="26"/>
  <c r="S304" i="26"/>
  <c r="S303" i="26"/>
  <c r="S302" i="26"/>
  <c r="S301" i="26"/>
  <c r="S300" i="26"/>
  <c r="S299" i="26"/>
  <c r="S298" i="26"/>
  <c r="S297" i="26"/>
  <c r="S296" i="26"/>
  <c r="S295" i="26"/>
  <c r="S294" i="26"/>
  <c r="S293" i="26"/>
  <c r="S292" i="26"/>
  <c r="S291" i="26"/>
  <c r="S290" i="26"/>
  <c r="S289" i="26"/>
  <c r="S288" i="26"/>
  <c r="S287" i="26"/>
  <c r="S286" i="26"/>
  <c r="T284" i="26"/>
  <c r="S283" i="26"/>
  <c r="T282" i="26"/>
  <c r="S282" i="26"/>
  <c r="T281" i="26"/>
  <c r="S281" i="26"/>
  <c r="T280" i="26"/>
  <c r="S280" i="26"/>
  <c r="T279" i="26"/>
  <c r="S279" i="26"/>
  <c r="T278" i="26"/>
  <c r="S278" i="26"/>
  <c r="T277" i="26"/>
  <c r="S277" i="26"/>
  <c r="T276" i="26"/>
  <c r="S276" i="26"/>
  <c r="T275" i="26"/>
  <c r="S275" i="26"/>
  <c r="T274" i="26"/>
  <c r="S274" i="26"/>
  <c r="T273" i="26"/>
  <c r="S273" i="26"/>
  <c r="T272" i="26"/>
  <c r="S272" i="26"/>
  <c r="T271" i="26"/>
  <c r="S271" i="26"/>
  <c r="T270" i="26"/>
  <c r="T269" i="26"/>
  <c r="T268" i="26"/>
  <c r="T267" i="26"/>
  <c r="T266" i="26"/>
  <c r="T265" i="26"/>
  <c r="T264" i="26"/>
  <c r="T263" i="26"/>
  <c r="T262" i="26"/>
  <c r="T261" i="26"/>
  <c r="T260" i="26"/>
  <c r="T259" i="26"/>
  <c r="T258" i="26"/>
  <c r="T257" i="26"/>
  <c r="S256" i="26"/>
  <c r="S255" i="26"/>
  <c r="S254" i="26"/>
  <c r="S253" i="26"/>
  <c r="T252" i="26"/>
  <c r="T251" i="26"/>
  <c r="S250" i="26"/>
  <c r="S249" i="26"/>
  <c r="S248" i="26"/>
  <c r="S247" i="26"/>
  <c r="S246" i="26"/>
  <c r="S245" i="26"/>
  <c r="T244" i="26"/>
  <c r="T243" i="26"/>
  <c r="T242" i="26"/>
  <c r="T241" i="26"/>
  <c r="S240" i="26"/>
  <c r="S239" i="26"/>
  <c r="T238" i="26"/>
  <c r="T237" i="26"/>
  <c r="S236" i="26"/>
  <c r="T235" i="26"/>
  <c r="T234" i="26"/>
  <c r="T233" i="26"/>
  <c r="T232" i="26"/>
  <c r="S231" i="26"/>
  <c r="S230" i="26"/>
  <c r="S229" i="26"/>
  <c r="T228" i="26"/>
  <c r="T227" i="26"/>
  <c r="T226" i="26"/>
  <c r="T225" i="26"/>
  <c r="T224" i="26"/>
  <c r="S223" i="26"/>
  <c r="T222" i="26"/>
  <c r="S221" i="26"/>
  <c r="T220" i="26"/>
  <c r="S219" i="26"/>
  <c r="T218" i="26"/>
  <c r="S218" i="26"/>
  <c r="T217" i="26"/>
  <c r="S217" i="26"/>
  <c r="T216" i="26"/>
  <c r="S216" i="26"/>
  <c r="T215" i="26"/>
  <c r="S215" i="26"/>
  <c r="T214" i="26"/>
  <c r="S214" i="26"/>
  <c r="T213" i="26"/>
  <c r="S213" i="26"/>
  <c r="T212" i="26"/>
  <c r="S212" i="26"/>
  <c r="T211" i="26"/>
  <c r="S211" i="26"/>
  <c r="T210" i="26"/>
  <c r="S210" i="26"/>
  <c r="T209" i="26"/>
  <c r="S209" i="26"/>
  <c r="T208" i="26"/>
  <c r="S208" i="26"/>
  <c r="T207" i="26"/>
  <c r="S207" i="26"/>
  <c r="T206" i="26"/>
  <c r="S206" i="26"/>
  <c r="T205" i="26"/>
  <c r="S205" i="26"/>
  <c r="T204" i="26"/>
  <c r="S204" i="26"/>
  <c r="T203" i="26"/>
  <c r="S203" i="26"/>
  <c r="T202" i="26"/>
  <c r="S202" i="26"/>
  <c r="T201" i="26"/>
  <c r="S201" i="26"/>
  <c r="T200" i="26"/>
  <c r="S200" i="26"/>
  <c r="T199" i="26"/>
  <c r="S199" i="26"/>
  <c r="T198" i="26"/>
  <c r="T197" i="26"/>
  <c r="S196" i="26"/>
  <c r="T195" i="26"/>
  <c r="T194" i="26"/>
  <c r="S194" i="26"/>
  <c r="T193" i="26"/>
  <c r="S193" i="26"/>
  <c r="T192" i="26"/>
  <c r="S192" i="26"/>
  <c r="T191" i="26"/>
  <c r="S191" i="26"/>
  <c r="T190" i="26"/>
  <c r="S189" i="26"/>
  <c r="S188" i="26"/>
  <c r="T187" i="26"/>
  <c r="T186" i="26"/>
  <c r="S185" i="26"/>
  <c r="T184" i="26"/>
  <c r="T183" i="26"/>
  <c r="S183" i="26"/>
  <c r="T182" i="26"/>
  <c r="S182" i="26"/>
  <c r="T181" i="26"/>
  <c r="S181" i="26"/>
  <c r="T180" i="26"/>
  <c r="S180" i="26"/>
  <c r="T179" i="26"/>
  <c r="S179" i="26"/>
  <c r="T177" i="26"/>
  <c r="S177" i="26"/>
  <c r="T176" i="26"/>
  <c r="S176" i="26"/>
  <c r="T175" i="26"/>
  <c r="T174" i="26"/>
  <c r="T173" i="26"/>
  <c r="S172" i="26"/>
  <c r="S171" i="26"/>
  <c r="S170" i="26"/>
  <c r="S169" i="26"/>
  <c r="S168" i="26"/>
  <c r="S167" i="26"/>
  <c r="S166" i="26"/>
  <c r="S165" i="26"/>
  <c r="S164" i="26"/>
  <c r="S163" i="26"/>
  <c r="S162" i="26"/>
  <c r="S161" i="26"/>
  <c r="T160" i="26"/>
  <c r="S160" i="26"/>
  <c r="S159" i="26"/>
  <c r="S158" i="26"/>
  <c r="S157" i="26"/>
  <c r="S156" i="26"/>
  <c r="S155" i="26"/>
  <c r="S154" i="26"/>
  <c r="S153" i="26"/>
  <c r="S152" i="26"/>
  <c r="T151" i="26"/>
  <c r="T150" i="26"/>
  <c r="S149" i="26"/>
  <c r="S148" i="26"/>
  <c r="S147" i="26"/>
  <c r="T146" i="26"/>
  <c r="S145" i="26"/>
  <c r="S144" i="26"/>
  <c r="T143" i="26"/>
  <c r="T142" i="26"/>
  <c r="S141" i="26"/>
  <c r="T140" i="26"/>
  <c r="T139" i="26"/>
  <c r="S138" i="26"/>
  <c r="S137" i="26"/>
  <c r="S136" i="26"/>
  <c r="T135" i="26"/>
  <c r="S134" i="26"/>
  <c r="T133" i="26"/>
  <c r="T132" i="26"/>
  <c r="S131" i="26"/>
  <c r="T130" i="26"/>
  <c r="S129" i="26"/>
  <c r="T128" i="26"/>
  <c r="T127" i="26"/>
  <c r="S126" i="26"/>
  <c r="T125" i="26"/>
  <c r="S124" i="26"/>
  <c r="S123" i="26"/>
  <c r="T122" i="26"/>
  <c r="T121" i="26"/>
  <c r="S121" i="26"/>
  <c r="T120" i="26"/>
  <c r="S120" i="26"/>
  <c r="S119" i="26"/>
  <c r="T118" i="26"/>
  <c r="S117" i="26"/>
  <c r="S115" i="26"/>
  <c r="T114" i="26"/>
  <c r="S112" i="26"/>
  <c r="S111" i="26"/>
  <c r="S110" i="26"/>
  <c r="S109" i="26"/>
  <c r="S108" i="26"/>
  <c r="S107" i="26"/>
  <c r="S106" i="26"/>
  <c r="S105" i="26"/>
  <c r="S104" i="26"/>
  <c r="S103" i="26"/>
  <c r="T101" i="26"/>
  <c r="T100" i="26"/>
  <c r="T99" i="26"/>
  <c r="T98" i="26"/>
  <c r="T97" i="26"/>
  <c r="T96" i="26"/>
  <c r="T95" i="26"/>
  <c r="T94" i="26"/>
  <c r="S89" i="26"/>
  <c r="S88" i="26"/>
  <c r="S87" i="26"/>
  <c r="S86" i="26"/>
  <c r="S85" i="26"/>
  <c r="S84" i="26"/>
  <c r="S83" i="26"/>
  <c r="S82" i="26"/>
  <c r="S81" i="26"/>
  <c r="S80" i="26"/>
  <c r="S79" i="26"/>
  <c r="S78" i="26"/>
  <c r="S77" i="26"/>
  <c r="S76" i="26"/>
  <c r="S75" i="26"/>
  <c r="S74" i="26"/>
  <c r="S73" i="26"/>
  <c r="S72" i="26"/>
  <c r="S71" i="26"/>
  <c r="T69" i="26"/>
  <c r="T68" i="26"/>
  <c r="T67" i="26"/>
  <c r="T66" i="26"/>
  <c r="T65" i="26"/>
  <c r="T64" i="26"/>
  <c r="T63" i="26"/>
  <c r="T62" i="26"/>
  <c r="T61" i="26"/>
  <c r="S61" i="26"/>
  <c r="T60" i="26"/>
  <c r="S60" i="26"/>
  <c r="T59" i="26"/>
  <c r="T58" i="26"/>
  <c r="T57" i="26"/>
  <c r="T56" i="26"/>
  <c r="S55" i="26"/>
  <c r="S54" i="26"/>
  <c r="T53" i="26"/>
  <c r="T52" i="26"/>
  <c r="T51" i="26"/>
  <c r="T50" i="26"/>
  <c r="T49" i="26"/>
  <c r="T48" i="26"/>
  <c r="T47" i="26"/>
  <c r="T46" i="26"/>
  <c r="T45" i="26"/>
  <c r="T44" i="26"/>
  <c r="T43" i="26"/>
  <c r="T42" i="26"/>
  <c r="T41" i="26"/>
  <c r="T40" i="26"/>
  <c r="T39" i="26"/>
  <c r="T38" i="26"/>
  <c r="T37" i="26"/>
  <c r="T36" i="26"/>
  <c r="T35" i="26"/>
  <c r="T34" i="26"/>
  <c r="T33" i="26"/>
  <c r="T32" i="26"/>
  <c r="T31" i="26"/>
  <c r="T30" i="26"/>
  <c r="T29" i="26"/>
  <c r="T28" i="26"/>
  <c r="T27" i="26"/>
  <c r="T26" i="26"/>
  <c r="T15" i="26"/>
  <c r="S15" i="26"/>
  <c r="T14" i="26"/>
  <c r="S14" i="26"/>
  <c r="S887" i="20"/>
  <c r="T886" i="20"/>
  <c r="T885" i="20"/>
  <c r="S884" i="20"/>
  <c r="T883" i="20"/>
  <c r="S883" i="20"/>
  <c r="T882" i="20"/>
  <c r="S882" i="20"/>
  <c r="T881" i="20"/>
  <c r="S881" i="20"/>
  <c r="T880" i="20"/>
  <c r="S880" i="20"/>
  <c r="T879" i="20"/>
  <c r="S879" i="20"/>
  <c r="T878" i="20"/>
  <c r="S878" i="20"/>
  <c r="T877" i="20"/>
  <c r="S877" i="20"/>
  <c r="T876" i="20"/>
  <c r="S876" i="20"/>
  <c r="T875" i="20"/>
  <c r="T874" i="20"/>
  <c r="T873" i="20"/>
  <c r="T872" i="20"/>
  <c r="T871" i="20"/>
  <c r="T870" i="20"/>
  <c r="T869" i="20"/>
  <c r="T868" i="20"/>
  <c r="S867" i="20"/>
  <c r="S866" i="20"/>
  <c r="S865" i="20"/>
  <c r="S864" i="20"/>
  <c r="S863" i="20"/>
  <c r="S862" i="20"/>
  <c r="S861" i="20"/>
  <c r="S860" i="20"/>
  <c r="S859" i="20"/>
  <c r="S858" i="20"/>
  <c r="T857" i="20"/>
  <c r="S857" i="20"/>
  <c r="T856" i="20"/>
  <c r="S856" i="20"/>
  <c r="T855" i="20"/>
  <c r="S855" i="20"/>
  <c r="T854" i="20"/>
  <c r="S854" i="20"/>
  <c r="T853" i="20"/>
  <c r="S853" i="20"/>
  <c r="T852" i="20"/>
  <c r="S852" i="20"/>
  <c r="T851" i="20"/>
  <c r="S851" i="20"/>
  <c r="T850" i="20"/>
  <c r="S850" i="20"/>
  <c r="T849" i="20"/>
  <c r="S849" i="20"/>
  <c r="T848" i="20"/>
  <c r="S846" i="20"/>
  <c r="T845" i="20"/>
  <c r="T844" i="20"/>
  <c r="T843" i="20"/>
  <c r="T842" i="20"/>
  <c r="S841" i="20"/>
  <c r="S840" i="20"/>
  <c r="S839" i="20"/>
  <c r="S838" i="20"/>
  <c r="S837" i="20"/>
  <c r="T836" i="20"/>
  <c r="T835" i="20"/>
  <c r="S834" i="20"/>
  <c r="S833" i="20"/>
  <c r="S832" i="20"/>
  <c r="S887" i="25"/>
  <c r="T886" i="25"/>
  <c r="T885" i="25"/>
  <c r="S884" i="25"/>
  <c r="T883" i="25"/>
  <c r="S883" i="25"/>
  <c r="T882" i="25"/>
  <c r="S882" i="25"/>
  <c r="T881" i="25"/>
  <c r="S881" i="25"/>
  <c r="T880" i="25"/>
  <c r="S880" i="25"/>
  <c r="T879" i="25"/>
  <c r="S879" i="25"/>
  <c r="T878" i="25"/>
  <c r="S878" i="25"/>
  <c r="T877" i="25"/>
  <c r="S877" i="25"/>
  <c r="T876" i="25"/>
  <c r="S876" i="25"/>
  <c r="T875" i="25"/>
  <c r="T874" i="25"/>
  <c r="T873" i="25"/>
  <c r="T872" i="25"/>
  <c r="T871" i="25"/>
  <c r="T870" i="25"/>
  <c r="T869" i="25"/>
  <c r="T868" i="25"/>
  <c r="S867" i="25"/>
  <c r="S866" i="25"/>
  <c r="S865" i="25"/>
  <c r="S864" i="25"/>
  <c r="S863" i="25"/>
  <c r="S862" i="25"/>
  <c r="S861" i="25"/>
  <c r="S860" i="25"/>
  <c r="S859" i="25"/>
  <c r="S858" i="25"/>
  <c r="T857" i="25"/>
  <c r="S857" i="25"/>
  <c r="T856" i="25"/>
  <c r="S856" i="25"/>
  <c r="T855" i="25"/>
  <c r="S855" i="25"/>
  <c r="T854" i="25"/>
  <c r="S854" i="25"/>
  <c r="T853" i="25"/>
  <c r="S853" i="25"/>
  <c r="T852" i="25"/>
  <c r="S852" i="25"/>
  <c r="T851" i="25"/>
  <c r="S851" i="25"/>
  <c r="T850" i="25"/>
  <c r="S850" i="25"/>
  <c r="T849" i="25"/>
  <c r="S849" i="25"/>
  <c r="T848" i="25"/>
  <c r="S846" i="25"/>
  <c r="T845" i="25"/>
  <c r="T844" i="25"/>
  <c r="T843" i="25"/>
  <c r="T842" i="25"/>
  <c r="S841" i="25"/>
  <c r="S840" i="25"/>
  <c r="S839" i="25"/>
  <c r="S838" i="25"/>
  <c r="S837" i="25"/>
  <c r="T836" i="25"/>
  <c r="T835" i="25"/>
  <c r="S834" i="25"/>
  <c r="S833" i="25"/>
  <c r="S832" i="25"/>
  <c r="S887" i="26"/>
  <c r="T886" i="26"/>
  <c r="T885" i="26"/>
  <c r="S884" i="26"/>
  <c r="T883" i="26"/>
  <c r="S883" i="26"/>
  <c r="T882" i="26"/>
  <c r="S882" i="26"/>
  <c r="T881" i="26"/>
  <c r="S881" i="26"/>
  <c r="T880" i="26"/>
  <c r="S880" i="26"/>
  <c r="T879" i="26"/>
  <c r="S879" i="26"/>
  <c r="T878" i="26"/>
  <c r="S878" i="26"/>
  <c r="T877" i="26"/>
  <c r="S877" i="26"/>
  <c r="T876" i="26"/>
  <c r="S876" i="26"/>
  <c r="T875" i="26"/>
  <c r="T874" i="26"/>
  <c r="T873" i="26"/>
  <c r="T872" i="26"/>
  <c r="T871" i="26"/>
  <c r="T870" i="26"/>
  <c r="T869" i="26"/>
  <c r="T868" i="26"/>
  <c r="S867" i="26"/>
  <c r="S866" i="26"/>
  <c r="S865" i="26"/>
  <c r="S864" i="26"/>
  <c r="S863" i="26"/>
  <c r="S862" i="26"/>
  <c r="S861" i="26"/>
  <c r="S860" i="26"/>
  <c r="S859" i="26"/>
  <c r="S858" i="26"/>
  <c r="T857" i="26"/>
  <c r="S857" i="26"/>
  <c r="T856" i="26"/>
  <c r="S856" i="26"/>
  <c r="T855" i="26"/>
  <c r="S855" i="26"/>
  <c r="T854" i="26"/>
  <c r="S854" i="26"/>
  <c r="T853" i="26"/>
  <c r="S853" i="26"/>
  <c r="T852" i="26"/>
  <c r="S852" i="26"/>
  <c r="T851" i="26"/>
  <c r="S851" i="26"/>
  <c r="T850" i="26"/>
  <c r="S850" i="26"/>
  <c r="T849" i="26"/>
  <c r="S849" i="26"/>
  <c r="T848" i="26"/>
  <c r="S846" i="26"/>
  <c r="T845" i="26"/>
  <c r="T844" i="26"/>
  <c r="T843" i="26"/>
  <c r="T842" i="26"/>
  <c r="S841" i="26"/>
  <c r="S840" i="26"/>
  <c r="S839" i="26"/>
  <c r="S838" i="26"/>
  <c r="S837" i="26"/>
  <c r="T836" i="26"/>
  <c r="T835" i="26"/>
  <c r="S834" i="26"/>
  <c r="S833" i="26"/>
  <c r="S832" i="26"/>
  <c r="S54" i="27"/>
  <c r="T53" i="27"/>
  <c r="AV53" i="1"/>
  <c r="Z53" i="1"/>
  <c r="Y53" i="1"/>
  <c r="AN53" i="1"/>
  <c r="X53" i="1"/>
  <c r="AM53" i="1"/>
  <c r="T53" i="1"/>
  <c r="AV52" i="1"/>
  <c r="Z52" i="1"/>
  <c r="Y52" i="1"/>
  <c r="AN52" i="1" s="1"/>
  <c r="X52" i="1"/>
  <c r="AM52" i="1" s="1"/>
  <c r="T52" i="1"/>
  <c r="AV51" i="1"/>
  <c r="Z51" i="1"/>
  <c r="Y51" i="1"/>
  <c r="AN51" i="1" s="1"/>
  <c r="X51" i="1"/>
  <c r="AM51" i="1"/>
  <c r="T51" i="1"/>
  <c r="AV50" i="1"/>
  <c r="Z50" i="1"/>
  <c r="Y50" i="1"/>
  <c r="AN50" i="1" s="1"/>
  <c r="X50" i="1"/>
  <c r="AM50" i="1" s="1"/>
  <c r="T50" i="1"/>
  <c r="AV49" i="1"/>
  <c r="Z49" i="1"/>
  <c r="Y49" i="1"/>
  <c r="AN49" i="1" s="1"/>
  <c r="X49" i="1"/>
  <c r="AM49" i="1" s="1"/>
  <c r="T49" i="1"/>
  <c r="AV48" i="1"/>
  <c r="Z48" i="1"/>
  <c r="Y48" i="1"/>
  <c r="AN48" i="1" s="1"/>
  <c r="X48" i="1"/>
  <c r="AM48" i="1" s="1"/>
  <c r="T48" i="1"/>
  <c r="AV47" i="1"/>
  <c r="Z47" i="1"/>
  <c r="Y47" i="1"/>
  <c r="AN47" i="1" s="1"/>
  <c r="X47" i="1"/>
  <c r="AM47" i="1" s="1"/>
  <c r="T47" i="1"/>
  <c r="AV46" i="1"/>
  <c r="Z46" i="1"/>
  <c r="Y46" i="1"/>
  <c r="AN46" i="1" s="1"/>
  <c r="X46" i="1"/>
  <c r="AM46" i="1" s="1"/>
  <c r="AL46" i="1"/>
  <c r="AR46" i="1" s="1"/>
  <c r="T46" i="1"/>
  <c r="AV45" i="1"/>
  <c r="Z45" i="1"/>
  <c r="Y45" i="1"/>
  <c r="AN45" i="1" s="1"/>
  <c r="X45" i="1"/>
  <c r="AM45" i="1"/>
  <c r="AL45" i="1"/>
  <c r="AR45" i="1" s="1"/>
  <c r="T45" i="1"/>
  <c r="AV44" i="1"/>
  <c r="Z44" i="1"/>
  <c r="Y44" i="1"/>
  <c r="AN44" i="1" s="1"/>
  <c r="X44" i="1"/>
  <c r="AM44" i="1" s="1"/>
  <c r="AL44" i="1"/>
  <c r="AR44" i="1" s="1"/>
  <c r="T44" i="1"/>
  <c r="AV43" i="1"/>
  <c r="Z43" i="1"/>
  <c r="Y43" i="1"/>
  <c r="AN43" i="1"/>
  <c r="X43" i="1"/>
  <c r="AM43" i="1"/>
  <c r="AL43" i="1"/>
  <c r="AR43" i="1" s="1"/>
  <c r="T43" i="1"/>
  <c r="AV42" i="1"/>
  <c r="Z42" i="1"/>
  <c r="Y42" i="1"/>
  <c r="AN42" i="1" s="1"/>
  <c r="X42" i="1"/>
  <c r="AM42" i="1"/>
  <c r="AS42" i="1" s="1"/>
  <c r="T42" i="1"/>
  <c r="AV41" i="1"/>
  <c r="Z41" i="1"/>
  <c r="Y41" i="1"/>
  <c r="AN41" i="1"/>
  <c r="X41" i="1"/>
  <c r="AM41" i="1" s="1"/>
  <c r="AS41" i="1" s="1"/>
  <c r="AL41" i="1"/>
  <c r="AR41" i="1" s="1"/>
  <c r="T41" i="1"/>
  <c r="AV40" i="1"/>
  <c r="Z40" i="1"/>
  <c r="Y40" i="1"/>
  <c r="AN40" i="1"/>
  <c r="X40" i="1"/>
  <c r="AM40" i="1" s="1"/>
  <c r="AS40" i="1" s="1"/>
  <c r="T40" i="1"/>
  <c r="AV39" i="1"/>
  <c r="Z39" i="1"/>
  <c r="Y39" i="1"/>
  <c r="AN39" i="1"/>
  <c r="X39" i="1"/>
  <c r="AM39" i="1" s="1"/>
  <c r="T39" i="1"/>
  <c r="AV38" i="1"/>
  <c r="Z38" i="1"/>
  <c r="Y38" i="1"/>
  <c r="AN38" i="1" s="1"/>
  <c r="X38" i="1"/>
  <c r="AM38" i="1"/>
  <c r="AS38" i="1" s="1"/>
  <c r="T38" i="1"/>
  <c r="AV37" i="1"/>
  <c r="Z37" i="1"/>
  <c r="Y37" i="1"/>
  <c r="AN37" i="1"/>
  <c r="X37" i="1"/>
  <c r="AM37" i="1" s="1"/>
  <c r="AS37" i="1" s="1"/>
  <c r="AR37" i="1"/>
  <c r="T37" i="1"/>
  <c r="AV36" i="1"/>
  <c r="Z36" i="1"/>
  <c r="Y36" i="1"/>
  <c r="AN36" i="1" s="1"/>
  <c r="X36" i="1"/>
  <c r="AM36" i="1"/>
  <c r="AL36" i="1"/>
  <c r="AR36" i="1" s="1"/>
  <c r="T36" i="1"/>
  <c r="AV35" i="1"/>
  <c r="Z35" i="1"/>
  <c r="Y35" i="1"/>
  <c r="AN35" i="1" s="1"/>
  <c r="X35" i="1"/>
  <c r="AM35" i="1" s="1"/>
  <c r="AS35" i="1" s="1"/>
  <c r="T35" i="1"/>
  <c r="AV34" i="1"/>
  <c r="Z34" i="1"/>
  <c r="Y34" i="1"/>
  <c r="AN34" i="1" s="1"/>
  <c r="X34" i="1"/>
  <c r="AM34" i="1"/>
  <c r="AL34" i="1"/>
  <c r="AR34" i="1" s="1"/>
  <c r="T34" i="1"/>
  <c r="AV33" i="1"/>
  <c r="Z33" i="1"/>
  <c r="Y33" i="1"/>
  <c r="AN33" i="1" s="1"/>
  <c r="X33" i="1"/>
  <c r="AM33" i="1"/>
  <c r="T33" i="1"/>
  <c r="AV32" i="1"/>
  <c r="Z32" i="1"/>
  <c r="Y32" i="1"/>
  <c r="AN32" i="1"/>
  <c r="X32" i="1"/>
  <c r="AM32" i="1" s="1"/>
  <c r="T32" i="1"/>
  <c r="AV31" i="1"/>
  <c r="Z31" i="1"/>
  <c r="Y31" i="1"/>
  <c r="AN31" i="1"/>
  <c r="AS31" i="1" s="1"/>
  <c r="X31" i="1"/>
  <c r="AM31" i="1" s="1"/>
  <c r="AL31" i="1"/>
  <c r="AR31" i="1" s="1"/>
  <c r="T31" i="1"/>
  <c r="AV30" i="1"/>
  <c r="Z30" i="1"/>
  <c r="Y30" i="1"/>
  <c r="AN30" i="1"/>
  <c r="X30" i="1"/>
  <c r="AM30" i="1" s="1"/>
  <c r="T30" i="1"/>
  <c r="AV29" i="1"/>
  <c r="Z29" i="1"/>
  <c r="Y29" i="1"/>
  <c r="AN29" i="1"/>
  <c r="AS29" i="1" s="1"/>
  <c r="X29" i="1"/>
  <c r="AM29" i="1" s="1"/>
  <c r="AL29" i="1"/>
  <c r="AR29" i="1" s="1"/>
  <c r="T29" i="1"/>
  <c r="AV28" i="1"/>
  <c r="Z28" i="1"/>
  <c r="Y28" i="1"/>
  <c r="AN28" i="1" s="1"/>
  <c r="X28" i="1"/>
  <c r="AM28" i="1" s="1"/>
  <c r="T28" i="1"/>
  <c r="AV27" i="1"/>
  <c r="Z27" i="1"/>
  <c r="Y27" i="1"/>
  <c r="AN27" i="1"/>
  <c r="X27" i="1"/>
  <c r="AM27" i="1" s="1"/>
  <c r="T27" i="1"/>
  <c r="AV26" i="1"/>
  <c r="AV179" i="1"/>
  <c r="AV93" i="1"/>
  <c r="AV92" i="1"/>
  <c r="AV91" i="1"/>
  <c r="AV90" i="1"/>
  <c r="AV16" i="1"/>
  <c r="M97" i="4"/>
  <c r="H97" i="4"/>
  <c r="H116" i="29" s="1"/>
  <c r="R829" i="20"/>
  <c r="Q829" i="20"/>
  <c r="R829" i="25"/>
  <c r="Q829" i="25"/>
  <c r="R829" i="26"/>
  <c r="Q829" i="26"/>
  <c r="V25" i="27"/>
  <c r="V24" i="27"/>
  <c r="V23" i="27"/>
  <c r="V22" i="27"/>
  <c r="V21" i="27"/>
  <c r="V20" i="27"/>
  <c r="V19" i="27"/>
  <c r="V18" i="27"/>
  <c r="V17" i="27"/>
  <c r="V16" i="27"/>
  <c r="V93" i="27"/>
  <c r="V92" i="27"/>
  <c r="V91" i="27"/>
  <c r="V90" i="27"/>
  <c r="V178" i="27"/>
  <c r="V847" i="27"/>
  <c r="V570" i="27"/>
  <c r="V884" i="27"/>
  <c r="V867" i="27"/>
  <c r="V866" i="27"/>
  <c r="V865" i="27"/>
  <c r="V864" i="27"/>
  <c r="V863" i="27"/>
  <c r="V862" i="27"/>
  <c r="V861" i="27"/>
  <c r="V860" i="27"/>
  <c r="V859" i="27"/>
  <c r="V858" i="27"/>
  <c r="V846" i="27"/>
  <c r="V841" i="27"/>
  <c r="V840" i="27"/>
  <c r="V839" i="27"/>
  <c r="V838" i="27"/>
  <c r="V837" i="27"/>
  <c r="V834" i="27"/>
  <c r="V833" i="27"/>
  <c r="V832" i="27"/>
  <c r="V608" i="27"/>
  <c r="V604" i="27"/>
  <c r="V579" i="27"/>
  <c r="V575" i="27"/>
  <c r="V574" i="27"/>
  <c r="V573" i="27"/>
  <c r="V415" i="27"/>
  <c r="V379" i="27"/>
  <c r="V378" i="27"/>
  <c r="V377" i="27"/>
  <c r="V376" i="27"/>
  <c r="V375" i="27"/>
  <c r="V374" i="27"/>
  <c r="V373" i="27"/>
  <c r="V372" i="27"/>
  <c r="V371" i="27"/>
  <c r="V370" i="27"/>
  <c r="V369" i="27"/>
  <c r="V368" i="27"/>
  <c r="V363" i="27"/>
  <c r="V362" i="27"/>
  <c r="V361" i="27"/>
  <c r="V360" i="27"/>
  <c r="V359" i="27"/>
  <c r="V358" i="27"/>
  <c r="V357" i="27"/>
  <c r="V356" i="27"/>
  <c r="V355" i="27"/>
  <c r="V354" i="27"/>
  <c r="V353" i="27"/>
  <c r="V352" i="27"/>
  <c r="V351" i="27"/>
  <c r="V350" i="27"/>
  <c r="V349" i="27"/>
  <c r="V348" i="27"/>
  <c r="V347" i="27"/>
  <c r="V346" i="27"/>
  <c r="V343" i="27"/>
  <c r="V342" i="27"/>
  <c r="V341" i="27"/>
  <c r="V340" i="27"/>
  <c r="V339" i="27"/>
  <c r="V338" i="27"/>
  <c r="V336" i="27"/>
  <c r="V335" i="27"/>
  <c r="V334" i="27"/>
  <c r="V333" i="27"/>
  <c r="V332" i="27"/>
  <c r="V331" i="27"/>
  <c r="V326" i="27"/>
  <c r="V325" i="27"/>
  <c r="V324" i="27"/>
  <c r="V323" i="27"/>
  <c r="V321" i="27"/>
  <c r="V320" i="27"/>
  <c r="V319" i="27"/>
  <c r="V318" i="27"/>
  <c r="V317" i="27"/>
  <c r="V316" i="27"/>
  <c r="V315" i="27"/>
  <c r="V314" i="27"/>
  <c r="V313" i="27"/>
  <c r="V312" i="27"/>
  <c r="V311" i="27"/>
  <c r="V310" i="27"/>
  <c r="V309" i="27"/>
  <c r="V308" i="27"/>
  <c r="V307" i="27"/>
  <c r="V306" i="27"/>
  <c r="V305" i="27"/>
  <c r="V304" i="27"/>
  <c r="V303" i="27"/>
  <c r="V302" i="27"/>
  <c r="V301" i="27"/>
  <c r="V300" i="27"/>
  <c r="V299" i="27"/>
  <c r="V298" i="27"/>
  <c r="V297" i="27"/>
  <c r="V296" i="27"/>
  <c r="V295" i="27"/>
  <c r="V294" i="27"/>
  <c r="V293" i="27"/>
  <c r="V292" i="27"/>
  <c r="V291" i="27"/>
  <c r="V290" i="27"/>
  <c r="V289" i="27"/>
  <c r="V288" i="27"/>
  <c r="V287" i="27"/>
  <c r="V286" i="27"/>
  <c r="V283" i="27"/>
  <c r="V256" i="27"/>
  <c r="V255" i="27"/>
  <c r="V254" i="27"/>
  <c r="V253" i="27"/>
  <c r="V250" i="27"/>
  <c r="V249" i="27"/>
  <c r="V248" i="27"/>
  <c r="V247" i="27"/>
  <c r="V246" i="27"/>
  <c r="V245" i="27"/>
  <c r="V240" i="27"/>
  <c r="V239" i="27"/>
  <c r="V236" i="27"/>
  <c r="V231" i="27"/>
  <c r="V230" i="27"/>
  <c r="V229" i="27"/>
  <c r="V223" i="27"/>
  <c r="V221" i="27"/>
  <c r="V219" i="27"/>
  <c r="V196" i="27"/>
  <c r="V189" i="27"/>
  <c r="V188" i="27"/>
  <c r="V185" i="27"/>
  <c r="V172" i="27"/>
  <c r="V171" i="27"/>
  <c r="V170" i="27"/>
  <c r="V169" i="27"/>
  <c r="V168" i="27"/>
  <c r="V167" i="27"/>
  <c r="V166" i="27"/>
  <c r="V165" i="27"/>
  <c r="V164" i="27"/>
  <c r="V163" i="27"/>
  <c r="V162" i="27"/>
  <c r="V161" i="27"/>
  <c r="V159" i="27"/>
  <c r="V158" i="27"/>
  <c r="V157" i="27"/>
  <c r="V156" i="27"/>
  <c r="V155" i="27"/>
  <c r="V154" i="27"/>
  <c r="V153" i="27"/>
  <c r="V152" i="27"/>
  <c r="V149" i="27"/>
  <c r="V148" i="27"/>
  <c r="V147" i="27"/>
  <c r="V145" i="27"/>
  <c r="V144" i="27"/>
  <c r="V141" i="27"/>
  <c r="V138" i="27"/>
  <c r="V137" i="27"/>
  <c r="V136" i="27"/>
  <c r="V134" i="27"/>
  <c r="V131" i="27"/>
  <c r="V129" i="27"/>
  <c r="V126" i="27"/>
  <c r="V124" i="27"/>
  <c r="V123" i="27"/>
  <c r="V119" i="27"/>
  <c r="V112" i="27"/>
  <c r="V111" i="27"/>
  <c r="V110" i="27"/>
  <c r="V109" i="27"/>
  <c r="V108" i="27"/>
  <c r="V107" i="27"/>
  <c r="V106" i="27"/>
  <c r="V105" i="27"/>
  <c r="V104" i="27"/>
  <c r="V103" i="27"/>
  <c r="V89" i="27"/>
  <c r="V88" i="27"/>
  <c r="V87" i="27"/>
  <c r="V86" i="27"/>
  <c r="V85" i="27"/>
  <c r="V84" i="27"/>
  <c r="V83" i="27"/>
  <c r="V82" i="27"/>
  <c r="V81" i="27"/>
  <c r="V80" i="27"/>
  <c r="V79" i="27"/>
  <c r="V78" i="27"/>
  <c r="V77" i="27"/>
  <c r="V76" i="27"/>
  <c r="V75" i="27"/>
  <c r="V74" i="27"/>
  <c r="V73" i="27"/>
  <c r="V72" i="27"/>
  <c r="V71" i="27"/>
  <c r="V55" i="27"/>
  <c r="V886" i="27"/>
  <c r="V885" i="27"/>
  <c r="V875" i="27"/>
  <c r="V874" i="27"/>
  <c r="V873" i="27"/>
  <c r="V872" i="27"/>
  <c r="V871" i="27"/>
  <c r="V870" i="27"/>
  <c r="V869" i="27"/>
  <c r="V868" i="27"/>
  <c r="V848" i="27"/>
  <c r="V845" i="27"/>
  <c r="V844" i="27"/>
  <c r="V843" i="27"/>
  <c r="V842" i="27"/>
  <c r="V836" i="27"/>
  <c r="V835" i="27"/>
  <c r="V580" i="27"/>
  <c r="V578" i="27"/>
  <c r="V577" i="27"/>
  <c r="V576" i="27"/>
  <c r="V572" i="27"/>
  <c r="V571" i="27"/>
  <c r="V569" i="27"/>
  <c r="V568" i="27"/>
  <c r="V567" i="27"/>
  <c r="V566" i="27"/>
  <c r="V416" i="27"/>
  <c r="V382" i="27"/>
  <c r="V381" i="27"/>
  <c r="V380" i="27"/>
  <c r="V367" i="27"/>
  <c r="V366" i="27"/>
  <c r="V365" i="27"/>
  <c r="V364" i="27"/>
  <c r="V337" i="27"/>
  <c r="V284" i="27"/>
  <c r="V270" i="27"/>
  <c r="V269" i="27"/>
  <c r="V268" i="27"/>
  <c r="V267" i="27"/>
  <c r="V266" i="27"/>
  <c r="V265" i="27"/>
  <c r="V264" i="27"/>
  <c r="V263" i="27"/>
  <c r="V262" i="27"/>
  <c r="V261" i="27"/>
  <c r="V260" i="27"/>
  <c r="V259" i="27"/>
  <c r="V258" i="27"/>
  <c r="V257" i="27"/>
  <c r="V252" i="27"/>
  <c r="V251" i="27"/>
  <c r="V244" i="27"/>
  <c r="V243" i="27"/>
  <c r="V242" i="27"/>
  <c r="V241" i="27"/>
  <c r="V238" i="27"/>
  <c r="V237" i="27"/>
  <c r="V235" i="27"/>
  <c r="V234" i="27"/>
  <c r="V233" i="27"/>
  <c r="V232" i="27"/>
  <c r="V228" i="27"/>
  <c r="V227" i="27"/>
  <c r="V226" i="27"/>
  <c r="V225" i="27"/>
  <c r="V224" i="27"/>
  <c r="V222" i="27"/>
  <c r="V220" i="27"/>
  <c r="V198" i="27"/>
  <c r="V197" i="27"/>
  <c r="V195" i="27"/>
  <c r="V190" i="27"/>
  <c r="V187" i="27"/>
  <c r="V186" i="27"/>
  <c r="V184" i="27"/>
  <c r="V175" i="27"/>
  <c r="V174" i="27"/>
  <c r="V173" i="27"/>
  <c r="V151" i="27"/>
  <c r="V150" i="27"/>
  <c r="V146" i="27"/>
  <c r="V143" i="27"/>
  <c r="V142" i="27"/>
  <c r="V140" i="27"/>
  <c r="V139" i="27"/>
  <c r="V135" i="27"/>
  <c r="V133" i="27"/>
  <c r="V132" i="27"/>
  <c r="V130" i="27"/>
  <c r="V128" i="27"/>
  <c r="V127" i="27"/>
  <c r="V125" i="27"/>
  <c r="V122" i="27"/>
  <c r="V118" i="27"/>
  <c r="V116" i="27"/>
  <c r="V114" i="27"/>
  <c r="V101" i="27"/>
  <c r="V100" i="27"/>
  <c r="V99" i="27"/>
  <c r="V98" i="27"/>
  <c r="V97" i="27"/>
  <c r="V96" i="27"/>
  <c r="V95" i="27"/>
  <c r="V94" i="27"/>
  <c r="V69" i="27"/>
  <c r="V68" i="27"/>
  <c r="V67" i="27"/>
  <c r="V66" i="27"/>
  <c r="V65" i="27"/>
  <c r="V64" i="27"/>
  <c r="V63" i="27"/>
  <c r="V62" i="27"/>
  <c r="V59" i="27"/>
  <c r="V58" i="27"/>
  <c r="V57" i="27"/>
  <c r="V56" i="27"/>
  <c r="V52" i="27"/>
  <c r="V51" i="27"/>
  <c r="V50" i="27"/>
  <c r="V49" i="27"/>
  <c r="V48" i="27"/>
  <c r="V47" i="27"/>
  <c r="V46" i="27"/>
  <c r="V45" i="27"/>
  <c r="V44" i="27"/>
  <c r="V43" i="27"/>
  <c r="V42" i="27"/>
  <c r="V41" i="27"/>
  <c r="V40" i="27"/>
  <c r="V39" i="27"/>
  <c r="V38" i="27"/>
  <c r="V37" i="27"/>
  <c r="V36" i="27"/>
  <c r="V35" i="27"/>
  <c r="V34" i="27"/>
  <c r="V33" i="27"/>
  <c r="V32" i="27"/>
  <c r="V31" i="27"/>
  <c r="V30" i="27"/>
  <c r="V29" i="27"/>
  <c r="V28" i="27"/>
  <c r="V27" i="27"/>
  <c r="V26" i="27"/>
  <c r="V54" i="27"/>
  <c r="V53" i="27"/>
  <c r="S887" i="27"/>
  <c r="S884" i="27"/>
  <c r="S867" i="27"/>
  <c r="S866" i="27"/>
  <c r="S865" i="27"/>
  <c r="S864" i="27"/>
  <c r="S863" i="27"/>
  <c r="S862" i="27"/>
  <c r="S861" i="27"/>
  <c r="S860" i="27"/>
  <c r="S859" i="27"/>
  <c r="S858" i="27"/>
  <c r="S846" i="27"/>
  <c r="S841" i="27"/>
  <c r="S840" i="27"/>
  <c r="S839" i="27"/>
  <c r="S838" i="27"/>
  <c r="S837" i="27"/>
  <c r="S834" i="27"/>
  <c r="S833" i="27"/>
  <c r="S832" i="27"/>
  <c r="S608" i="27"/>
  <c r="S604" i="27"/>
  <c r="S579" i="27"/>
  <c r="S575" i="27"/>
  <c r="S574" i="27"/>
  <c r="S573" i="27"/>
  <c r="T580" i="27"/>
  <c r="T578" i="27"/>
  <c r="T577" i="27"/>
  <c r="T576" i="27"/>
  <c r="T572" i="27"/>
  <c r="T571" i="27"/>
  <c r="T569" i="27"/>
  <c r="T568" i="27"/>
  <c r="T567" i="27"/>
  <c r="T566" i="27"/>
  <c r="T416" i="27"/>
  <c r="S415" i="27"/>
  <c r="T382" i="27"/>
  <c r="T381" i="27"/>
  <c r="T380" i="27"/>
  <c r="T367" i="27"/>
  <c r="T366" i="27"/>
  <c r="T365" i="27"/>
  <c r="T364" i="27"/>
  <c r="T337" i="27"/>
  <c r="S379" i="27"/>
  <c r="S378" i="27"/>
  <c r="S377" i="27"/>
  <c r="S376" i="27"/>
  <c r="S375" i="27"/>
  <c r="S374" i="27"/>
  <c r="S373" i="27"/>
  <c r="S372" i="27"/>
  <c r="S371" i="27"/>
  <c r="S370" i="27"/>
  <c r="S369" i="27"/>
  <c r="S368" i="27"/>
  <c r="S363" i="27"/>
  <c r="S362" i="27"/>
  <c r="S361" i="27"/>
  <c r="S360" i="27"/>
  <c r="S359" i="27"/>
  <c r="S358" i="27"/>
  <c r="S357" i="27"/>
  <c r="S356" i="27"/>
  <c r="S355" i="27"/>
  <c r="S354" i="27"/>
  <c r="S353" i="27"/>
  <c r="S352" i="27"/>
  <c r="S351" i="27"/>
  <c r="S350" i="27"/>
  <c r="S349" i="27"/>
  <c r="S348" i="27"/>
  <c r="S347" i="27"/>
  <c r="S346" i="27"/>
  <c r="S343" i="27"/>
  <c r="S342" i="27"/>
  <c r="S341" i="27"/>
  <c r="S340" i="27"/>
  <c r="S339" i="27"/>
  <c r="S338" i="27"/>
  <c r="S336" i="27"/>
  <c r="S335" i="27"/>
  <c r="S334" i="27"/>
  <c r="S333" i="27"/>
  <c r="S332" i="27"/>
  <c r="S331" i="27"/>
  <c r="S326" i="27"/>
  <c r="S325" i="27"/>
  <c r="S324" i="27"/>
  <c r="S323" i="27"/>
  <c r="S321" i="27"/>
  <c r="S320" i="27"/>
  <c r="S319" i="27"/>
  <c r="S318" i="27"/>
  <c r="S317" i="27"/>
  <c r="S316" i="27"/>
  <c r="S315" i="27"/>
  <c r="S314" i="27"/>
  <c r="S313" i="27"/>
  <c r="S312" i="27"/>
  <c r="S311" i="27"/>
  <c r="S310" i="27"/>
  <c r="S309" i="27"/>
  <c r="S308" i="27"/>
  <c r="S307" i="27"/>
  <c r="S306" i="27"/>
  <c r="S305" i="27"/>
  <c r="S304" i="27"/>
  <c r="S303" i="27"/>
  <c r="S302" i="27"/>
  <c r="S301" i="27"/>
  <c r="S300" i="27"/>
  <c r="S299" i="27"/>
  <c r="S298" i="27"/>
  <c r="S297" i="27"/>
  <c r="S296" i="27"/>
  <c r="S295" i="27"/>
  <c r="S294" i="27"/>
  <c r="S293" i="27"/>
  <c r="S290" i="27"/>
  <c r="S289" i="27"/>
  <c r="S292" i="27"/>
  <c r="S291" i="27"/>
  <c r="S288" i="27"/>
  <c r="S287" i="27"/>
  <c r="S283" i="27"/>
  <c r="S256" i="27"/>
  <c r="S255" i="27"/>
  <c r="S254" i="27"/>
  <c r="S253" i="27"/>
  <c r="S250" i="27"/>
  <c r="S249" i="27"/>
  <c r="S248" i="27"/>
  <c r="S247" i="27"/>
  <c r="S246" i="27"/>
  <c r="S245" i="27"/>
  <c r="S240" i="27"/>
  <c r="S239" i="27"/>
  <c r="S236" i="27"/>
  <c r="T284" i="27"/>
  <c r="T270" i="27"/>
  <c r="T269" i="27"/>
  <c r="T268" i="27"/>
  <c r="T267" i="27"/>
  <c r="T266" i="27"/>
  <c r="T265" i="27"/>
  <c r="T264" i="27"/>
  <c r="T263" i="27"/>
  <c r="T262" i="27"/>
  <c r="T261" i="27"/>
  <c r="T260" i="27"/>
  <c r="T259" i="27"/>
  <c r="T258" i="27"/>
  <c r="T257" i="27"/>
  <c r="T252" i="27"/>
  <c r="T251" i="27"/>
  <c r="T244" i="27"/>
  <c r="T243" i="27"/>
  <c r="T242" i="27"/>
  <c r="T241" i="27"/>
  <c r="T238" i="27"/>
  <c r="T237" i="27"/>
  <c r="T235" i="27"/>
  <c r="T234" i="27"/>
  <c r="T233" i="27"/>
  <c r="T232" i="27"/>
  <c r="S231" i="27"/>
  <c r="S230" i="27"/>
  <c r="S229" i="27"/>
  <c r="S223" i="27"/>
  <c r="S221" i="27"/>
  <c r="S219" i="27"/>
  <c r="T228" i="27"/>
  <c r="T227" i="27"/>
  <c r="T226" i="27"/>
  <c r="T225" i="27"/>
  <c r="T224" i="27"/>
  <c r="T222" i="27"/>
  <c r="T220" i="27"/>
  <c r="T198" i="27"/>
  <c r="T197" i="27"/>
  <c r="T195" i="27"/>
  <c r="S196" i="27"/>
  <c r="S189" i="27"/>
  <c r="S188" i="27"/>
  <c r="S185" i="27"/>
  <c r="T190" i="27"/>
  <c r="T187" i="27"/>
  <c r="T186" i="27"/>
  <c r="T184" i="27"/>
  <c r="S172" i="27"/>
  <c r="S171" i="27"/>
  <c r="S170" i="27"/>
  <c r="S169" i="27"/>
  <c r="S168" i="27"/>
  <c r="S167" i="27"/>
  <c r="S166" i="27"/>
  <c r="S165" i="27"/>
  <c r="S164" i="27"/>
  <c r="S163" i="27"/>
  <c r="S162" i="27"/>
  <c r="S161" i="27"/>
  <c r="S159" i="27"/>
  <c r="S158" i="27"/>
  <c r="S157" i="27"/>
  <c r="S156" i="27"/>
  <c r="S155" i="27"/>
  <c r="S154" i="27"/>
  <c r="S153" i="27"/>
  <c r="S152" i="27"/>
  <c r="T151" i="27"/>
  <c r="T150" i="27"/>
  <c r="T146" i="27"/>
  <c r="T143" i="27"/>
  <c r="T142" i="27"/>
  <c r="T140" i="27"/>
  <c r="T139" i="27"/>
  <c r="S149" i="27"/>
  <c r="S148" i="27"/>
  <c r="S147" i="27"/>
  <c r="S145" i="27"/>
  <c r="S144" i="27"/>
  <c r="S141" i="27"/>
  <c r="S138" i="27"/>
  <c r="S137" i="27"/>
  <c r="S136" i="27"/>
  <c r="S134" i="27"/>
  <c r="S131" i="27"/>
  <c r="S129" i="27"/>
  <c r="S126" i="27"/>
  <c r="S124" i="27"/>
  <c r="S123" i="27"/>
  <c r="S112" i="27"/>
  <c r="S111" i="27"/>
  <c r="S110" i="27"/>
  <c r="S109" i="27"/>
  <c r="S108" i="27"/>
  <c r="S107" i="27"/>
  <c r="S106" i="27"/>
  <c r="S105" i="27"/>
  <c r="S104" i="27"/>
  <c r="S103" i="27"/>
  <c r="S89" i="27"/>
  <c r="S88" i="27"/>
  <c r="S87" i="27"/>
  <c r="S86" i="27"/>
  <c r="S85" i="27"/>
  <c r="S84" i="27"/>
  <c r="S83" i="27"/>
  <c r="S82" i="27"/>
  <c r="S81" i="27"/>
  <c r="S80" i="27"/>
  <c r="S79" i="27"/>
  <c r="S78" i="27"/>
  <c r="S77" i="27"/>
  <c r="S76" i="27"/>
  <c r="S75" i="27"/>
  <c r="S74" i="27"/>
  <c r="S73" i="27"/>
  <c r="S72" i="27"/>
  <c r="S71" i="27"/>
  <c r="T8" i="36"/>
  <c r="T4" i="36"/>
  <c r="E22" i="38"/>
  <c r="I22" i="38" s="1"/>
  <c r="E21" i="38"/>
  <c r="I21" i="38"/>
  <c r="E20" i="38"/>
  <c r="I20" i="38" s="1"/>
  <c r="E19" i="38"/>
  <c r="I19" i="38" s="1"/>
  <c r="E18" i="38"/>
  <c r="I18" i="38" s="1"/>
  <c r="E17" i="38"/>
  <c r="I17" i="38"/>
  <c r="E16" i="38"/>
  <c r="I16" i="38" s="1"/>
  <c r="E15" i="38"/>
  <c r="I15" i="38" s="1"/>
  <c r="E14" i="38"/>
  <c r="I14" i="38" s="1"/>
  <c r="E13" i="38"/>
  <c r="I13" i="38"/>
  <c r="E12" i="38"/>
  <c r="I12" i="38" s="1"/>
  <c r="E11" i="38"/>
  <c r="I11" i="38" s="1"/>
  <c r="E10" i="38"/>
  <c r="I10" i="38" s="1"/>
  <c r="E9" i="38"/>
  <c r="I9" i="38"/>
  <c r="E37" i="38"/>
  <c r="I37" i="38" s="1"/>
  <c r="E36" i="38"/>
  <c r="I36" i="38" s="1"/>
  <c r="E35" i="38"/>
  <c r="I35" i="38" s="1"/>
  <c r="E34" i="38"/>
  <c r="I34" i="38"/>
  <c r="E33" i="38"/>
  <c r="I33" i="38" s="1"/>
  <c r="E32" i="38"/>
  <c r="I32" i="38" s="1"/>
  <c r="E31" i="38"/>
  <c r="I31" i="38" s="1"/>
  <c r="E30" i="38"/>
  <c r="I30" i="38"/>
  <c r="E29" i="38"/>
  <c r="I29" i="38" s="1"/>
  <c r="E28" i="38"/>
  <c r="I28" i="38" s="1"/>
  <c r="E27" i="38"/>
  <c r="I27" i="38" s="1"/>
  <c r="E26" i="38"/>
  <c r="I26" i="38"/>
  <c r="E25" i="38"/>
  <c r="I25" i="38" s="1"/>
  <c r="E51" i="38"/>
  <c r="I51" i="38" s="1"/>
  <c r="E50" i="38"/>
  <c r="I50" i="38" s="1"/>
  <c r="E49" i="38"/>
  <c r="I49" i="38"/>
  <c r="E48" i="38"/>
  <c r="I48" i="38" s="1"/>
  <c r="E47" i="38"/>
  <c r="I47" i="38" s="1"/>
  <c r="E46" i="38"/>
  <c r="I46" i="38" s="1"/>
  <c r="E45" i="38"/>
  <c r="I45" i="38"/>
  <c r="E44" i="38"/>
  <c r="I44" i="38" s="1"/>
  <c r="E43" i="38"/>
  <c r="I43" i="38" s="1"/>
  <c r="E42" i="38"/>
  <c r="I42" i="38" s="1"/>
  <c r="E41" i="38"/>
  <c r="I41" i="38"/>
  <c r="E40" i="38"/>
  <c r="I40" i="38" s="1"/>
  <c r="E63" i="38"/>
  <c r="I63" i="38" s="1"/>
  <c r="E62" i="38"/>
  <c r="I62" i="38" s="1"/>
  <c r="E61" i="38"/>
  <c r="I61" i="38"/>
  <c r="E60" i="38"/>
  <c r="I60" i="38" s="1"/>
  <c r="E59" i="38"/>
  <c r="I59" i="38" s="1"/>
  <c r="E58" i="38"/>
  <c r="I58" i="38" s="1"/>
  <c r="E57" i="38"/>
  <c r="I57" i="38"/>
  <c r="E56" i="38"/>
  <c r="I56" i="38" s="1"/>
  <c r="E55" i="38"/>
  <c r="I55" i="38" s="1"/>
  <c r="E54" i="38"/>
  <c r="I54" i="38" s="1"/>
  <c r="E76" i="38"/>
  <c r="I76" i="38"/>
  <c r="E75" i="38"/>
  <c r="I75" i="38" s="1"/>
  <c r="E74" i="38"/>
  <c r="I74" i="38" s="1"/>
  <c r="E73" i="38"/>
  <c r="I73" i="38" s="1"/>
  <c r="E72" i="38"/>
  <c r="I72" i="38"/>
  <c r="E71" i="38"/>
  <c r="I71" i="38" s="1"/>
  <c r="E70" i="38"/>
  <c r="I70" i="38" s="1"/>
  <c r="E69" i="38"/>
  <c r="I69" i="38" s="1"/>
  <c r="E68" i="38"/>
  <c r="I68" i="38"/>
  <c r="E67" i="38"/>
  <c r="I67" i="38" s="1"/>
  <c r="E66" i="38"/>
  <c r="I66" i="38" s="1"/>
  <c r="E89" i="38"/>
  <c r="I89" i="38" s="1"/>
  <c r="E88" i="38"/>
  <c r="I88" i="38"/>
  <c r="E87" i="38"/>
  <c r="I87" i="38" s="1"/>
  <c r="E86" i="38"/>
  <c r="I86" i="38" s="1"/>
  <c r="E85" i="38"/>
  <c r="I85" i="38" s="1"/>
  <c r="E84" i="38"/>
  <c r="I84" i="38"/>
  <c r="E83" i="38"/>
  <c r="I83" i="38" s="1"/>
  <c r="E82" i="38"/>
  <c r="I82" i="38" s="1"/>
  <c r="E81" i="38"/>
  <c r="I81" i="38" s="1"/>
  <c r="E80" i="38"/>
  <c r="I80" i="38"/>
  <c r="E79" i="38"/>
  <c r="I79" i="38" s="1"/>
  <c r="E95" i="38"/>
  <c r="I95" i="38" s="1"/>
  <c r="E94" i="38"/>
  <c r="I94" i="38" s="1"/>
  <c r="E93" i="38"/>
  <c r="I93" i="38"/>
  <c r="E92" i="38"/>
  <c r="I92" i="38" s="1"/>
  <c r="E105" i="38"/>
  <c r="I105" i="38" s="1"/>
  <c r="E104" i="38"/>
  <c r="I104" i="38" s="1"/>
  <c r="E103" i="38"/>
  <c r="I103" i="38"/>
  <c r="E102" i="38"/>
  <c r="I102" i="38" s="1"/>
  <c r="E101" i="38"/>
  <c r="I101" i="38" s="1"/>
  <c r="E100" i="38"/>
  <c r="I100" i="38" s="1"/>
  <c r="E99" i="38"/>
  <c r="I99" i="38"/>
  <c r="E98" i="38"/>
  <c r="I98" i="38" s="1"/>
  <c r="E114" i="38"/>
  <c r="I114" i="38" s="1"/>
  <c r="E113" i="38"/>
  <c r="I113" i="38" s="1"/>
  <c r="E112" i="38"/>
  <c r="I112" i="38"/>
  <c r="E111" i="38"/>
  <c r="I111" i="38" s="1"/>
  <c r="E110" i="38"/>
  <c r="I110" i="38" s="1"/>
  <c r="E109" i="38"/>
  <c r="I109" i="38" s="1"/>
  <c r="E108" i="38"/>
  <c r="I108" i="38"/>
  <c r="E125" i="38"/>
  <c r="I125" i="38" s="1"/>
  <c r="E124" i="38"/>
  <c r="I124" i="38" s="1"/>
  <c r="E123" i="38"/>
  <c r="I123" i="38" s="1"/>
  <c r="E122" i="38"/>
  <c r="I122" i="38"/>
  <c r="E121" i="38"/>
  <c r="I121" i="38" s="1"/>
  <c r="E120" i="38"/>
  <c r="I120" i="38" s="1"/>
  <c r="E119" i="38"/>
  <c r="I119" i="38" s="1"/>
  <c r="E118" i="38"/>
  <c r="I118" i="38"/>
  <c r="E117" i="38"/>
  <c r="I117" i="38" s="1"/>
  <c r="E135" i="38"/>
  <c r="I135" i="38" s="1"/>
  <c r="E134" i="38"/>
  <c r="I134" i="38" s="1"/>
  <c r="E133" i="38"/>
  <c r="I133" i="38" s="1"/>
  <c r="E132" i="38"/>
  <c r="I132" i="38" s="1"/>
  <c r="E131" i="38"/>
  <c r="I131" i="38"/>
  <c r="E130" i="38"/>
  <c r="I130" i="38" s="1"/>
  <c r="E129" i="38"/>
  <c r="I129" i="38" s="1"/>
  <c r="E128" i="38"/>
  <c r="I128" i="38" s="1"/>
  <c r="E148" i="38"/>
  <c r="I148" i="38"/>
  <c r="E147" i="38"/>
  <c r="I147" i="38" s="1"/>
  <c r="E146" i="38"/>
  <c r="I146" i="38" s="1"/>
  <c r="E145" i="38"/>
  <c r="I145" i="38" s="1"/>
  <c r="E144" i="38"/>
  <c r="I144" i="38" s="1"/>
  <c r="E143" i="38"/>
  <c r="I143" i="38" s="1"/>
  <c r="E142" i="38"/>
  <c r="I142" i="38"/>
  <c r="E141" i="38"/>
  <c r="I141" i="38" s="1"/>
  <c r="E140" i="38"/>
  <c r="I140" i="38" s="1"/>
  <c r="E139" i="38"/>
  <c r="I139" i="38" s="1"/>
  <c r="E138" i="38"/>
  <c r="I138" i="38" s="1"/>
  <c r="E162" i="38"/>
  <c r="I162" i="38" s="1"/>
  <c r="E161" i="38"/>
  <c r="I161" i="38"/>
  <c r="E160" i="38"/>
  <c r="I160" i="38" s="1"/>
  <c r="E159" i="38"/>
  <c r="I159" i="38" s="1"/>
  <c r="E158" i="38"/>
  <c r="I158" i="38" s="1"/>
  <c r="E157" i="38"/>
  <c r="I157" i="38"/>
  <c r="E156" i="38"/>
  <c r="I156" i="38" s="1"/>
  <c r="E155" i="38"/>
  <c r="I155" i="38" s="1"/>
  <c r="E154" i="38"/>
  <c r="I154" i="38" s="1"/>
  <c r="E153" i="38"/>
  <c r="I153" i="38" s="1"/>
  <c r="E152" i="38"/>
  <c r="I152" i="38" s="1"/>
  <c r="E151" i="38"/>
  <c r="I151" i="38"/>
  <c r="E170" i="38"/>
  <c r="I170" i="38" s="1"/>
  <c r="E169" i="38"/>
  <c r="I169" i="38" s="1"/>
  <c r="E168" i="38"/>
  <c r="I168" i="38" s="1"/>
  <c r="E167" i="38"/>
  <c r="I167" i="38" s="1"/>
  <c r="E166" i="38"/>
  <c r="I166" i="38" s="1"/>
  <c r="E165" i="38"/>
  <c r="I165" i="38"/>
  <c r="E183" i="38"/>
  <c r="I183" i="38" s="1"/>
  <c r="E182" i="38"/>
  <c r="I182" i="38" s="1"/>
  <c r="E181" i="38"/>
  <c r="I181" i="38" s="1"/>
  <c r="E180" i="38"/>
  <c r="I180" i="38" s="1"/>
  <c r="E179" i="38"/>
  <c r="I179" i="38" s="1"/>
  <c r="E178" i="38"/>
  <c r="I178" i="38" s="1"/>
  <c r="E177" i="38"/>
  <c r="I177" i="38" s="1"/>
  <c r="E176" i="38"/>
  <c r="I176" i="38" s="1"/>
  <c r="E175" i="38"/>
  <c r="I175" i="38"/>
  <c r="E174" i="38"/>
  <c r="I174" i="38" s="1"/>
  <c r="E173" i="38"/>
  <c r="I173" i="38" s="1"/>
  <c r="E203" i="38"/>
  <c r="I203" i="38" s="1"/>
  <c r="E202" i="38"/>
  <c r="I202" i="38" s="1"/>
  <c r="E201" i="38"/>
  <c r="I201" i="38" s="1"/>
  <c r="E200" i="38"/>
  <c r="I200" i="38"/>
  <c r="E199" i="38"/>
  <c r="I199" i="38" s="1"/>
  <c r="E198" i="38"/>
  <c r="I198" i="38"/>
  <c r="E197" i="38"/>
  <c r="I197" i="38" s="1"/>
  <c r="E196" i="38"/>
  <c r="I196" i="38" s="1"/>
  <c r="E195" i="38"/>
  <c r="I195" i="38" s="1"/>
  <c r="E194" i="38"/>
  <c r="I194" i="38" s="1"/>
  <c r="E193" i="38"/>
  <c r="I193" i="38" s="1"/>
  <c r="E192" i="38"/>
  <c r="I192" i="38"/>
  <c r="E191" i="38"/>
  <c r="I191" i="38" s="1"/>
  <c r="E190" i="38"/>
  <c r="I190" i="38"/>
  <c r="E189" i="38"/>
  <c r="I189" i="38" s="1"/>
  <c r="E188" i="38"/>
  <c r="I188" i="38" s="1"/>
  <c r="E187" i="38"/>
  <c r="I187" i="38" s="1"/>
  <c r="E186" i="38"/>
  <c r="I186" i="38" s="1"/>
  <c r="E212" i="38"/>
  <c r="I212" i="38" s="1"/>
  <c r="E211" i="38"/>
  <c r="I211" i="38"/>
  <c r="E210" i="38"/>
  <c r="I210" i="38" s="1"/>
  <c r="E209" i="38"/>
  <c r="I209" i="38"/>
  <c r="E208" i="38"/>
  <c r="I208" i="38" s="1"/>
  <c r="E207" i="38"/>
  <c r="I207" i="38" s="1"/>
  <c r="E206" i="38"/>
  <c r="I206" i="38" s="1"/>
  <c r="E222" i="38"/>
  <c r="I222" i="38" s="1"/>
  <c r="E221" i="38"/>
  <c r="I221" i="38" s="1"/>
  <c r="E220" i="38"/>
  <c r="I220" i="38"/>
  <c r="E219" i="38"/>
  <c r="I219" i="38" s="1"/>
  <c r="E218" i="38"/>
  <c r="I218" i="38"/>
  <c r="E217" i="38"/>
  <c r="I217" i="38" s="1"/>
  <c r="E216" i="38"/>
  <c r="I216" i="38" s="1"/>
  <c r="E215" i="38"/>
  <c r="I215" i="38" s="1"/>
  <c r="E231" i="38"/>
  <c r="I231" i="38" s="1"/>
  <c r="E230" i="38"/>
  <c r="I230" i="38" s="1"/>
  <c r="E229" i="38"/>
  <c r="I229" i="38"/>
  <c r="E228" i="38"/>
  <c r="I228" i="38" s="1"/>
  <c r="E227" i="38"/>
  <c r="I227" i="38"/>
  <c r="E226" i="38"/>
  <c r="I226" i="38" s="1"/>
  <c r="E225" i="38"/>
  <c r="I225" i="38" s="1"/>
  <c r="E237" i="38"/>
  <c r="I237" i="38" s="1"/>
  <c r="E236" i="38"/>
  <c r="I236" i="38" s="1"/>
  <c r="E235" i="38"/>
  <c r="I235" i="38" s="1"/>
  <c r="E234" i="38"/>
  <c r="I234" i="38"/>
  <c r="E249" i="38"/>
  <c r="I249" i="38" s="1"/>
  <c r="E248" i="38"/>
  <c r="I248" i="38"/>
  <c r="E247" i="38"/>
  <c r="I247" i="38" s="1"/>
  <c r="E246" i="38"/>
  <c r="I246" i="38" s="1"/>
  <c r="E245" i="38"/>
  <c r="I245" i="38"/>
  <c r="E244" i="38"/>
  <c r="I244" i="38" s="1"/>
  <c r="E243" i="38"/>
  <c r="I243" i="38"/>
  <c r="E242" i="38"/>
  <c r="I242" i="38" s="1"/>
  <c r="E241" i="38"/>
  <c r="I241" i="38"/>
  <c r="E240" i="38"/>
  <c r="I240" i="38" s="1"/>
  <c r="E276" i="38"/>
  <c r="I276" i="38"/>
  <c r="E300" i="38"/>
  <c r="I300" i="38" s="1"/>
  <c r="E299" i="38"/>
  <c r="I299" i="38"/>
  <c r="E298" i="38"/>
  <c r="I298" i="38" s="1"/>
  <c r="E297" i="38"/>
  <c r="I297" i="38"/>
  <c r="E296" i="38"/>
  <c r="I296" i="38" s="1"/>
  <c r="E295" i="38"/>
  <c r="I295" i="38"/>
  <c r="E294" i="38"/>
  <c r="I294" i="38" s="1"/>
  <c r="E293" i="38"/>
  <c r="I293" i="38"/>
  <c r="E292" i="38"/>
  <c r="I292" i="38" s="1"/>
  <c r="E291" i="38"/>
  <c r="I291" i="38"/>
  <c r="E290" i="38"/>
  <c r="I290" i="38" s="1"/>
  <c r="E289" i="38"/>
  <c r="I289" i="38"/>
  <c r="E288" i="38"/>
  <c r="I288" i="38" s="1"/>
  <c r="E287" i="38"/>
  <c r="I287" i="38"/>
  <c r="E286" i="38"/>
  <c r="I286" i="38" s="1"/>
  <c r="E285" i="38"/>
  <c r="I285" i="38"/>
  <c r="E284" i="38"/>
  <c r="I284" i="38" s="1"/>
  <c r="E283" i="38"/>
  <c r="I283" i="38"/>
  <c r="E282" i="38"/>
  <c r="I282" i="38" s="1"/>
  <c r="E281" i="38"/>
  <c r="I281" i="38"/>
  <c r="E280" i="38"/>
  <c r="I280" i="38" s="1"/>
  <c r="E279" i="38"/>
  <c r="I279" i="38"/>
  <c r="E306" i="38"/>
  <c r="I306" i="38" s="1"/>
  <c r="E305" i="38"/>
  <c r="I305" i="38"/>
  <c r="E304" i="38"/>
  <c r="I304" i="38" s="1"/>
  <c r="E303" i="38"/>
  <c r="I303" i="38"/>
  <c r="E313" i="38"/>
  <c r="I313" i="38" s="1"/>
  <c r="E312" i="38"/>
  <c r="I312" i="38"/>
  <c r="E311" i="38"/>
  <c r="I311" i="38" s="1"/>
  <c r="E310" i="38"/>
  <c r="I310" i="38"/>
  <c r="E309" i="38"/>
  <c r="I309" i="38" s="1"/>
  <c r="E308" i="38"/>
  <c r="I308" i="38"/>
  <c r="E307" i="38"/>
  <c r="I307" i="38" s="1"/>
  <c r="E320" i="38"/>
  <c r="I320" i="38"/>
  <c r="E319" i="38"/>
  <c r="I319" i="38" s="1"/>
  <c r="E318" i="38"/>
  <c r="I318" i="38"/>
  <c r="E317" i="38"/>
  <c r="I317" i="38" s="1"/>
  <c r="E316" i="38"/>
  <c r="I316" i="38"/>
  <c r="E333" i="38"/>
  <c r="I333" i="38" s="1"/>
  <c r="E332" i="38"/>
  <c r="I332" i="38"/>
  <c r="E331" i="38"/>
  <c r="I331" i="38" s="1"/>
  <c r="E330" i="38"/>
  <c r="I330" i="38"/>
  <c r="E329" i="38"/>
  <c r="I329" i="38" s="1"/>
  <c r="E328" i="38"/>
  <c r="I328" i="38"/>
  <c r="E327" i="38"/>
  <c r="I327" i="38" s="1"/>
  <c r="E326" i="38"/>
  <c r="I326" i="38"/>
  <c r="E325" i="38"/>
  <c r="I325" i="38" s="1"/>
  <c r="E324" i="38"/>
  <c r="I324" i="38"/>
  <c r="E323" i="38"/>
  <c r="I323" i="38" s="1"/>
  <c r="E345" i="38"/>
  <c r="I345" i="38"/>
  <c r="E344" i="38"/>
  <c r="I344" i="38" s="1"/>
  <c r="E343" i="38"/>
  <c r="I343" i="38"/>
  <c r="E342" i="38"/>
  <c r="I342" i="38" s="1"/>
  <c r="E341" i="38"/>
  <c r="I341" i="38"/>
  <c r="E340" i="38"/>
  <c r="I340" i="38" s="1"/>
  <c r="E339" i="38"/>
  <c r="I339" i="38"/>
  <c r="E338" i="38"/>
  <c r="I338" i="38" s="1"/>
  <c r="E337" i="38"/>
  <c r="I337" i="38"/>
  <c r="E336" i="38"/>
  <c r="I336" i="38" s="1"/>
  <c r="E352" i="38"/>
  <c r="I352" i="38"/>
  <c r="E351" i="38"/>
  <c r="I351" i="38" s="1"/>
  <c r="E350" i="38"/>
  <c r="I350" i="38"/>
  <c r="E349" i="38"/>
  <c r="I349" i="38" s="1"/>
  <c r="E348" i="38"/>
  <c r="I348" i="38"/>
  <c r="E360" i="38"/>
  <c r="E359" i="38"/>
  <c r="E358" i="38"/>
  <c r="E357" i="38"/>
  <c r="E355" i="38" s="1"/>
  <c r="Q75" i="4"/>
  <c r="Q74" i="4"/>
  <c r="O63" i="39"/>
  <c r="O62" i="39"/>
  <c r="K63" i="39"/>
  <c r="K62" i="39"/>
  <c r="G63" i="39"/>
  <c r="G62" i="39"/>
  <c r="Q61" i="39"/>
  <c r="P61" i="39"/>
  <c r="M61" i="39"/>
  <c r="L61" i="39"/>
  <c r="I61" i="39"/>
  <c r="H61" i="39"/>
  <c r="E61" i="39"/>
  <c r="D61" i="39"/>
  <c r="E53" i="39"/>
  <c r="Q53" i="39"/>
  <c r="P53" i="39"/>
  <c r="Q5" i="39"/>
  <c r="P5" i="39"/>
  <c r="M53" i="39"/>
  <c r="L53" i="39"/>
  <c r="M5" i="39"/>
  <c r="L5" i="39"/>
  <c r="I53" i="39"/>
  <c r="H53" i="39"/>
  <c r="I5" i="39"/>
  <c r="H5" i="39"/>
  <c r="Q130" i="39"/>
  <c r="P130" i="39"/>
  <c r="M130" i="39"/>
  <c r="L130" i="39"/>
  <c r="I130" i="39"/>
  <c r="H130" i="39"/>
  <c r="AD910" i="1"/>
  <c r="AD911" i="1"/>
  <c r="P910" i="1"/>
  <c r="C122" i="39"/>
  <c r="C123" i="39" s="1"/>
  <c r="C124" i="39" s="1"/>
  <c r="C125" i="39" s="1"/>
  <c r="C117" i="39"/>
  <c r="C118" i="39" s="1"/>
  <c r="C119" i="39" s="1"/>
  <c r="C120" i="39" s="1"/>
  <c r="C114" i="39"/>
  <c r="C115" i="39" s="1"/>
  <c r="C112" i="39"/>
  <c r="C110" i="39"/>
  <c r="C104" i="39"/>
  <c r="C102" i="39"/>
  <c r="C97" i="39"/>
  <c r="C98" i="39"/>
  <c r="C87" i="39"/>
  <c r="C88" i="39" s="1"/>
  <c r="C89" i="39" s="1"/>
  <c r="C90" i="39" s="1"/>
  <c r="C91" i="39" s="1"/>
  <c r="C92" i="39" s="1"/>
  <c r="C93" i="39" s="1"/>
  <c r="C94" i="39" s="1"/>
  <c r="C83" i="39"/>
  <c r="C84" i="39" s="1"/>
  <c r="C85" i="39" s="1"/>
  <c r="C78" i="39"/>
  <c r="C79" i="39" s="1"/>
  <c r="C69" i="39"/>
  <c r="C70" i="39"/>
  <c r="C71" i="39"/>
  <c r="C72" i="39" s="1"/>
  <c r="C73" i="39" s="1"/>
  <c r="C74" i="39" s="1"/>
  <c r="C75" i="39" s="1"/>
  <c r="C76" i="39" s="1"/>
  <c r="D96" i="8"/>
  <c r="D96" i="4"/>
  <c r="E130" i="39"/>
  <c r="D130" i="39"/>
  <c r="S15" i="36"/>
  <c r="R15" i="36" s="1"/>
  <c r="S13" i="36"/>
  <c r="R13" i="36" s="1"/>
  <c r="D53" i="39"/>
  <c r="C42" i="39"/>
  <c r="C43" i="39"/>
  <c r="C44" i="39" s="1"/>
  <c r="C45" i="39" s="1"/>
  <c r="C46" i="39" s="1"/>
  <c r="C47" i="39" s="1"/>
  <c r="C48" i="39" s="1"/>
  <c r="C49" i="39" s="1"/>
  <c r="E5" i="39"/>
  <c r="D5" i="39"/>
  <c r="D115" i="29"/>
  <c r="D115" i="30" s="1"/>
  <c r="AH116" i="1"/>
  <c r="N2" i="1"/>
  <c r="N4" i="1"/>
  <c r="K74" i="29"/>
  <c r="K74" i="30" s="1"/>
  <c r="K64" i="29"/>
  <c r="K64" i="30"/>
  <c r="H74" i="29"/>
  <c r="H74" i="30" s="1"/>
  <c r="H64" i="29"/>
  <c r="H64" i="30"/>
  <c r="E74" i="29"/>
  <c r="E74" i="30" s="1"/>
  <c r="E64" i="29"/>
  <c r="E64" i="30"/>
  <c r="K61" i="29"/>
  <c r="K61" i="30" s="1"/>
  <c r="H61" i="29"/>
  <c r="H61" i="30" s="1"/>
  <c r="E61" i="29"/>
  <c r="E61" i="30" s="1"/>
  <c r="K51" i="29"/>
  <c r="H51" i="29"/>
  <c r="E51" i="29"/>
  <c r="Q36" i="8"/>
  <c r="Q62" i="8"/>
  <c r="Q35" i="8"/>
  <c r="Q104" i="8" s="1"/>
  <c r="A3" i="30"/>
  <c r="A3" i="29"/>
  <c r="A3" i="8"/>
  <c r="A3" i="4"/>
  <c r="G4" i="27"/>
  <c r="D4" i="27"/>
  <c r="G4" i="26"/>
  <c r="D4" i="26"/>
  <c r="G4" i="25"/>
  <c r="D4" i="25"/>
  <c r="G4" i="20"/>
  <c r="D4" i="20"/>
  <c r="G4" i="31"/>
  <c r="D4" i="31"/>
  <c r="G4" i="35"/>
  <c r="D4" i="35"/>
  <c r="G4" i="33"/>
  <c r="D4" i="33"/>
  <c r="C8" i="32"/>
  <c r="E2" i="32"/>
  <c r="A3" i="7"/>
  <c r="D4" i="32"/>
  <c r="G4" i="32"/>
  <c r="Q104" i="4"/>
  <c r="Q105" i="4"/>
  <c r="K19" i="29"/>
  <c r="K29" i="29"/>
  <c r="K29" i="30" s="1"/>
  <c r="H19" i="29"/>
  <c r="H29" i="29"/>
  <c r="H29" i="30"/>
  <c r="E29" i="29"/>
  <c r="E29" i="30" s="1"/>
  <c r="E19" i="29"/>
  <c r="K21" i="29"/>
  <c r="N21" i="29" s="1"/>
  <c r="H21" i="29"/>
  <c r="E21" i="29"/>
  <c r="K75" i="29"/>
  <c r="K75" i="30" s="1"/>
  <c r="H75" i="29"/>
  <c r="H75" i="30" s="1"/>
  <c r="E75" i="29"/>
  <c r="E75" i="30" s="1"/>
  <c r="K30" i="29"/>
  <c r="K30" i="30" s="1"/>
  <c r="H30" i="29"/>
  <c r="H30" i="30" s="1"/>
  <c r="E30" i="29"/>
  <c r="E30" i="30"/>
  <c r="N30" i="30" s="1"/>
  <c r="J66" i="7"/>
  <c r="J67" i="7" s="1"/>
  <c r="J90" i="7" s="1"/>
  <c r="D66" i="7"/>
  <c r="D67" i="7" s="1"/>
  <c r="B59" i="7"/>
  <c r="B60" i="7" s="1"/>
  <c r="B61" i="7"/>
  <c r="B62" i="7" s="1"/>
  <c r="B63" i="7" s="1"/>
  <c r="B64" i="7" s="1"/>
  <c r="B65" i="7" s="1"/>
  <c r="B66" i="7" s="1"/>
  <c r="N65" i="7"/>
  <c r="M65" i="7"/>
  <c r="N64" i="7"/>
  <c r="M64" i="7"/>
  <c r="N63" i="7"/>
  <c r="M63" i="7"/>
  <c r="N62" i="7"/>
  <c r="M62" i="7"/>
  <c r="N61" i="7"/>
  <c r="M61" i="7"/>
  <c r="N60" i="7"/>
  <c r="M60" i="7"/>
  <c r="N59" i="7"/>
  <c r="M59" i="7"/>
  <c r="N58" i="7"/>
  <c r="M58" i="7"/>
  <c r="B105" i="30"/>
  <c r="B106" i="30" s="1"/>
  <c r="B98" i="30"/>
  <c r="B99" i="30" s="1"/>
  <c r="B93" i="30"/>
  <c r="B94" i="30" s="1"/>
  <c r="B89" i="30"/>
  <c r="B84" i="30"/>
  <c r="B69" i="30"/>
  <c r="B65" i="30"/>
  <c r="B56" i="30"/>
  <c r="B57" i="30" s="1"/>
  <c r="B44" i="30"/>
  <c r="B45" i="30" s="1"/>
  <c r="B35" i="30"/>
  <c r="B36" i="30"/>
  <c r="B25" i="30"/>
  <c r="B26" i="30" s="1"/>
  <c r="B14" i="30"/>
  <c r="B15" i="30" s="1"/>
  <c r="B16" i="30" s="1"/>
  <c r="B17" i="30" s="1"/>
  <c r="B18" i="30" s="1"/>
  <c r="B19" i="30" s="1"/>
  <c r="B105" i="29"/>
  <c r="B106" i="29" s="1"/>
  <c r="B107" i="29" s="1"/>
  <c r="B108" i="29" s="1"/>
  <c r="B98" i="29"/>
  <c r="B99" i="29" s="1"/>
  <c r="B100" i="29" s="1"/>
  <c r="B101" i="29" s="1"/>
  <c r="B93" i="29"/>
  <c r="B94" i="29" s="1"/>
  <c r="B89" i="29"/>
  <c r="B84" i="29"/>
  <c r="B69" i="29"/>
  <c r="B65" i="29"/>
  <c r="B56" i="29"/>
  <c r="B57" i="29" s="1"/>
  <c r="B44" i="29"/>
  <c r="B45" i="29" s="1"/>
  <c r="B46" i="29"/>
  <c r="B47" i="29" s="1"/>
  <c r="B48" i="29" s="1"/>
  <c r="B49" i="29" s="1"/>
  <c r="B50" i="29" s="1"/>
  <c r="B51" i="29" s="1"/>
  <c r="B35" i="29"/>
  <c r="B36" i="29" s="1"/>
  <c r="B37" i="29" s="1"/>
  <c r="B25" i="29"/>
  <c r="B26" i="29" s="1"/>
  <c r="B14" i="29"/>
  <c r="B15" i="29"/>
  <c r="B16" i="29" s="1"/>
  <c r="B17" i="29" s="1"/>
  <c r="B18" i="29" s="1"/>
  <c r="B19" i="29" s="1"/>
  <c r="B20" i="29" s="1"/>
  <c r="B21" i="29" s="1"/>
  <c r="K10" i="27"/>
  <c r="K10" i="26"/>
  <c r="K10" i="25"/>
  <c r="K10" i="20"/>
  <c r="K88" i="29"/>
  <c r="K88" i="30"/>
  <c r="K72" i="29"/>
  <c r="K72" i="30" s="1"/>
  <c r="AH873" i="1"/>
  <c r="R45" i="35"/>
  <c r="O45" i="35"/>
  <c r="R42" i="35"/>
  <c r="O42" i="35"/>
  <c r="U6" i="31"/>
  <c r="O462" i="31"/>
  <c r="P462" i="31"/>
  <c r="AH337" i="1"/>
  <c r="T337" i="1"/>
  <c r="Y287" i="1"/>
  <c r="E63" i="4"/>
  <c r="E63" i="8" s="1"/>
  <c r="E64" i="4"/>
  <c r="E64" i="8" s="1"/>
  <c r="K63" i="4"/>
  <c r="K63" i="8" s="1"/>
  <c r="K64" i="4"/>
  <c r="K64" i="8" s="1"/>
  <c r="H63" i="4"/>
  <c r="H63" i="8" s="1"/>
  <c r="H64" i="4"/>
  <c r="H64" i="8" s="1"/>
  <c r="AH587" i="1"/>
  <c r="AG587" i="1"/>
  <c r="AH586" i="1"/>
  <c r="AG586" i="1"/>
  <c r="AH585" i="1"/>
  <c r="AG585" i="1"/>
  <c r="AH584" i="1"/>
  <c r="AG584" i="1"/>
  <c r="AH583" i="1"/>
  <c r="AG583" i="1"/>
  <c r="AH582" i="1"/>
  <c r="AG582" i="1"/>
  <c r="AH581" i="1"/>
  <c r="AG581" i="1"/>
  <c r="AH580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AA887" i="1"/>
  <c r="Y887" i="1"/>
  <c r="X887" i="1"/>
  <c r="AM887" i="1"/>
  <c r="Z886" i="1"/>
  <c r="Y886" i="1"/>
  <c r="X886" i="1"/>
  <c r="Z885" i="1"/>
  <c r="Y885" i="1"/>
  <c r="X885" i="1"/>
  <c r="AM885" i="1" s="1"/>
  <c r="AA884" i="1"/>
  <c r="Y884" i="1"/>
  <c r="X884" i="1"/>
  <c r="AK884" i="1"/>
  <c r="Y883" i="1"/>
  <c r="X883" i="1"/>
  <c r="AM883" i="1" s="1"/>
  <c r="Y882" i="1"/>
  <c r="X882" i="1"/>
  <c r="Y881" i="1"/>
  <c r="X881" i="1"/>
  <c r="AM881" i="1" s="1"/>
  <c r="Y880" i="1"/>
  <c r="X880" i="1"/>
  <c r="Y879" i="1"/>
  <c r="X879" i="1"/>
  <c r="AM879" i="1" s="1"/>
  <c r="Y878" i="1"/>
  <c r="X878" i="1"/>
  <c r="Y877" i="1"/>
  <c r="X877" i="1"/>
  <c r="AM877" i="1" s="1"/>
  <c r="Y876" i="1"/>
  <c r="X876" i="1"/>
  <c r="Z875" i="1"/>
  <c r="Y875" i="1"/>
  <c r="X875" i="1"/>
  <c r="AM875" i="1"/>
  <c r="Z874" i="1"/>
  <c r="Y874" i="1"/>
  <c r="X874" i="1"/>
  <c r="Z873" i="1"/>
  <c r="Y873" i="1"/>
  <c r="X873" i="1"/>
  <c r="AM873" i="1"/>
  <c r="Z872" i="1"/>
  <c r="Y872" i="1"/>
  <c r="X872" i="1"/>
  <c r="Z871" i="1"/>
  <c r="Y871" i="1"/>
  <c r="X871" i="1"/>
  <c r="AM871" i="1" s="1"/>
  <c r="Z870" i="1"/>
  <c r="Y870" i="1"/>
  <c r="X870" i="1"/>
  <c r="Z869" i="1"/>
  <c r="Y869" i="1"/>
  <c r="X869" i="1"/>
  <c r="AM869" i="1" s="1"/>
  <c r="Z868" i="1"/>
  <c r="Y868" i="1"/>
  <c r="X868" i="1"/>
  <c r="AA867" i="1"/>
  <c r="Y867" i="1"/>
  <c r="X867" i="1"/>
  <c r="AM867" i="1"/>
  <c r="AA866" i="1"/>
  <c r="Y866" i="1"/>
  <c r="X866" i="1"/>
  <c r="AK866" i="1"/>
  <c r="AA865" i="1"/>
  <c r="Y865" i="1"/>
  <c r="X865" i="1"/>
  <c r="AM865" i="1"/>
  <c r="AA864" i="1"/>
  <c r="Y864" i="1"/>
  <c r="X864" i="1"/>
  <c r="AK864" i="1"/>
  <c r="AA863" i="1"/>
  <c r="Y863" i="1"/>
  <c r="X863" i="1"/>
  <c r="AM863" i="1"/>
  <c r="AA862" i="1"/>
  <c r="Y862" i="1"/>
  <c r="X862" i="1"/>
  <c r="AK862" i="1"/>
  <c r="AA861" i="1"/>
  <c r="Y861" i="1"/>
  <c r="X861" i="1"/>
  <c r="AM861" i="1"/>
  <c r="AA860" i="1"/>
  <c r="Y860" i="1"/>
  <c r="X860" i="1"/>
  <c r="AK860" i="1"/>
  <c r="AA859" i="1"/>
  <c r="Y859" i="1"/>
  <c r="X859" i="1"/>
  <c r="AM859" i="1" s="1"/>
  <c r="AA858" i="1"/>
  <c r="Y858" i="1"/>
  <c r="X858" i="1"/>
  <c r="AK858" i="1"/>
  <c r="Y857" i="1"/>
  <c r="X857" i="1"/>
  <c r="AM857" i="1" s="1"/>
  <c r="Y856" i="1"/>
  <c r="X856" i="1"/>
  <c r="Y855" i="1"/>
  <c r="X855" i="1"/>
  <c r="AM855" i="1" s="1"/>
  <c r="Y854" i="1"/>
  <c r="X854" i="1"/>
  <c r="Y853" i="1"/>
  <c r="X853" i="1"/>
  <c r="AM853" i="1" s="1"/>
  <c r="Y852" i="1"/>
  <c r="X852" i="1"/>
  <c r="Y851" i="1"/>
  <c r="X851" i="1"/>
  <c r="AM851" i="1"/>
  <c r="Y850" i="1"/>
  <c r="X850" i="1"/>
  <c r="Y849" i="1"/>
  <c r="X849" i="1"/>
  <c r="AM849" i="1" s="1"/>
  <c r="Z848" i="1"/>
  <c r="Y848" i="1"/>
  <c r="X848" i="1"/>
  <c r="AA847" i="1"/>
  <c r="Z847" i="1"/>
  <c r="Y847" i="1"/>
  <c r="X847" i="1"/>
  <c r="AM847" i="1" s="1"/>
  <c r="AA846" i="1"/>
  <c r="Y846" i="1"/>
  <c r="X846" i="1"/>
  <c r="Z845" i="1"/>
  <c r="Y845" i="1"/>
  <c r="X845" i="1"/>
  <c r="AM845" i="1" s="1"/>
  <c r="Z844" i="1"/>
  <c r="Y844" i="1"/>
  <c r="AN844" i="1" s="1"/>
  <c r="X844" i="1"/>
  <c r="Z843" i="1"/>
  <c r="Y843" i="1"/>
  <c r="X843" i="1"/>
  <c r="AM843" i="1"/>
  <c r="Z842" i="1"/>
  <c r="Y842" i="1"/>
  <c r="AN842" i="1" s="1"/>
  <c r="X842" i="1"/>
  <c r="AA841" i="1"/>
  <c r="Y841" i="1"/>
  <c r="X841" i="1"/>
  <c r="AM841" i="1"/>
  <c r="AA840" i="1"/>
  <c r="Y840" i="1"/>
  <c r="AN840" i="1" s="1"/>
  <c r="X840" i="1"/>
  <c r="AK840" i="1"/>
  <c r="AA839" i="1"/>
  <c r="Y839" i="1"/>
  <c r="X839" i="1"/>
  <c r="AM839" i="1"/>
  <c r="AA838" i="1"/>
  <c r="Y838" i="1"/>
  <c r="X838" i="1"/>
  <c r="AK838" i="1"/>
  <c r="AA837" i="1"/>
  <c r="Y837" i="1"/>
  <c r="X837" i="1"/>
  <c r="AM837" i="1"/>
  <c r="Z836" i="1"/>
  <c r="Y836" i="1"/>
  <c r="AN836" i="1" s="1"/>
  <c r="X836" i="1"/>
  <c r="Z835" i="1"/>
  <c r="Y835" i="1"/>
  <c r="X835" i="1"/>
  <c r="AM835" i="1" s="1"/>
  <c r="AA834" i="1"/>
  <c r="Y834" i="1"/>
  <c r="AN834" i="1" s="1"/>
  <c r="X834" i="1"/>
  <c r="AK834" i="1"/>
  <c r="AA833" i="1"/>
  <c r="Y833" i="1"/>
  <c r="X833" i="1"/>
  <c r="AM833" i="1" s="1"/>
  <c r="AA832" i="1"/>
  <c r="Y832" i="1"/>
  <c r="AN832" i="1" s="1"/>
  <c r="X832" i="1"/>
  <c r="Y828" i="1"/>
  <c r="X828" i="1"/>
  <c r="Y827" i="1"/>
  <c r="X827" i="1"/>
  <c r="Y826" i="1"/>
  <c r="X826" i="1"/>
  <c r="Y825" i="1"/>
  <c r="X825" i="1"/>
  <c r="Y824" i="1"/>
  <c r="X824" i="1"/>
  <c r="Y823" i="1"/>
  <c r="X823" i="1"/>
  <c r="Y822" i="1"/>
  <c r="X822" i="1"/>
  <c r="Y821" i="1"/>
  <c r="X821" i="1"/>
  <c r="Y820" i="1"/>
  <c r="X820" i="1"/>
  <c r="Y819" i="1"/>
  <c r="X819" i="1"/>
  <c r="Y818" i="1"/>
  <c r="X818" i="1"/>
  <c r="AM818" i="1"/>
  <c r="Y817" i="1"/>
  <c r="X817" i="1"/>
  <c r="Y816" i="1"/>
  <c r="X816" i="1"/>
  <c r="Y815" i="1"/>
  <c r="AN815" i="1" s="1"/>
  <c r="X815" i="1"/>
  <c r="Y814" i="1"/>
  <c r="X814" i="1"/>
  <c r="Y813" i="1"/>
  <c r="AN813" i="1" s="1"/>
  <c r="X813" i="1"/>
  <c r="Y812" i="1"/>
  <c r="X812" i="1"/>
  <c r="Y811" i="1"/>
  <c r="AN811" i="1" s="1"/>
  <c r="X811" i="1"/>
  <c r="Y810" i="1"/>
  <c r="X810" i="1"/>
  <c r="Y809" i="1"/>
  <c r="AN809" i="1" s="1"/>
  <c r="X809" i="1"/>
  <c r="Y808" i="1"/>
  <c r="X808" i="1"/>
  <c r="Y807" i="1"/>
  <c r="X807" i="1"/>
  <c r="Y806" i="1"/>
  <c r="X806" i="1"/>
  <c r="Y805" i="1"/>
  <c r="X805" i="1"/>
  <c r="Y804" i="1"/>
  <c r="X804" i="1"/>
  <c r="Y803" i="1"/>
  <c r="X803" i="1"/>
  <c r="Y802" i="1"/>
  <c r="X802" i="1"/>
  <c r="Y801" i="1"/>
  <c r="X801" i="1"/>
  <c r="Y800" i="1"/>
  <c r="X800" i="1"/>
  <c r="Y799" i="1"/>
  <c r="X799" i="1"/>
  <c r="Y798" i="1"/>
  <c r="X798" i="1"/>
  <c r="Y797" i="1"/>
  <c r="X797" i="1"/>
  <c r="Y796" i="1"/>
  <c r="X796" i="1"/>
  <c r="Y795" i="1"/>
  <c r="X795" i="1"/>
  <c r="Y794" i="1"/>
  <c r="X794" i="1"/>
  <c r="Y793" i="1"/>
  <c r="X793" i="1"/>
  <c r="Y792" i="1"/>
  <c r="X792" i="1"/>
  <c r="Y791" i="1"/>
  <c r="X791" i="1"/>
  <c r="Y790" i="1"/>
  <c r="X790" i="1"/>
  <c r="Y789" i="1"/>
  <c r="X789" i="1"/>
  <c r="Y788" i="1"/>
  <c r="X788" i="1"/>
  <c r="Y787" i="1"/>
  <c r="X787" i="1"/>
  <c r="Y786" i="1"/>
  <c r="X786" i="1"/>
  <c r="Y785" i="1"/>
  <c r="X785" i="1"/>
  <c r="Y784" i="1"/>
  <c r="X784" i="1"/>
  <c r="Y783" i="1"/>
  <c r="X783" i="1"/>
  <c r="Y782" i="1"/>
  <c r="X782" i="1"/>
  <c r="Y781" i="1"/>
  <c r="X781" i="1"/>
  <c r="Y780" i="1"/>
  <c r="X780" i="1"/>
  <c r="Y779" i="1"/>
  <c r="X779" i="1"/>
  <c r="Y778" i="1"/>
  <c r="X778" i="1"/>
  <c r="Y777" i="1"/>
  <c r="X777" i="1"/>
  <c r="Y776" i="1"/>
  <c r="X776" i="1"/>
  <c r="Y775" i="1"/>
  <c r="X775" i="1"/>
  <c r="Y774" i="1"/>
  <c r="X774" i="1"/>
  <c r="Y773" i="1"/>
  <c r="X773" i="1"/>
  <c r="Y772" i="1"/>
  <c r="X772" i="1"/>
  <c r="Y771" i="1"/>
  <c r="X771" i="1"/>
  <c r="Y770" i="1"/>
  <c r="X770" i="1"/>
  <c r="Y769" i="1"/>
  <c r="X769" i="1"/>
  <c r="Y768" i="1"/>
  <c r="X768" i="1"/>
  <c r="Y767" i="1"/>
  <c r="X767" i="1"/>
  <c r="Y766" i="1"/>
  <c r="X766" i="1"/>
  <c r="Y765" i="1"/>
  <c r="X765" i="1"/>
  <c r="Y764" i="1"/>
  <c r="X764" i="1"/>
  <c r="Y763" i="1"/>
  <c r="X763" i="1"/>
  <c r="Y762" i="1"/>
  <c r="X762" i="1"/>
  <c r="Y761" i="1"/>
  <c r="X761" i="1"/>
  <c r="Y760" i="1"/>
  <c r="X760" i="1"/>
  <c r="Y759" i="1"/>
  <c r="X759" i="1"/>
  <c r="Y758" i="1"/>
  <c r="X758" i="1"/>
  <c r="Y757" i="1"/>
  <c r="X757" i="1"/>
  <c r="Y756" i="1"/>
  <c r="X756" i="1"/>
  <c r="Y755" i="1"/>
  <c r="X755" i="1"/>
  <c r="Y754" i="1"/>
  <c r="X754" i="1"/>
  <c r="Y753" i="1"/>
  <c r="X753" i="1"/>
  <c r="Y752" i="1"/>
  <c r="X752" i="1"/>
  <c r="Y751" i="1"/>
  <c r="X751" i="1"/>
  <c r="Y750" i="1"/>
  <c r="X750" i="1"/>
  <c r="Y749" i="1"/>
  <c r="X749" i="1"/>
  <c r="Y748" i="1"/>
  <c r="X748" i="1"/>
  <c r="Y747" i="1"/>
  <c r="X747" i="1"/>
  <c r="Y746" i="1"/>
  <c r="X746" i="1"/>
  <c r="Y745" i="1"/>
  <c r="X745" i="1"/>
  <c r="Y744" i="1"/>
  <c r="X744" i="1"/>
  <c r="Y743" i="1"/>
  <c r="X743" i="1"/>
  <c r="Y742" i="1"/>
  <c r="AN742" i="1" s="1"/>
  <c r="X742" i="1"/>
  <c r="Y741" i="1"/>
  <c r="X741" i="1"/>
  <c r="Y740" i="1"/>
  <c r="AN740" i="1"/>
  <c r="X740" i="1"/>
  <c r="Y739" i="1"/>
  <c r="X739" i="1"/>
  <c r="Y738" i="1"/>
  <c r="X738" i="1"/>
  <c r="Y737" i="1"/>
  <c r="AN737" i="1" s="1"/>
  <c r="X737" i="1"/>
  <c r="Y736" i="1"/>
  <c r="X736" i="1"/>
  <c r="Y735" i="1"/>
  <c r="X735" i="1"/>
  <c r="Y734" i="1"/>
  <c r="X734" i="1"/>
  <c r="Y733" i="1"/>
  <c r="X733" i="1"/>
  <c r="Y732" i="1"/>
  <c r="X732" i="1"/>
  <c r="Y731" i="1"/>
  <c r="X731" i="1"/>
  <c r="Y730" i="1"/>
  <c r="X730" i="1"/>
  <c r="Y729" i="1"/>
  <c r="X729" i="1"/>
  <c r="Y728" i="1"/>
  <c r="X728" i="1"/>
  <c r="Y727" i="1"/>
  <c r="X727" i="1"/>
  <c r="Y726" i="1"/>
  <c r="X726" i="1"/>
  <c r="Y725" i="1"/>
  <c r="X725" i="1"/>
  <c r="Y724" i="1"/>
  <c r="X724" i="1"/>
  <c r="Y723" i="1"/>
  <c r="X723" i="1"/>
  <c r="Y722" i="1"/>
  <c r="X722" i="1"/>
  <c r="Y721" i="1"/>
  <c r="X721" i="1"/>
  <c r="Y720" i="1"/>
  <c r="X720" i="1"/>
  <c r="Y719" i="1"/>
  <c r="AN719" i="1" s="1"/>
  <c r="X719" i="1"/>
  <c r="Y718" i="1"/>
  <c r="X718" i="1"/>
  <c r="Y717" i="1"/>
  <c r="X717" i="1"/>
  <c r="Y716" i="1"/>
  <c r="X716" i="1"/>
  <c r="Y715" i="1"/>
  <c r="AN715" i="1"/>
  <c r="X715" i="1"/>
  <c r="Y714" i="1"/>
  <c r="X714" i="1"/>
  <c r="Y713" i="1"/>
  <c r="AN713" i="1" s="1"/>
  <c r="X713" i="1"/>
  <c r="Y712" i="1"/>
  <c r="X712" i="1"/>
  <c r="Y711" i="1"/>
  <c r="AN711" i="1" s="1"/>
  <c r="X711" i="1"/>
  <c r="Y710" i="1"/>
  <c r="X710" i="1"/>
  <c r="Y709" i="1"/>
  <c r="X709" i="1"/>
  <c r="Y708" i="1"/>
  <c r="X708" i="1"/>
  <c r="Y707" i="1"/>
  <c r="AN707" i="1"/>
  <c r="X707" i="1"/>
  <c r="Y706" i="1"/>
  <c r="X706" i="1"/>
  <c r="Y705" i="1"/>
  <c r="X705" i="1"/>
  <c r="Y704" i="1"/>
  <c r="X704" i="1"/>
  <c r="Y703" i="1"/>
  <c r="X703" i="1"/>
  <c r="Y702" i="1"/>
  <c r="X702" i="1"/>
  <c r="Y701" i="1"/>
  <c r="X701" i="1"/>
  <c r="Y700" i="1"/>
  <c r="X700" i="1"/>
  <c r="Y699" i="1"/>
  <c r="X699" i="1"/>
  <c r="Y698" i="1"/>
  <c r="X698" i="1"/>
  <c r="Y697" i="1"/>
  <c r="X697" i="1"/>
  <c r="Y696" i="1"/>
  <c r="X696" i="1"/>
  <c r="Y695" i="1"/>
  <c r="X695" i="1"/>
  <c r="Y694" i="1"/>
  <c r="X694" i="1"/>
  <c r="Y693" i="1"/>
  <c r="X693" i="1"/>
  <c r="Y692" i="1"/>
  <c r="X692" i="1"/>
  <c r="Y691" i="1"/>
  <c r="X691" i="1"/>
  <c r="Y690" i="1"/>
  <c r="X690" i="1"/>
  <c r="Y689" i="1"/>
  <c r="X689" i="1"/>
  <c r="Y688" i="1"/>
  <c r="X688" i="1"/>
  <c r="Y687" i="1"/>
  <c r="X687" i="1"/>
  <c r="Y686" i="1"/>
  <c r="X686" i="1"/>
  <c r="Y685" i="1"/>
  <c r="X685" i="1"/>
  <c r="Y684" i="1"/>
  <c r="X684" i="1"/>
  <c r="Y683" i="1"/>
  <c r="X683" i="1"/>
  <c r="Y682" i="1"/>
  <c r="X682" i="1"/>
  <c r="Y681" i="1"/>
  <c r="X681" i="1"/>
  <c r="Y680" i="1"/>
  <c r="X680" i="1"/>
  <c r="Y679" i="1"/>
  <c r="X679" i="1"/>
  <c r="Y678" i="1"/>
  <c r="X678" i="1"/>
  <c r="Y677" i="1"/>
  <c r="X677" i="1"/>
  <c r="Y676" i="1"/>
  <c r="X676" i="1"/>
  <c r="Y675" i="1"/>
  <c r="X675" i="1"/>
  <c r="Y674" i="1"/>
  <c r="X674" i="1"/>
  <c r="Y673" i="1"/>
  <c r="X673" i="1"/>
  <c r="Y672" i="1"/>
  <c r="X672" i="1"/>
  <c r="Y671" i="1"/>
  <c r="X671" i="1"/>
  <c r="AR671" i="1"/>
  <c r="Y670" i="1"/>
  <c r="X670" i="1"/>
  <c r="Y669" i="1"/>
  <c r="X669" i="1"/>
  <c r="Y668" i="1"/>
  <c r="X668" i="1"/>
  <c r="Y667" i="1"/>
  <c r="X667" i="1"/>
  <c r="W667" i="1"/>
  <c r="V667" i="1"/>
  <c r="Y666" i="1"/>
  <c r="X666" i="1"/>
  <c r="Y665" i="1"/>
  <c r="X665" i="1"/>
  <c r="AM665" i="1" s="1"/>
  <c r="Y664" i="1"/>
  <c r="X664" i="1"/>
  <c r="Y663" i="1"/>
  <c r="X663" i="1"/>
  <c r="Y662" i="1"/>
  <c r="X662" i="1"/>
  <c r="Y661" i="1"/>
  <c r="X661" i="1"/>
  <c r="AR661" i="1"/>
  <c r="Y660" i="1"/>
  <c r="X660" i="1"/>
  <c r="Y659" i="1"/>
  <c r="X659" i="1"/>
  <c r="Y658" i="1"/>
  <c r="X658" i="1"/>
  <c r="Y657" i="1"/>
  <c r="X657" i="1"/>
  <c r="AR657" i="1"/>
  <c r="Y656" i="1"/>
  <c r="X656" i="1"/>
  <c r="Y655" i="1"/>
  <c r="X655" i="1"/>
  <c r="AR655" i="1"/>
  <c r="Y654" i="1"/>
  <c r="X654" i="1"/>
  <c r="Y653" i="1"/>
  <c r="X653" i="1"/>
  <c r="Y652" i="1"/>
  <c r="X652" i="1"/>
  <c r="Y651" i="1"/>
  <c r="X651" i="1"/>
  <c r="Y650" i="1"/>
  <c r="X650" i="1"/>
  <c r="Y649" i="1"/>
  <c r="X649" i="1"/>
  <c r="Y648" i="1"/>
  <c r="X648" i="1"/>
  <c r="Y647" i="1"/>
  <c r="X647" i="1"/>
  <c r="Y646" i="1"/>
  <c r="X646" i="1"/>
  <c r="AM646" i="1" s="1"/>
  <c r="Y645" i="1"/>
  <c r="X645" i="1"/>
  <c r="Y644" i="1"/>
  <c r="X644" i="1"/>
  <c r="Y643" i="1"/>
  <c r="X643" i="1"/>
  <c r="Y642" i="1"/>
  <c r="X642" i="1"/>
  <c r="Y641" i="1"/>
  <c r="X641" i="1"/>
  <c r="AR641" i="1"/>
  <c r="Y640" i="1"/>
  <c r="X640" i="1"/>
  <c r="W640" i="1"/>
  <c r="V640" i="1"/>
  <c r="Y639" i="1"/>
  <c r="X639" i="1"/>
  <c r="Y638" i="1"/>
  <c r="X638" i="1"/>
  <c r="Y637" i="1"/>
  <c r="X637" i="1"/>
  <c r="Y636" i="1"/>
  <c r="AN636" i="1" s="1"/>
  <c r="X636" i="1"/>
  <c r="Y635" i="1"/>
  <c r="X635" i="1"/>
  <c r="Y634" i="1"/>
  <c r="X634" i="1"/>
  <c r="Y633" i="1"/>
  <c r="AN633" i="1"/>
  <c r="X633" i="1"/>
  <c r="Y632" i="1"/>
  <c r="X632" i="1"/>
  <c r="Y631" i="1"/>
  <c r="X631" i="1"/>
  <c r="Y630" i="1"/>
  <c r="AN630" i="1" s="1"/>
  <c r="X630" i="1"/>
  <c r="Y629" i="1"/>
  <c r="X629" i="1"/>
  <c r="Y628" i="1"/>
  <c r="AN628" i="1" s="1"/>
  <c r="X628" i="1"/>
  <c r="Y627" i="1"/>
  <c r="X627" i="1"/>
  <c r="Y626" i="1"/>
  <c r="X626" i="1"/>
  <c r="Y625" i="1"/>
  <c r="X625" i="1"/>
  <c r="Y624" i="1"/>
  <c r="X624" i="1"/>
  <c r="Y623" i="1"/>
  <c r="X623" i="1"/>
  <c r="Y622" i="1"/>
  <c r="X622" i="1"/>
  <c r="Y621" i="1"/>
  <c r="X621" i="1"/>
  <c r="Y620" i="1"/>
  <c r="X620" i="1"/>
  <c r="Y619" i="1"/>
  <c r="X619" i="1"/>
  <c r="Y618" i="1"/>
  <c r="X618" i="1"/>
  <c r="AM618" i="1" s="1"/>
  <c r="Y617" i="1"/>
  <c r="X617" i="1"/>
  <c r="Y616" i="1"/>
  <c r="X616" i="1"/>
  <c r="Y615" i="1"/>
  <c r="X615" i="1"/>
  <c r="Y614" i="1"/>
  <c r="X614" i="1"/>
  <c r="Y613" i="1"/>
  <c r="X613" i="1"/>
  <c r="Y612" i="1"/>
  <c r="X612" i="1"/>
  <c r="Y611" i="1"/>
  <c r="X611" i="1"/>
  <c r="Y610" i="1"/>
  <c r="X610" i="1"/>
  <c r="Y609" i="1"/>
  <c r="X609" i="1"/>
  <c r="AA608" i="1"/>
  <c r="Y608" i="1"/>
  <c r="X608" i="1"/>
  <c r="Y607" i="1"/>
  <c r="X607" i="1"/>
  <c r="Y606" i="1"/>
  <c r="X606" i="1"/>
  <c r="Y605" i="1"/>
  <c r="X605" i="1"/>
  <c r="AA604" i="1"/>
  <c r="Y604" i="1"/>
  <c r="X604" i="1"/>
  <c r="Y603" i="1"/>
  <c r="X603" i="1"/>
  <c r="Y602" i="1"/>
  <c r="X602" i="1"/>
  <c r="Y600" i="1"/>
  <c r="X600" i="1"/>
  <c r="Y599" i="1"/>
  <c r="X599" i="1"/>
  <c r="Y598" i="1"/>
  <c r="X598" i="1"/>
  <c r="Y597" i="1"/>
  <c r="X597" i="1"/>
  <c r="Y596" i="1"/>
  <c r="X596" i="1"/>
  <c r="Y595" i="1"/>
  <c r="X595" i="1"/>
  <c r="Y594" i="1"/>
  <c r="X594" i="1"/>
  <c r="Y593" i="1"/>
  <c r="X593" i="1"/>
  <c r="AR593" i="1"/>
  <c r="Y592" i="1"/>
  <c r="X592" i="1"/>
  <c r="Y591" i="1"/>
  <c r="X591" i="1"/>
  <c r="AR591" i="1"/>
  <c r="Y590" i="1"/>
  <c r="X590" i="1"/>
  <c r="Y589" i="1"/>
  <c r="X589" i="1"/>
  <c r="Y588" i="1"/>
  <c r="X588" i="1"/>
  <c r="Y587" i="1"/>
  <c r="X587" i="1"/>
  <c r="AR587" i="1"/>
  <c r="Y586" i="1"/>
  <c r="X586" i="1"/>
  <c r="Y585" i="1"/>
  <c r="X585" i="1"/>
  <c r="Y584" i="1"/>
  <c r="X584" i="1"/>
  <c r="Y583" i="1"/>
  <c r="X583" i="1"/>
  <c r="Y582" i="1"/>
  <c r="X582" i="1"/>
  <c r="Y581" i="1"/>
  <c r="X581" i="1"/>
  <c r="Z580" i="1"/>
  <c r="Y580" i="1"/>
  <c r="X580" i="1"/>
  <c r="AA579" i="1"/>
  <c r="Y579" i="1"/>
  <c r="X579" i="1"/>
  <c r="Z578" i="1"/>
  <c r="Y578" i="1"/>
  <c r="X578" i="1"/>
  <c r="Z577" i="1"/>
  <c r="Y577" i="1"/>
  <c r="X577" i="1"/>
  <c r="Z576" i="1"/>
  <c r="Y576" i="1"/>
  <c r="X576" i="1"/>
  <c r="AA575" i="1"/>
  <c r="Y575" i="1"/>
  <c r="X575" i="1"/>
  <c r="AA574" i="1"/>
  <c r="Y574" i="1"/>
  <c r="X574" i="1"/>
  <c r="AA573" i="1"/>
  <c r="Y573" i="1"/>
  <c r="X573" i="1"/>
  <c r="Z572" i="1"/>
  <c r="Y572" i="1"/>
  <c r="X572" i="1"/>
  <c r="Z571" i="1"/>
  <c r="Y571" i="1"/>
  <c r="X571" i="1"/>
  <c r="AA570" i="1"/>
  <c r="Z570" i="1"/>
  <c r="Y570" i="1"/>
  <c r="X570" i="1"/>
  <c r="Z569" i="1"/>
  <c r="Y569" i="1"/>
  <c r="X569" i="1"/>
  <c r="AR569" i="1"/>
  <c r="Z568" i="1"/>
  <c r="Y568" i="1"/>
  <c r="X568" i="1"/>
  <c r="Z567" i="1"/>
  <c r="Y567" i="1"/>
  <c r="X567" i="1"/>
  <c r="Z566" i="1"/>
  <c r="Y566" i="1"/>
  <c r="X566" i="1"/>
  <c r="Y565" i="1"/>
  <c r="X565" i="1"/>
  <c r="Y564" i="1"/>
  <c r="X564" i="1"/>
  <c r="Y563" i="1"/>
  <c r="X563" i="1"/>
  <c r="AR563" i="1"/>
  <c r="Y562" i="1"/>
  <c r="X562" i="1"/>
  <c r="Y561" i="1"/>
  <c r="X561" i="1"/>
  <c r="AR561" i="1"/>
  <c r="Y560" i="1"/>
  <c r="X560" i="1"/>
  <c r="Y559" i="1"/>
  <c r="X559" i="1"/>
  <c r="AR559" i="1"/>
  <c r="Y558" i="1"/>
  <c r="X558" i="1"/>
  <c r="Y557" i="1"/>
  <c r="X557" i="1"/>
  <c r="AR557" i="1"/>
  <c r="Y556" i="1"/>
  <c r="X556" i="1"/>
  <c r="AM556" i="1" s="1"/>
  <c r="Y555" i="1"/>
  <c r="X555" i="1"/>
  <c r="AR555" i="1"/>
  <c r="Y554" i="1"/>
  <c r="X554" i="1"/>
  <c r="Y553" i="1"/>
  <c r="X553" i="1"/>
  <c r="AR553" i="1"/>
  <c r="Y552" i="1"/>
  <c r="X552" i="1"/>
  <c r="Y551" i="1"/>
  <c r="AN551" i="1" s="1"/>
  <c r="X551" i="1"/>
  <c r="AR551" i="1"/>
  <c r="Y550" i="1"/>
  <c r="X550" i="1"/>
  <c r="Y549" i="1"/>
  <c r="X549" i="1"/>
  <c r="AR549" i="1"/>
  <c r="Y548" i="1"/>
  <c r="X548" i="1"/>
  <c r="Y547" i="1"/>
  <c r="X547" i="1"/>
  <c r="AR547" i="1"/>
  <c r="Y546" i="1"/>
  <c r="X546" i="1"/>
  <c r="AM546" i="1" s="1"/>
  <c r="Y545" i="1"/>
  <c r="X545" i="1"/>
  <c r="Y544" i="1"/>
  <c r="X544" i="1"/>
  <c r="Y543" i="1"/>
  <c r="X543" i="1"/>
  <c r="Y542" i="1"/>
  <c r="X542" i="1"/>
  <c r="Y541" i="1"/>
  <c r="X541" i="1"/>
  <c r="AR541" i="1"/>
  <c r="Y540" i="1"/>
  <c r="X540" i="1"/>
  <c r="Y539" i="1"/>
  <c r="X539" i="1"/>
  <c r="Y538" i="1"/>
  <c r="X538" i="1"/>
  <c r="Y537" i="1"/>
  <c r="X537" i="1"/>
  <c r="Y536" i="1"/>
  <c r="X536" i="1"/>
  <c r="AM536" i="1" s="1"/>
  <c r="Y535" i="1"/>
  <c r="X535" i="1"/>
  <c r="Y534" i="1"/>
  <c r="AN534" i="1" s="1"/>
  <c r="X534" i="1"/>
  <c r="Y533" i="1"/>
  <c r="X533" i="1"/>
  <c r="Y532" i="1"/>
  <c r="X532" i="1"/>
  <c r="Y531" i="1"/>
  <c r="X531" i="1"/>
  <c r="Y530" i="1"/>
  <c r="X530" i="1"/>
  <c r="Y529" i="1"/>
  <c r="X529" i="1"/>
  <c r="AR529" i="1"/>
  <c r="Y528" i="1"/>
  <c r="X528" i="1"/>
  <c r="Y527" i="1"/>
  <c r="X527" i="1"/>
  <c r="Y526" i="1"/>
  <c r="X526" i="1"/>
  <c r="Y525" i="1"/>
  <c r="X525" i="1"/>
  <c r="AM525" i="1" s="1"/>
  <c r="Y524" i="1"/>
  <c r="X524" i="1"/>
  <c r="Y523" i="1"/>
  <c r="X523" i="1"/>
  <c r="Y522" i="1"/>
  <c r="X522" i="1"/>
  <c r="Y521" i="1"/>
  <c r="X521" i="1"/>
  <c r="Y520" i="1"/>
  <c r="X520" i="1"/>
  <c r="Y519" i="1"/>
  <c r="X519" i="1"/>
  <c r="AM519" i="1" s="1"/>
  <c r="AR519" i="1"/>
  <c r="Y518" i="1"/>
  <c r="X518" i="1"/>
  <c r="Y517" i="1"/>
  <c r="AN517" i="1" s="1"/>
  <c r="X517" i="1"/>
  <c r="AR517" i="1"/>
  <c r="Y516" i="1"/>
  <c r="X516" i="1"/>
  <c r="AM516" i="1" s="1"/>
  <c r="Y515" i="1"/>
  <c r="X515" i="1"/>
  <c r="AR515" i="1"/>
  <c r="Y514" i="1"/>
  <c r="X514" i="1"/>
  <c r="AM514" i="1"/>
  <c r="Y513" i="1"/>
  <c r="X513" i="1"/>
  <c r="Y512" i="1"/>
  <c r="X512" i="1"/>
  <c r="AM512" i="1" s="1"/>
  <c r="Y511" i="1"/>
  <c r="X511" i="1"/>
  <c r="AR511" i="1"/>
  <c r="Y510" i="1"/>
  <c r="AN510" i="1" s="1"/>
  <c r="X510" i="1"/>
  <c r="AM510" i="1"/>
  <c r="Y509" i="1"/>
  <c r="X509" i="1"/>
  <c r="AR509" i="1"/>
  <c r="Y508" i="1"/>
  <c r="X508" i="1"/>
  <c r="Y507" i="1"/>
  <c r="X507" i="1"/>
  <c r="Y506" i="1"/>
  <c r="X506" i="1"/>
  <c r="Y505" i="1"/>
  <c r="X505" i="1"/>
  <c r="Y504" i="1"/>
  <c r="X504" i="1"/>
  <c r="Y503" i="1"/>
  <c r="X503" i="1"/>
  <c r="AR503" i="1"/>
  <c r="Y502" i="1"/>
  <c r="X502" i="1"/>
  <c r="Y501" i="1"/>
  <c r="X501" i="1"/>
  <c r="AR501" i="1"/>
  <c r="Y500" i="1"/>
  <c r="X500" i="1"/>
  <c r="Y499" i="1"/>
  <c r="X499" i="1"/>
  <c r="AR499" i="1"/>
  <c r="Y498" i="1"/>
  <c r="X498" i="1"/>
  <c r="Y497" i="1"/>
  <c r="AN497" i="1" s="1"/>
  <c r="X497" i="1"/>
  <c r="Y496" i="1"/>
  <c r="X496" i="1"/>
  <c r="Y495" i="1"/>
  <c r="X495" i="1"/>
  <c r="Y494" i="1"/>
  <c r="X494" i="1"/>
  <c r="AM494" i="1"/>
  <c r="Y493" i="1"/>
  <c r="X493" i="1"/>
  <c r="Y492" i="1"/>
  <c r="X492" i="1"/>
  <c r="AM492" i="1" s="1"/>
  <c r="Y491" i="1"/>
  <c r="X491" i="1"/>
  <c r="Y490" i="1"/>
  <c r="X490" i="1"/>
  <c r="Y489" i="1"/>
  <c r="X489" i="1"/>
  <c r="AR489" i="1"/>
  <c r="Y488" i="1"/>
  <c r="X488" i="1"/>
  <c r="AM488" i="1" s="1"/>
  <c r="Y487" i="1"/>
  <c r="X487" i="1"/>
  <c r="Y486" i="1"/>
  <c r="X486" i="1"/>
  <c r="Y485" i="1"/>
  <c r="X485" i="1"/>
  <c r="Y484" i="1"/>
  <c r="X484" i="1"/>
  <c r="Y483" i="1"/>
  <c r="X483" i="1"/>
  <c r="Y482" i="1"/>
  <c r="X482" i="1"/>
  <c r="Y481" i="1"/>
  <c r="X481" i="1"/>
  <c r="AR481" i="1"/>
  <c r="Y480" i="1"/>
  <c r="X480" i="1"/>
  <c r="Y479" i="1"/>
  <c r="X479" i="1"/>
  <c r="Y478" i="1"/>
  <c r="X478" i="1"/>
  <c r="Y477" i="1"/>
  <c r="X477" i="1"/>
  <c r="AR477" i="1"/>
  <c r="Y476" i="1"/>
  <c r="X476" i="1"/>
  <c r="Y475" i="1"/>
  <c r="X475" i="1"/>
  <c r="Y474" i="1"/>
  <c r="X474" i="1"/>
  <c r="Y473" i="1"/>
  <c r="X473" i="1"/>
  <c r="Y472" i="1"/>
  <c r="X472" i="1"/>
  <c r="Y471" i="1"/>
  <c r="X471" i="1"/>
  <c r="AR471" i="1"/>
  <c r="Y470" i="1"/>
  <c r="X470" i="1"/>
  <c r="Y469" i="1"/>
  <c r="X469" i="1"/>
  <c r="AR469" i="1"/>
  <c r="Y468" i="1"/>
  <c r="X468" i="1"/>
  <c r="Y467" i="1"/>
  <c r="X467" i="1"/>
  <c r="Y466" i="1"/>
  <c r="X466" i="1"/>
  <c r="Y465" i="1"/>
  <c r="X465" i="1"/>
  <c r="AR465" i="1"/>
  <c r="Y464" i="1"/>
  <c r="X464" i="1"/>
  <c r="Y463" i="1"/>
  <c r="X463" i="1"/>
  <c r="Y462" i="1"/>
  <c r="X462" i="1"/>
  <c r="Y461" i="1"/>
  <c r="X461" i="1"/>
  <c r="AR461" i="1"/>
  <c r="Y460" i="1"/>
  <c r="X460" i="1"/>
  <c r="Y459" i="1"/>
  <c r="X459" i="1"/>
  <c r="AR459" i="1"/>
  <c r="Y458" i="1"/>
  <c r="X458" i="1"/>
  <c r="Y457" i="1"/>
  <c r="X457" i="1"/>
  <c r="AR457" i="1"/>
  <c r="Y456" i="1"/>
  <c r="X456" i="1"/>
  <c r="Y455" i="1"/>
  <c r="X455" i="1"/>
  <c r="Y454" i="1"/>
  <c r="X454" i="1"/>
  <c r="Y453" i="1"/>
  <c r="AN453" i="1" s="1"/>
  <c r="X453" i="1"/>
  <c r="AM453" i="1" s="1"/>
  <c r="AR453" i="1"/>
  <c r="Y452" i="1"/>
  <c r="X452" i="1"/>
  <c r="Y451" i="1"/>
  <c r="AN451" i="1" s="1"/>
  <c r="X451" i="1"/>
  <c r="Y450" i="1"/>
  <c r="X450" i="1"/>
  <c r="Y449" i="1"/>
  <c r="AN449" i="1" s="1"/>
  <c r="X449" i="1"/>
  <c r="Y448" i="1"/>
  <c r="X448" i="1"/>
  <c r="Y447" i="1"/>
  <c r="AN447" i="1" s="1"/>
  <c r="X447" i="1"/>
  <c r="Y446" i="1"/>
  <c r="AN446" i="1" s="1"/>
  <c r="X446" i="1"/>
  <c r="Y445" i="1"/>
  <c r="AN445" i="1"/>
  <c r="X445" i="1"/>
  <c r="Y444" i="1"/>
  <c r="X444" i="1"/>
  <c r="Y443" i="1"/>
  <c r="AN443" i="1" s="1"/>
  <c r="X443" i="1"/>
  <c r="Y442" i="1"/>
  <c r="X442" i="1"/>
  <c r="AM442" i="1" s="1"/>
  <c r="Y441" i="1"/>
  <c r="X441" i="1"/>
  <c r="Y440" i="1"/>
  <c r="X440" i="1"/>
  <c r="AM440" i="1" s="1"/>
  <c r="Y439" i="1"/>
  <c r="X439" i="1"/>
  <c r="AR439" i="1"/>
  <c r="Y438" i="1"/>
  <c r="X438" i="1"/>
  <c r="Y437" i="1"/>
  <c r="X437" i="1"/>
  <c r="Y436" i="1"/>
  <c r="X436" i="1"/>
  <c r="Y435" i="1"/>
  <c r="X435" i="1"/>
  <c r="AM435" i="1" s="1"/>
  <c r="AR435" i="1"/>
  <c r="Y434" i="1"/>
  <c r="X434" i="1"/>
  <c r="AM434" i="1"/>
  <c r="Y433" i="1"/>
  <c r="X433" i="1"/>
  <c r="Y432" i="1"/>
  <c r="X432" i="1"/>
  <c r="Y431" i="1"/>
  <c r="X431" i="1"/>
  <c r="AR431" i="1"/>
  <c r="Y430" i="1"/>
  <c r="X430" i="1"/>
  <c r="Y429" i="1"/>
  <c r="X429" i="1"/>
  <c r="AR429" i="1"/>
  <c r="Y428" i="1"/>
  <c r="X428" i="1"/>
  <c r="Y427" i="1"/>
  <c r="X427" i="1"/>
  <c r="AM427" i="1" s="1"/>
  <c r="AR427" i="1"/>
  <c r="Y426" i="1"/>
  <c r="X426" i="1"/>
  <c r="Y425" i="1"/>
  <c r="X425" i="1"/>
  <c r="Y424" i="1"/>
  <c r="X424" i="1"/>
  <c r="Y423" i="1"/>
  <c r="AN423" i="1" s="1"/>
  <c r="X423" i="1"/>
  <c r="AR423" i="1"/>
  <c r="Y422" i="1"/>
  <c r="X422" i="1"/>
  <c r="Y421" i="1"/>
  <c r="X421" i="1"/>
  <c r="AR421" i="1"/>
  <c r="Y420" i="1"/>
  <c r="AN420" i="1" s="1"/>
  <c r="X420" i="1"/>
  <c r="Y419" i="1"/>
  <c r="X419" i="1"/>
  <c r="AR419" i="1"/>
  <c r="Y418" i="1"/>
  <c r="X418" i="1"/>
  <c r="AM418" i="1"/>
  <c r="Y417" i="1"/>
  <c r="X417" i="1"/>
  <c r="AR417" i="1"/>
  <c r="Z416" i="1"/>
  <c r="Y416" i="1"/>
  <c r="X416" i="1"/>
  <c r="AA415" i="1"/>
  <c r="Y415" i="1"/>
  <c r="X415" i="1"/>
  <c r="Y414" i="1"/>
  <c r="X414" i="1"/>
  <c r="Y413" i="1"/>
  <c r="X413" i="1"/>
  <c r="Y412" i="1"/>
  <c r="X412" i="1"/>
  <c r="Y411" i="1"/>
  <c r="X411" i="1"/>
  <c r="AM411" i="1" s="1"/>
  <c r="Y410" i="1"/>
  <c r="X410" i="1"/>
  <c r="Y408" i="1"/>
  <c r="X408" i="1"/>
  <c r="W408" i="1"/>
  <c r="V408" i="1"/>
  <c r="AR403" i="1"/>
  <c r="Y401" i="1"/>
  <c r="AN401" i="1" s="1"/>
  <c r="X401" i="1"/>
  <c r="AR401" i="1"/>
  <c r="Y400" i="1"/>
  <c r="X400" i="1"/>
  <c r="Y399" i="1"/>
  <c r="AN399" i="1" s="1"/>
  <c r="X399" i="1"/>
  <c r="Y398" i="1"/>
  <c r="AN398" i="1" s="1"/>
  <c r="X398" i="1"/>
  <c r="Y397" i="1"/>
  <c r="AN397" i="1" s="1"/>
  <c r="AR397" i="1"/>
  <c r="Y396" i="1"/>
  <c r="X396" i="1"/>
  <c r="Y395" i="1"/>
  <c r="AN395" i="1" s="1"/>
  <c r="X395" i="1"/>
  <c r="AR395" i="1"/>
  <c r="Y394" i="1"/>
  <c r="X394" i="1"/>
  <c r="Y393" i="1"/>
  <c r="X393" i="1"/>
  <c r="AR393" i="1"/>
  <c r="Y392" i="1"/>
  <c r="X392" i="1"/>
  <c r="Y391" i="1"/>
  <c r="X391" i="1"/>
  <c r="Y390" i="1"/>
  <c r="X390" i="1"/>
  <c r="Y389" i="1"/>
  <c r="X389" i="1"/>
  <c r="AR389" i="1"/>
  <c r="Y388" i="1"/>
  <c r="X388" i="1"/>
  <c r="Y387" i="1"/>
  <c r="X387" i="1"/>
  <c r="Y386" i="1"/>
  <c r="X386" i="1"/>
  <c r="Y385" i="1"/>
  <c r="X385" i="1"/>
  <c r="AR385" i="1"/>
  <c r="Y384" i="1"/>
  <c r="X384" i="1"/>
  <c r="Z382" i="1"/>
  <c r="AO382" i="1" s="1"/>
  <c r="Y382" i="1"/>
  <c r="X382" i="1"/>
  <c r="Z381" i="1"/>
  <c r="AO381" i="1" s="1"/>
  <c r="Y381" i="1"/>
  <c r="AN381" i="1" s="1"/>
  <c r="X381" i="1"/>
  <c r="AK381" i="1"/>
  <c r="Z380" i="1"/>
  <c r="AO380" i="1" s="1"/>
  <c r="Y380" i="1"/>
  <c r="X380" i="1"/>
  <c r="AA379" i="1"/>
  <c r="Y379" i="1"/>
  <c r="AN379" i="1" s="1"/>
  <c r="X379" i="1"/>
  <c r="AK379" i="1"/>
  <c r="AR379" i="1" s="1"/>
  <c r="AA378" i="1"/>
  <c r="Y378" i="1"/>
  <c r="X378" i="1"/>
  <c r="AA377" i="1"/>
  <c r="Y377" i="1"/>
  <c r="X377" i="1"/>
  <c r="AA376" i="1"/>
  <c r="Y376" i="1"/>
  <c r="X376" i="1"/>
  <c r="AA375" i="1"/>
  <c r="Y375" i="1"/>
  <c r="X375" i="1"/>
  <c r="AK375" i="1"/>
  <c r="AA374" i="1"/>
  <c r="Y374" i="1"/>
  <c r="X374" i="1"/>
  <c r="AA373" i="1"/>
  <c r="Y373" i="1"/>
  <c r="X373" i="1"/>
  <c r="AK373" i="1"/>
  <c r="AA372" i="1"/>
  <c r="Y372" i="1"/>
  <c r="X372" i="1"/>
  <c r="AA371" i="1"/>
  <c r="Y371" i="1"/>
  <c r="X371" i="1"/>
  <c r="AK371" i="1"/>
  <c r="AA370" i="1"/>
  <c r="Y370" i="1"/>
  <c r="X370" i="1"/>
  <c r="AA369" i="1"/>
  <c r="Y369" i="1"/>
  <c r="X369" i="1"/>
  <c r="AM369" i="1" s="1"/>
  <c r="AK369" i="1"/>
  <c r="AA368" i="1"/>
  <c r="Y368" i="1"/>
  <c r="X368" i="1"/>
  <c r="AM368" i="1" s="1"/>
  <c r="Z367" i="1"/>
  <c r="Y367" i="1"/>
  <c r="X367" i="1"/>
  <c r="Z366" i="1"/>
  <c r="AO366" i="1" s="1"/>
  <c r="Y366" i="1"/>
  <c r="X366" i="1"/>
  <c r="AM366" i="1" s="1"/>
  <c r="Z365" i="1"/>
  <c r="AO365" i="1"/>
  <c r="Y365" i="1"/>
  <c r="X365" i="1"/>
  <c r="AK365" i="1"/>
  <c r="Z364" i="1"/>
  <c r="AO364" i="1" s="1"/>
  <c r="Y364" i="1"/>
  <c r="X364" i="1"/>
  <c r="AM364" i="1"/>
  <c r="AA363" i="1"/>
  <c r="Y363" i="1"/>
  <c r="X363" i="1"/>
  <c r="AA362" i="1"/>
  <c r="Y362" i="1"/>
  <c r="AN362" i="1" s="1"/>
  <c r="X362" i="1"/>
  <c r="AA361" i="1"/>
  <c r="Y361" i="1"/>
  <c r="X361" i="1"/>
  <c r="AM361" i="1" s="1"/>
  <c r="AA360" i="1"/>
  <c r="Y360" i="1"/>
  <c r="X360" i="1"/>
  <c r="AA359" i="1"/>
  <c r="Y359" i="1"/>
  <c r="X359" i="1"/>
  <c r="AK359" i="1"/>
  <c r="AA358" i="1"/>
  <c r="Y358" i="1"/>
  <c r="X358" i="1"/>
  <c r="AA357" i="1"/>
  <c r="Y357" i="1"/>
  <c r="AN357" i="1" s="1"/>
  <c r="X357" i="1"/>
  <c r="AA356" i="1"/>
  <c r="Y356" i="1"/>
  <c r="X356" i="1"/>
  <c r="AM356" i="1" s="1"/>
  <c r="AA355" i="1"/>
  <c r="Y355" i="1"/>
  <c r="X355" i="1"/>
  <c r="AM355" i="1" s="1"/>
  <c r="AA354" i="1"/>
  <c r="Y354" i="1"/>
  <c r="X354" i="1"/>
  <c r="AM354" i="1"/>
  <c r="AA353" i="1"/>
  <c r="Y353" i="1"/>
  <c r="X353" i="1"/>
  <c r="AK353" i="1"/>
  <c r="AA352" i="1"/>
  <c r="Y352" i="1"/>
  <c r="X352" i="1"/>
  <c r="AA351" i="1"/>
  <c r="Y351" i="1"/>
  <c r="X351" i="1"/>
  <c r="AK351" i="1"/>
  <c r="AA350" i="1"/>
  <c r="Y350" i="1"/>
  <c r="X350" i="1"/>
  <c r="AM350" i="1" s="1"/>
  <c r="AA349" i="1"/>
  <c r="Y349" i="1"/>
  <c r="X349" i="1"/>
  <c r="AA348" i="1"/>
  <c r="Y348" i="1"/>
  <c r="AN348" i="1" s="1"/>
  <c r="X348" i="1"/>
  <c r="AA347" i="1"/>
  <c r="Y347" i="1"/>
  <c r="AN347" i="1" s="1"/>
  <c r="X347" i="1"/>
  <c r="AA346" i="1"/>
  <c r="Y346" i="1"/>
  <c r="X346" i="1"/>
  <c r="AM346" i="1" s="1"/>
  <c r="Y345" i="1"/>
  <c r="X345" i="1"/>
  <c r="Y344" i="1"/>
  <c r="X344" i="1"/>
  <c r="AA343" i="1"/>
  <c r="Y343" i="1"/>
  <c r="X343" i="1"/>
  <c r="AK343" i="1"/>
  <c r="AA342" i="1"/>
  <c r="Y342" i="1"/>
  <c r="X342" i="1"/>
  <c r="AM342" i="1" s="1"/>
  <c r="AK342" i="1"/>
  <c r="AA341" i="1"/>
  <c r="Y341" i="1"/>
  <c r="X341" i="1"/>
  <c r="AA340" i="1"/>
  <c r="Y340" i="1"/>
  <c r="X340" i="1"/>
  <c r="AA339" i="1"/>
  <c r="Y339" i="1"/>
  <c r="X339" i="1"/>
  <c r="AK339" i="1"/>
  <c r="AR339" i="1" s="1"/>
  <c r="AA338" i="1"/>
  <c r="Y338" i="1"/>
  <c r="X338" i="1"/>
  <c r="Y337" i="1"/>
  <c r="X337" i="1"/>
  <c r="Y336" i="1"/>
  <c r="X336" i="1"/>
  <c r="AA335" i="1"/>
  <c r="Y335" i="1"/>
  <c r="AN335" i="1" s="1"/>
  <c r="X335" i="1"/>
  <c r="AK335" i="1"/>
  <c r="AA334" i="1"/>
  <c r="Y334" i="1"/>
  <c r="X334" i="1"/>
  <c r="AA333" i="1"/>
  <c r="Y333" i="1"/>
  <c r="X333" i="1"/>
  <c r="AK333" i="1"/>
  <c r="AA332" i="1"/>
  <c r="Y332" i="1"/>
  <c r="X332" i="1"/>
  <c r="AA331" i="1"/>
  <c r="Y331" i="1"/>
  <c r="X331" i="1"/>
  <c r="Y330" i="1"/>
  <c r="X330" i="1"/>
  <c r="Y329" i="1"/>
  <c r="X329" i="1"/>
  <c r="Y328" i="1"/>
  <c r="X328" i="1"/>
  <c r="AM328" i="1" s="1"/>
  <c r="Y327" i="1"/>
  <c r="X327" i="1"/>
  <c r="AA326" i="1"/>
  <c r="Y326" i="1"/>
  <c r="X326" i="1"/>
  <c r="AA325" i="1"/>
  <c r="Y325" i="1"/>
  <c r="X325" i="1"/>
  <c r="AK325" i="1"/>
  <c r="AR325" i="1" s="1"/>
  <c r="AA324" i="1"/>
  <c r="Y324" i="1"/>
  <c r="X324" i="1"/>
  <c r="AM324" i="1" s="1"/>
  <c r="AA323" i="1"/>
  <c r="Y323" i="1"/>
  <c r="X323" i="1"/>
  <c r="AK323" i="1"/>
  <c r="AR323" i="1" s="1"/>
  <c r="Y322" i="1"/>
  <c r="X322" i="1"/>
  <c r="AA321" i="1"/>
  <c r="Y321" i="1"/>
  <c r="X321" i="1"/>
  <c r="AA320" i="1"/>
  <c r="Y320" i="1"/>
  <c r="X320" i="1"/>
  <c r="AA319" i="1"/>
  <c r="Y319" i="1"/>
  <c r="X319" i="1"/>
  <c r="AM319" i="1" s="1"/>
  <c r="AK319" i="1"/>
  <c r="AA318" i="1"/>
  <c r="Y318" i="1"/>
  <c r="X318" i="1"/>
  <c r="AM318" i="1" s="1"/>
  <c r="AA317" i="1"/>
  <c r="Y317" i="1"/>
  <c r="X317" i="1"/>
  <c r="AK317" i="1"/>
  <c r="AA316" i="1"/>
  <c r="Y316" i="1"/>
  <c r="X316" i="1"/>
  <c r="AA315" i="1"/>
  <c r="Y315" i="1"/>
  <c r="X315" i="1"/>
  <c r="AK315" i="1"/>
  <c r="AA314" i="1"/>
  <c r="Y314" i="1"/>
  <c r="X314" i="1"/>
  <c r="AA313" i="1"/>
  <c r="Y313" i="1"/>
  <c r="X313" i="1"/>
  <c r="AK313" i="1"/>
  <c r="AA312" i="1"/>
  <c r="Y312" i="1"/>
  <c r="X312" i="1"/>
  <c r="AA311" i="1"/>
  <c r="Y311" i="1"/>
  <c r="X311" i="1"/>
  <c r="AK311" i="1"/>
  <c r="AA310" i="1"/>
  <c r="Y310" i="1"/>
  <c r="X310" i="1"/>
  <c r="AA309" i="1"/>
  <c r="Y309" i="1"/>
  <c r="X309" i="1"/>
  <c r="AK309" i="1"/>
  <c r="AA308" i="1"/>
  <c r="Y308" i="1"/>
  <c r="X308" i="1"/>
  <c r="AA307" i="1"/>
  <c r="Y307" i="1"/>
  <c r="X307" i="1"/>
  <c r="AK307" i="1"/>
  <c r="AA306" i="1"/>
  <c r="Y306" i="1"/>
  <c r="X306" i="1"/>
  <c r="AA305" i="1"/>
  <c r="Y305" i="1"/>
  <c r="X305" i="1"/>
  <c r="AK305" i="1"/>
  <c r="AA304" i="1"/>
  <c r="Y304" i="1"/>
  <c r="X304" i="1"/>
  <c r="AA303" i="1"/>
  <c r="Y303" i="1"/>
  <c r="X303" i="1"/>
  <c r="AK303" i="1"/>
  <c r="AA302" i="1"/>
  <c r="Y302" i="1"/>
  <c r="X302" i="1"/>
  <c r="AA301" i="1"/>
  <c r="Y301" i="1"/>
  <c r="X301" i="1"/>
  <c r="AK301" i="1"/>
  <c r="AA300" i="1"/>
  <c r="Y300" i="1"/>
  <c r="X300" i="1"/>
  <c r="AA299" i="1"/>
  <c r="Y299" i="1"/>
  <c r="X299" i="1"/>
  <c r="AK299" i="1"/>
  <c r="AA298" i="1"/>
  <c r="Y298" i="1"/>
  <c r="X298" i="1"/>
  <c r="AA297" i="1"/>
  <c r="Y297" i="1"/>
  <c r="X297" i="1"/>
  <c r="AK297" i="1"/>
  <c r="AA296" i="1"/>
  <c r="Y296" i="1"/>
  <c r="X296" i="1"/>
  <c r="AA295" i="1"/>
  <c r="Y295" i="1"/>
  <c r="X295" i="1"/>
  <c r="AK295" i="1"/>
  <c r="AA294" i="1"/>
  <c r="Y294" i="1"/>
  <c r="X294" i="1"/>
  <c r="AA293" i="1"/>
  <c r="Y293" i="1"/>
  <c r="X293" i="1"/>
  <c r="W293" i="1"/>
  <c r="V293" i="1"/>
  <c r="AA292" i="1"/>
  <c r="Y292" i="1"/>
  <c r="X292" i="1"/>
  <c r="AM292" i="1"/>
  <c r="W292" i="1"/>
  <c r="V292" i="1"/>
  <c r="AA291" i="1"/>
  <c r="Y291" i="1"/>
  <c r="X291" i="1"/>
  <c r="W291" i="1"/>
  <c r="V291" i="1"/>
  <c r="AK291" i="1"/>
  <c r="AA290" i="1"/>
  <c r="Y290" i="1"/>
  <c r="X290" i="1"/>
  <c r="W290" i="1"/>
  <c r="V290" i="1"/>
  <c r="AK290" i="1" s="1"/>
  <c r="AA289" i="1"/>
  <c r="Y289" i="1"/>
  <c r="X289" i="1"/>
  <c r="W289" i="1"/>
  <c r="V289" i="1"/>
  <c r="AA288" i="1"/>
  <c r="AP288" i="1" s="1"/>
  <c r="Y288" i="1"/>
  <c r="AN288" i="1" s="1"/>
  <c r="X288" i="1"/>
  <c r="W288" i="1"/>
  <c r="AL288" i="1" s="1"/>
  <c r="V288" i="1"/>
  <c r="AA287" i="1"/>
  <c r="W287" i="1"/>
  <c r="AL287" i="1" s="1"/>
  <c r="V287" i="1"/>
  <c r="AA286" i="1"/>
  <c r="Y286" i="1"/>
  <c r="AN286" i="1" s="1"/>
  <c r="X286" i="1"/>
  <c r="W286" i="1"/>
  <c r="V286" i="1"/>
  <c r="Z284" i="1"/>
  <c r="Y284" i="1"/>
  <c r="X284" i="1"/>
  <c r="AM284" i="1"/>
  <c r="AL284" i="1"/>
  <c r="AR284" i="1" s="1"/>
  <c r="AA283" i="1"/>
  <c r="Y283" i="1"/>
  <c r="X283" i="1"/>
  <c r="AK283" i="1"/>
  <c r="Y282" i="1"/>
  <c r="X282" i="1"/>
  <c r="Y281" i="1"/>
  <c r="X281" i="1"/>
  <c r="AM281" i="1" s="1"/>
  <c r="Y280" i="1"/>
  <c r="X280" i="1"/>
  <c r="Y279" i="1"/>
  <c r="X279" i="1"/>
  <c r="Y278" i="1"/>
  <c r="X278" i="1"/>
  <c r="AM278" i="1"/>
  <c r="Y277" i="1"/>
  <c r="X277" i="1"/>
  <c r="Y276" i="1"/>
  <c r="X276" i="1"/>
  <c r="Y275" i="1"/>
  <c r="X275" i="1"/>
  <c r="Y274" i="1"/>
  <c r="X274" i="1"/>
  <c r="Y273" i="1"/>
  <c r="X273" i="1"/>
  <c r="Y272" i="1"/>
  <c r="X272" i="1"/>
  <c r="Y271" i="1"/>
  <c r="X271" i="1"/>
  <c r="Z270" i="1"/>
  <c r="AO270" i="1" s="1"/>
  <c r="Y270" i="1"/>
  <c r="X270" i="1"/>
  <c r="Z269" i="1"/>
  <c r="AO269" i="1" s="1"/>
  <c r="Y269" i="1"/>
  <c r="X269" i="1"/>
  <c r="Z268" i="1"/>
  <c r="AO268" i="1" s="1"/>
  <c r="Y268" i="1"/>
  <c r="X268" i="1"/>
  <c r="Z267" i="1"/>
  <c r="AO267" i="1" s="1"/>
  <c r="Y267" i="1"/>
  <c r="X267" i="1"/>
  <c r="Z266" i="1"/>
  <c r="Y266" i="1"/>
  <c r="X266" i="1"/>
  <c r="Z265" i="1"/>
  <c r="Y265" i="1"/>
  <c r="X265" i="1"/>
  <c r="Z264" i="1"/>
  <c r="Y264" i="1"/>
  <c r="X264" i="1"/>
  <c r="Z263" i="1"/>
  <c r="Y263" i="1"/>
  <c r="X263" i="1"/>
  <c r="Z262" i="1"/>
  <c r="Y262" i="1"/>
  <c r="X262" i="1"/>
  <c r="Z261" i="1"/>
  <c r="Y261" i="1"/>
  <c r="X261" i="1"/>
  <c r="Z260" i="1"/>
  <c r="Y260" i="1"/>
  <c r="AN260" i="1" s="1"/>
  <c r="X260" i="1"/>
  <c r="Z259" i="1"/>
  <c r="Y259" i="1"/>
  <c r="X259" i="1"/>
  <c r="Z258" i="1"/>
  <c r="Y258" i="1"/>
  <c r="X258" i="1"/>
  <c r="Z257" i="1"/>
  <c r="Y257" i="1"/>
  <c r="X257" i="1"/>
  <c r="AA256" i="1"/>
  <c r="Y256" i="1"/>
  <c r="X256" i="1"/>
  <c r="AA255" i="1"/>
  <c r="Y255" i="1"/>
  <c r="X255" i="1"/>
  <c r="AK255" i="1"/>
  <c r="AR255" i="1" s="1"/>
  <c r="AA254" i="1"/>
  <c r="Y254" i="1"/>
  <c r="X254" i="1"/>
  <c r="AA253" i="1"/>
  <c r="Y253" i="1"/>
  <c r="X253" i="1"/>
  <c r="AK253" i="1"/>
  <c r="Z252" i="1"/>
  <c r="Y252" i="1"/>
  <c r="X252" i="1"/>
  <c r="Z251" i="1"/>
  <c r="Y251" i="1"/>
  <c r="X251" i="1"/>
  <c r="AA250" i="1"/>
  <c r="Y250" i="1"/>
  <c r="X250" i="1"/>
  <c r="AA249" i="1"/>
  <c r="Y249" i="1"/>
  <c r="X249" i="1"/>
  <c r="AM249" i="1" s="1"/>
  <c r="AA248" i="1"/>
  <c r="Y248" i="1"/>
  <c r="X248" i="1"/>
  <c r="AA247" i="1"/>
  <c r="Y247" i="1"/>
  <c r="X247" i="1"/>
  <c r="AK247" i="1"/>
  <c r="AA246" i="1"/>
  <c r="Y246" i="1"/>
  <c r="X246" i="1"/>
  <c r="AA245" i="1"/>
  <c r="Y245" i="1"/>
  <c r="X245" i="1"/>
  <c r="Z244" i="1"/>
  <c r="Y244" i="1"/>
  <c r="X244" i="1"/>
  <c r="AM244" i="1" s="1"/>
  <c r="Z243" i="1"/>
  <c r="Y243" i="1"/>
  <c r="X243" i="1"/>
  <c r="AL243" i="1"/>
  <c r="Z242" i="1"/>
  <c r="Y242" i="1"/>
  <c r="X242" i="1"/>
  <c r="Z241" i="1"/>
  <c r="Y241" i="1"/>
  <c r="X241" i="1"/>
  <c r="AL241" i="1"/>
  <c r="AA240" i="1"/>
  <c r="Y240" i="1"/>
  <c r="AN240" i="1" s="1"/>
  <c r="X240" i="1"/>
  <c r="AA239" i="1"/>
  <c r="Y239" i="1"/>
  <c r="X239" i="1"/>
  <c r="Z238" i="1"/>
  <c r="Y238" i="1"/>
  <c r="X238" i="1"/>
  <c r="Z237" i="1"/>
  <c r="Y237" i="1"/>
  <c r="X237" i="1"/>
  <c r="AA236" i="1"/>
  <c r="Y236" i="1"/>
  <c r="X236" i="1"/>
  <c r="Z235" i="1"/>
  <c r="Y235" i="1"/>
  <c r="AN235" i="1" s="1"/>
  <c r="X235" i="1"/>
  <c r="Z234" i="1"/>
  <c r="Y234" i="1"/>
  <c r="X234" i="1"/>
  <c r="Z233" i="1"/>
  <c r="Y233" i="1"/>
  <c r="X233" i="1"/>
  <c r="Z232" i="1"/>
  <c r="Y232" i="1"/>
  <c r="X232" i="1"/>
  <c r="AA231" i="1"/>
  <c r="Y231" i="1"/>
  <c r="AN231" i="1" s="1"/>
  <c r="X231" i="1"/>
  <c r="AA230" i="1"/>
  <c r="Y230" i="1"/>
  <c r="X230" i="1"/>
  <c r="AA229" i="1"/>
  <c r="Y229" i="1"/>
  <c r="X229" i="1"/>
  <c r="AK229" i="1"/>
  <c r="Z228" i="1"/>
  <c r="Y228" i="1"/>
  <c r="X228" i="1"/>
  <c r="Z227" i="1"/>
  <c r="Y227" i="1"/>
  <c r="X227" i="1"/>
  <c r="Z226" i="1"/>
  <c r="Y226" i="1"/>
  <c r="AN226" i="1" s="1"/>
  <c r="X226" i="1"/>
  <c r="Z225" i="1"/>
  <c r="Y225" i="1"/>
  <c r="X225" i="1"/>
  <c r="Z224" i="1"/>
  <c r="Y224" i="1"/>
  <c r="X224" i="1"/>
  <c r="AA223" i="1"/>
  <c r="Y223" i="1"/>
  <c r="X223" i="1"/>
  <c r="Z222" i="1"/>
  <c r="Y222" i="1"/>
  <c r="AN222" i="1" s="1"/>
  <c r="X222" i="1"/>
  <c r="AA221" i="1"/>
  <c r="Y221" i="1"/>
  <c r="X221" i="1"/>
  <c r="Z220" i="1"/>
  <c r="Y220" i="1"/>
  <c r="X220" i="1"/>
  <c r="AA219" i="1"/>
  <c r="Y219" i="1"/>
  <c r="X219" i="1"/>
  <c r="Y218" i="1"/>
  <c r="X218" i="1"/>
  <c r="Y217" i="1"/>
  <c r="X217" i="1"/>
  <c r="Y216" i="1"/>
  <c r="X216" i="1"/>
  <c r="Y215" i="1"/>
  <c r="X215" i="1"/>
  <c r="Y214" i="1"/>
  <c r="X214" i="1"/>
  <c r="AM214" i="1" s="1"/>
  <c r="Y213" i="1"/>
  <c r="X213" i="1"/>
  <c r="Y212" i="1"/>
  <c r="X212" i="1"/>
  <c r="Y211" i="1"/>
  <c r="X211" i="1"/>
  <c r="Y210" i="1"/>
  <c r="X210" i="1"/>
  <c r="Y209" i="1"/>
  <c r="X209" i="1"/>
  <c r="Y208" i="1"/>
  <c r="X208" i="1"/>
  <c r="Y207" i="1"/>
  <c r="X207" i="1"/>
  <c r="Y206" i="1"/>
  <c r="X206" i="1"/>
  <c r="Y205" i="1"/>
  <c r="X205" i="1"/>
  <c r="Y204" i="1"/>
  <c r="X204" i="1"/>
  <c r="Y203" i="1"/>
  <c r="X203" i="1"/>
  <c r="Y202" i="1"/>
  <c r="X202" i="1"/>
  <c r="Y201" i="1"/>
  <c r="X201" i="1"/>
  <c r="Y200" i="1"/>
  <c r="X200" i="1"/>
  <c r="Y199" i="1"/>
  <c r="X199" i="1"/>
  <c r="Z198" i="1"/>
  <c r="Y198" i="1"/>
  <c r="X198" i="1"/>
  <c r="Z197" i="1"/>
  <c r="Y197" i="1"/>
  <c r="X197" i="1"/>
  <c r="AL197" i="1"/>
  <c r="AA196" i="1"/>
  <c r="Y196" i="1"/>
  <c r="X196" i="1"/>
  <c r="Z195" i="1"/>
  <c r="Y195" i="1"/>
  <c r="X195" i="1"/>
  <c r="Y194" i="1"/>
  <c r="X194" i="1"/>
  <c r="AM194" i="1" s="1"/>
  <c r="Y193" i="1"/>
  <c r="X193" i="1"/>
  <c r="Y192" i="1"/>
  <c r="X192" i="1"/>
  <c r="Y191" i="1"/>
  <c r="X191" i="1"/>
  <c r="Z190" i="1"/>
  <c r="Y190" i="1"/>
  <c r="X190" i="1"/>
  <c r="AA189" i="1"/>
  <c r="Y189" i="1"/>
  <c r="X189" i="1"/>
  <c r="AK189" i="1"/>
  <c r="AR189" i="1" s="1"/>
  <c r="AA188" i="1"/>
  <c r="Y188" i="1"/>
  <c r="X188" i="1"/>
  <c r="Z187" i="1"/>
  <c r="Y187" i="1"/>
  <c r="X187" i="1"/>
  <c r="Z186" i="1"/>
  <c r="Y186" i="1"/>
  <c r="X186" i="1"/>
  <c r="AL186" i="1"/>
  <c r="AA185" i="1"/>
  <c r="Y185" i="1"/>
  <c r="X185" i="1"/>
  <c r="AK185" i="1"/>
  <c r="Z184" i="1"/>
  <c r="Y184" i="1"/>
  <c r="X184" i="1"/>
  <c r="Y183" i="1"/>
  <c r="X183" i="1"/>
  <c r="Y182" i="1"/>
  <c r="X182" i="1"/>
  <c r="AM182" i="1" s="1"/>
  <c r="Y181" i="1"/>
  <c r="X181" i="1"/>
  <c r="Y180" i="1"/>
  <c r="X180" i="1"/>
  <c r="Y179" i="1"/>
  <c r="X179" i="1"/>
  <c r="AA178" i="1"/>
  <c r="Z178" i="1"/>
  <c r="Y178" i="1"/>
  <c r="X178" i="1"/>
  <c r="AM178" i="1" s="1"/>
  <c r="Y177" i="1"/>
  <c r="X177" i="1"/>
  <c r="Y176" i="1"/>
  <c r="X176" i="1"/>
  <c r="Z175" i="1"/>
  <c r="Y175" i="1"/>
  <c r="X175" i="1"/>
  <c r="AL175" i="1"/>
  <c r="Z174" i="1"/>
  <c r="Y174" i="1"/>
  <c r="X174" i="1"/>
  <c r="Z173" i="1"/>
  <c r="Y173" i="1"/>
  <c r="X173" i="1"/>
  <c r="AA172" i="1"/>
  <c r="Y172" i="1"/>
  <c r="X172" i="1"/>
  <c r="AK172" i="1"/>
  <c r="AA171" i="1"/>
  <c r="Y171" i="1"/>
  <c r="X171" i="1"/>
  <c r="AK171" i="1"/>
  <c r="AR171" i="1" s="1"/>
  <c r="AA170" i="1"/>
  <c r="Y170" i="1"/>
  <c r="X170" i="1"/>
  <c r="AA169" i="1"/>
  <c r="Y169" i="1"/>
  <c r="AN169" i="1" s="1"/>
  <c r="X169" i="1"/>
  <c r="AK169" i="1"/>
  <c r="AR169" i="1" s="1"/>
  <c r="AA168" i="1"/>
  <c r="Y168" i="1"/>
  <c r="X168" i="1"/>
  <c r="AA167" i="1"/>
  <c r="Y167" i="1"/>
  <c r="X167" i="1"/>
  <c r="AK167" i="1"/>
  <c r="AA166" i="1"/>
  <c r="Y166" i="1"/>
  <c r="X166" i="1"/>
  <c r="AA165" i="1"/>
  <c r="Y165" i="1"/>
  <c r="X165" i="1"/>
  <c r="AM165" i="1" s="1"/>
  <c r="AK165" i="1"/>
  <c r="AR165" i="1" s="1"/>
  <c r="AA164" i="1"/>
  <c r="Y164" i="1"/>
  <c r="X164" i="1"/>
  <c r="AM164" i="1" s="1"/>
  <c r="AA163" i="1"/>
  <c r="Y163" i="1"/>
  <c r="X163" i="1"/>
  <c r="AK163" i="1"/>
  <c r="AR163" i="1" s="1"/>
  <c r="AA162" i="1"/>
  <c r="Y162" i="1"/>
  <c r="X162" i="1"/>
  <c r="AM162" i="1" s="1"/>
  <c r="AA161" i="1"/>
  <c r="Y161" i="1"/>
  <c r="X161" i="1"/>
  <c r="AK161" i="1"/>
  <c r="Y160" i="1"/>
  <c r="X160" i="1"/>
  <c r="AM160" i="1" s="1"/>
  <c r="AA159" i="1"/>
  <c r="Y159" i="1"/>
  <c r="X159" i="1"/>
  <c r="AK159" i="1"/>
  <c r="AA158" i="1"/>
  <c r="Y158" i="1"/>
  <c r="X158" i="1"/>
  <c r="AM158" i="1" s="1"/>
  <c r="AA157" i="1"/>
  <c r="Y157" i="1"/>
  <c r="X157" i="1"/>
  <c r="AK157" i="1"/>
  <c r="AA156" i="1"/>
  <c r="Y156" i="1"/>
  <c r="X156" i="1"/>
  <c r="AM156" i="1" s="1"/>
  <c r="AA155" i="1"/>
  <c r="Y155" i="1"/>
  <c r="X155" i="1"/>
  <c r="AK155" i="1"/>
  <c r="AA154" i="1"/>
  <c r="Y154" i="1"/>
  <c r="X154" i="1"/>
  <c r="AM154" i="1" s="1"/>
  <c r="AA153" i="1"/>
  <c r="Y153" i="1"/>
  <c r="X153" i="1"/>
  <c r="AK153" i="1"/>
  <c r="AA152" i="1"/>
  <c r="Y152" i="1"/>
  <c r="AN152" i="1" s="1"/>
  <c r="X152" i="1"/>
  <c r="Z151" i="1"/>
  <c r="Y151" i="1"/>
  <c r="X151" i="1"/>
  <c r="Z150" i="1"/>
  <c r="Y150" i="1"/>
  <c r="X150" i="1"/>
  <c r="AA149" i="1"/>
  <c r="Y149" i="1"/>
  <c r="X149" i="1"/>
  <c r="AA148" i="1"/>
  <c r="Y148" i="1"/>
  <c r="AN148" i="1" s="1"/>
  <c r="X148" i="1"/>
  <c r="AM148" i="1" s="1"/>
  <c r="O50" i="35"/>
  <c r="P50" i="35" s="1"/>
  <c r="AA147" i="1"/>
  <c r="Y147" i="1"/>
  <c r="AN147" i="1" s="1"/>
  <c r="X147" i="1"/>
  <c r="AK147" i="1"/>
  <c r="Z146" i="1"/>
  <c r="Y146" i="1"/>
  <c r="AN146" i="1" s="1"/>
  <c r="X146" i="1"/>
  <c r="AA145" i="1"/>
  <c r="Y145" i="1"/>
  <c r="X145" i="1"/>
  <c r="AK145" i="1"/>
  <c r="AA144" i="1"/>
  <c r="Y144" i="1"/>
  <c r="X144" i="1"/>
  <c r="Z143" i="1"/>
  <c r="Y143" i="1"/>
  <c r="X143" i="1"/>
  <c r="Z142" i="1"/>
  <c r="Y142" i="1"/>
  <c r="X142" i="1"/>
  <c r="AA141" i="1"/>
  <c r="Y141" i="1"/>
  <c r="AN141" i="1" s="1"/>
  <c r="X141" i="1"/>
  <c r="AK141" i="1"/>
  <c r="Z140" i="1"/>
  <c r="Y140" i="1"/>
  <c r="X140" i="1"/>
  <c r="AM140" i="1" s="1"/>
  <c r="Z139" i="1"/>
  <c r="Y139" i="1"/>
  <c r="AN139" i="1" s="1"/>
  <c r="X139" i="1"/>
  <c r="AA138" i="1"/>
  <c r="Y138" i="1"/>
  <c r="X138" i="1"/>
  <c r="AA137" i="1"/>
  <c r="Y137" i="1"/>
  <c r="X137" i="1"/>
  <c r="AK137" i="1"/>
  <c r="AA136" i="1"/>
  <c r="Y136" i="1"/>
  <c r="X136" i="1"/>
  <c r="Z135" i="1"/>
  <c r="Y135" i="1"/>
  <c r="X135" i="1"/>
  <c r="AA134" i="1"/>
  <c r="Y134" i="1"/>
  <c r="AN134" i="1" s="1"/>
  <c r="X134" i="1"/>
  <c r="Z133" i="1"/>
  <c r="Y133" i="1"/>
  <c r="X133" i="1"/>
  <c r="AM133" i="1" s="1"/>
  <c r="Z132" i="1"/>
  <c r="Y132" i="1"/>
  <c r="X132" i="1"/>
  <c r="AM132" i="1" s="1"/>
  <c r="AA131" i="1"/>
  <c r="Y131" i="1"/>
  <c r="X131" i="1"/>
  <c r="AK131" i="1"/>
  <c r="Z130" i="1"/>
  <c r="Y130" i="1"/>
  <c r="X130" i="1"/>
  <c r="AA129" i="1"/>
  <c r="Y129" i="1"/>
  <c r="X129" i="1"/>
  <c r="AK129" i="1"/>
  <c r="Z128" i="1"/>
  <c r="Y128" i="1"/>
  <c r="X128" i="1"/>
  <c r="Z127" i="1"/>
  <c r="Y127" i="1"/>
  <c r="X127" i="1"/>
  <c r="AA126" i="1"/>
  <c r="Y126" i="1"/>
  <c r="X126" i="1"/>
  <c r="Z125" i="1"/>
  <c r="Y125" i="1"/>
  <c r="X125" i="1"/>
  <c r="AA124" i="1"/>
  <c r="Y124" i="1"/>
  <c r="X124" i="1"/>
  <c r="AA123" i="1"/>
  <c r="Y123" i="1"/>
  <c r="X123" i="1"/>
  <c r="AK123" i="1"/>
  <c r="Z122" i="1"/>
  <c r="Y122" i="1"/>
  <c r="X122" i="1"/>
  <c r="Y121" i="1"/>
  <c r="X121" i="1"/>
  <c r="Y120" i="1"/>
  <c r="X120" i="1"/>
  <c r="AM120" i="1" s="1"/>
  <c r="AA119" i="1"/>
  <c r="Y119" i="1"/>
  <c r="X119" i="1"/>
  <c r="AK119" i="1"/>
  <c r="Z118" i="1"/>
  <c r="Y118" i="1"/>
  <c r="X118" i="1"/>
  <c r="AM118" i="1" s="1"/>
  <c r="Y117" i="1"/>
  <c r="X117" i="1"/>
  <c r="AK117" i="1"/>
  <c r="Z116" i="1"/>
  <c r="Y116" i="1"/>
  <c r="X116" i="1"/>
  <c r="AM116" i="1" s="1"/>
  <c r="Y115" i="1"/>
  <c r="X115" i="1"/>
  <c r="AK115" i="1"/>
  <c r="AR115" i="1" s="1"/>
  <c r="Z114" i="1"/>
  <c r="Y114" i="1"/>
  <c r="X114" i="1"/>
  <c r="AM114" i="1" s="1"/>
  <c r="AA112" i="1"/>
  <c r="Y112" i="1"/>
  <c r="X112" i="1"/>
  <c r="AA111" i="1"/>
  <c r="Y111" i="1"/>
  <c r="X111" i="1"/>
  <c r="AK111" i="1"/>
  <c r="AR111" i="1" s="1"/>
  <c r="AA110" i="1"/>
  <c r="Y110" i="1"/>
  <c r="X110" i="1"/>
  <c r="AA109" i="1"/>
  <c r="Y109" i="1"/>
  <c r="X109" i="1"/>
  <c r="AA108" i="1"/>
  <c r="Y108" i="1"/>
  <c r="X108" i="1"/>
  <c r="AA107" i="1"/>
  <c r="Y107" i="1"/>
  <c r="X107" i="1"/>
  <c r="AK107" i="1"/>
  <c r="AA106" i="1"/>
  <c r="Y106" i="1"/>
  <c r="X106" i="1"/>
  <c r="AA105" i="1"/>
  <c r="Y105" i="1"/>
  <c r="X105" i="1"/>
  <c r="AA104" i="1"/>
  <c r="Y104" i="1"/>
  <c r="X104" i="1"/>
  <c r="AA103" i="1"/>
  <c r="Y103" i="1"/>
  <c r="X103" i="1"/>
  <c r="AK103" i="1"/>
  <c r="Z99" i="1"/>
  <c r="Y99" i="1"/>
  <c r="X99" i="1"/>
  <c r="W99" i="1"/>
  <c r="V99" i="1"/>
  <c r="AA93" i="1"/>
  <c r="Z93" i="1"/>
  <c r="AO93" i="1"/>
  <c r="Y93" i="1"/>
  <c r="X93" i="1"/>
  <c r="AA92" i="1"/>
  <c r="Z92" i="1"/>
  <c r="AO92" i="1" s="1"/>
  <c r="Y92" i="1"/>
  <c r="AN92" i="1" s="1"/>
  <c r="X92" i="1"/>
  <c r="AA91" i="1"/>
  <c r="Z91" i="1"/>
  <c r="AO91" i="1" s="1"/>
  <c r="AT91" i="1" s="1"/>
  <c r="Y91" i="1"/>
  <c r="X91" i="1"/>
  <c r="AA90" i="1"/>
  <c r="Z90" i="1"/>
  <c r="AO90" i="1" s="1"/>
  <c r="Y90" i="1"/>
  <c r="X90" i="1"/>
  <c r="AM90" i="1" s="1"/>
  <c r="AK90" i="1"/>
  <c r="AR90" i="1" s="1"/>
  <c r="AA89" i="1"/>
  <c r="Y89" i="1"/>
  <c r="AN89" i="1" s="1"/>
  <c r="X89" i="1"/>
  <c r="AM89" i="1" s="1"/>
  <c r="AA88" i="1"/>
  <c r="Y88" i="1"/>
  <c r="X88" i="1"/>
  <c r="AK88" i="1"/>
  <c r="AA87" i="1"/>
  <c r="Y87" i="1"/>
  <c r="AN87" i="1" s="1"/>
  <c r="X87" i="1"/>
  <c r="AA86" i="1"/>
  <c r="Y86" i="1"/>
  <c r="X86" i="1"/>
  <c r="AA85" i="1"/>
  <c r="Y85" i="1"/>
  <c r="X85" i="1"/>
  <c r="AA84" i="1"/>
  <c r="Y84" i="1"/>
  <c r="X84" i="1"/>
  <c r="AK84" i="1"/>
  <c r="AA83" i="1"/>
  <c r="Y83" i="1"/>
  <c r="X83" i="1"/>
  <c r="AK83" i="1"/>
  <c r="AA82" i="1"/>
  <c r="Y82" i="1"/>
  <c r="X82" i="1"/>
  <c r="H16" i="4"/>
  <c r="H16" i="8" s="1"/>
  <c r="AA81" i="1"/>
  <c r="Y81" i="1"/>
  <c r="X81" i="1"/>
  <c r="AA80" i="1"/>
  <c r="Y80" i="1"/>
  <c r="X80" i="1"/>
  <c r="AK80" i="1"/>
  <c r="AA79" i="1"/>
  <c r="Y79" i="1"/>
  <c r="X79" i="1"/>
  <c r="AA78" i="1"/>
  <c r="Y78" i="1"/>
  <c r="AN78" i="1" s="1"/>
  <c r="X78" i="1"/>
  <c r="AK78" i="1"/>
  <c r="AA77" i="1"/>
  <c r="Y77" i="1"/>
  <c r="AN77" i="1" s="1"/>
  <c r="X77" i="1"/>
  <c r="AA76" i="1"/>
  <c r="Y76" i="1"/>
  <c r="X76" i="1"/>
  <c r="AM76" i="1" s="1"/>
  <c r="AK76" i="1"/>
  <c r="AA75" i="1"/>
  <c r="Y75" i="1"/>
  <c r="X75" i="1"/>
  <c r="AM75" i="1" s="1"/>
  <c r="AA74" i="1"/>
  <c r="Y74" i="1"/>
  <c r="X74" i="1"/>
  <c r="AK74" i="1"/>
  <c r="AR74" i="1" s="1"/>
  <c r="AA73" i="1"/>
  <c r="Y73" i="1"/>
  <c r="X73" i="1"/>
  <c r="AA72" i="1"/>
  <c r="Y72" i="1"/>
  <c r="X72" i="1"/>
  <c r="AM72" i="1" s="1"/>
  <c r="AA71" i="1"/>
  <c r="Y71" i="1"/>
  <c r="X71" i="1"/>
  <c r="AK71" i="1"/>
  <c r="Z69" i="1"/>
  <c r="Y69" i="1"/>
  <c r="X69" i="1"/>
  <c r="Z68" i="1"/>
  <c r="Y68" i="1"/>
  <c r="X68" i="1"/>
  <c r="AL68" i="1"/>
  <c r="Z67" i="1"/>
  <c r="Y67" i="1"/>
  <c r="AN67" i="1" s="1"/>
  <c r="X67" i="1"/>
  <c r="Z66" i="1"/>
  <c r="Y66" i="1"/>
  <c r="AN66" i="1" s="1"/>
  <c r="X66" i="1"/>
  <c r="Z65" i="1"/>
  <c r="Y65" i="1"/>
  <c r="AN65" i="1"/>
  <c r="X65" i="1"/>
  <c r="AL65" i="1"/>
  <c r="AR65" i="1" s="1"/>
  <c r="Z64" i="1"/>
  <c r="Y64" i="1"/>
  <c r="X64" i="1"/>
  <c r="Z63" i="1"/>
  <c r="Y63" i="1"/>
  <c r="X63" i="1"/>
  <c r="AL63" i="1"/>
  <c r="Z62" i="1"/>
  <c r="Y62" i="1"/>
  <c r="X62" i="1"/>
  <c r="AL62" i="1"/>
  <c r="Y61" i="1"/>
  <c r="X61" i="1"/>
  <c r="Y60" i="1"/>
  <c r="X60" i="1"/>
  <c r="Z59" i="1"/>
  <c r="Y59" i="1"/>
  <c r="X59" i="1"/>
  <c r="Z58" i="1"/>
  <c r="Y58" i="1"/>
  <c r="X58" i="1"/>
  <c r="AL58" i="1"/>
  <c r="Z57" i="1"/>
  <c r="Y57" i="1"/>
  <c r="X57" i="1"/>
  <c r="AM57" i="1" s="1"/>
  <c r="Z56" i="1"/>
  <c r="Y56" i="1"/>
  <c r="X56" i="1"/>
  <c r="AA55" i="1"/>
  <c r="Y55" i="1"/>
  <c r="X55" i="1"/>
  <c r="AA54" i="1"/>
  <c r="Y54" i="1"/>
  <c r="AN54" i="1" s="1"/>
  <c r="X54" i="1"/>
  <c r="AK54" i="1"/>
  <c r="AR54" i="1" s="1"/>
  <c r="Z26" i="1"/>
  <c r="Y26" i="1"/>
  <c r="X26" i="1"/>
  <c r="AA25" i="1"/>
  <c r="Z25" i="1"/>
  <c r="Y25" i="1"/>
  <c r="X25" i="1"/>
  <c r="AK25" i="1"/>
  <c r="AA24" i="1"/>
  <c r="Z24" i="1"/>
  <c r="Y24" i="1"/>
  <c r="X24" i="1"/>
  <c r="AK24" i="1"/>
  <c r="AA23" i="1"/>
  <c r="Z23" i="1"/>
  <c r="Y23" i="1"/>
  <c r="X23" i="1"/>
  <c r="AA22" i="1"/>
  <c r="Z22" i="1"/>
  <c r="Y22" i="1"/>
  <c r="X22" i="1"/>
  <c r="AM22" i="1" s="1"/>
  <c r="AA21" i="1"/>
  <c r="Z21" i="1"/>
  <c r="Y21" i="1"/>
  <c r="X21" i="1"/>
  <c r="AK21" i="1"/>
  <c r="AR21" i="1" s="1"/>
  <c r="AA20" i="1"/>
  <c r="Z20" i="1"/>
  <c r="Y20" i="1"/>
  <c r="X20" i="1"/>
  <c r="AA19" i="1"/>
  <c r="Z19" i="1"/>
  <c r="Y19" i="1"/>
  <c r="X19" i="1"/>
  <c r="AA18" i="1"/>
  <c r="Z18" i="1"/>
  <c r="Y18" i="1"/>
  <c r="X18" i="1"/>
  <c r="AK18" i="1"/>
  <c r="AA17" i="1"/>
  <c r="Z17" i="1"/>
  <c r="Y17" i="1"/>
  <c r="X17" i="1"/>
  <c r="AA16" i="1"/>
  <c r="Z16" i="1"/>
  <c r="Y16" i="1"/>
  <c r="X16" i="1"/>
  <c r="Y15" i="1"/>
  <c r="AN15" i="1" s="1"/>
  <c r="X15" i="1"/>
  <c r="AK15" i="1"/>
  <c r="AN823" i="1"/>
  <c r="AN819" i="1"/>
  <c r="AN807" i="1"/>
  <c r="AN803" i="1"/>
  <c r="AN801" i="1"/>
  <c r="AN795" i="1"/>
  <c r="AN779" i="1"/>
  <c r="AN775" i="1"/>
  <c r="AN771" i="1"/>
  <c r="AN761" i="1"/>
  <c r="AN757" i="1"/>
  <c r="AN755" i="1"/>
  <c r="AN753" i="1"/>
  <c r="AN747" i="1"/>
  <c r="AN731" i="1"/>
  <c r="AN725" i="1"/>
  <c r="AN723" i="1"/>
  <c r="AN717" i="1"/>
  <c r="AN703" i="1"/>
  <c r="E20" i="29"/>
  <c r="K20" i="29"/>
  <c r="H20" i="29"/>
  <c r="AJ10" i="1"/>
  <c r="R46" i="33"/>
  <c r="S57" i="33" s="1"/>
  <c r="R43" i="33"/>
  <c r="S55" i="33"/>
  <c r="R40" i="33"/>
  <c r="S53" i="33" s="1"/>
  <c r="R37" i="33"/>
  <c r="T902" i="27"/>
  <c r="T901" i="27"/>
  <c r="T902" i="26"/>
  <c r="T901" i="26"/>
  <c r="T902" i="25"/>
  <c r="T901" i="25"/>
  <c r="P902" i="27"/>
  <c r="P901" i="27"/>
  <c r="P902" i="26"/>
  <c r="P901" i="26"/>
  <c r="P902" i="25"/>
  <c r="P901" i="25"/>
  <c r="T902" i="20"/>
  <c r="T901" i="20"/>
  <c r="P902" i="20"/>
  <c r="P901" i="20"/>
  <c r="K8" i="36"/>
  <c r="O43" i="33"/>
  <c r="P55" i="33" s="1"/>
  <c r="O40" i="33"/>
  <c r="O37" i="33"/>
  <c r="P51" i="33" s="1"/>
  <c r="S14" i="35"/>
  <c r="R22" i="35"/>
  <c r="O22" i="35"/>
  <c r="P49" i="35"/>
  <c r="P14" i="35"/>
  <c r="P33" i="35"/>
  <c r="P27" i="35"/>
  <c r="L12" i="35"/>
  <c r="H12" i="35"/>
  <c r="L20" i="35" s="1"/>
  <c r="N20" i="35" s="1"/>
  <c r="K10" i="35"/>
  <c r="F10" i="35"/>
  <c r="C10" i="35"/>
  <c r="J8" i="35"/>
  <c r="G8" i="35"/>
  <c r="E8" i="35"/>
  <c r="L110" i="35" s="1"/>
  <c r="C8" i="35"/>
  <c r="N10" i="35"/>
  <c r="G6" i="35"/>
  <c r="C6" i="35"/>
  <c r="E2" i="35"/>
  <c r="N1" i="30"/>
  <c r="N1" i="29"/>
  <c r="N1" i="8"/>
  <c r="N1" i="4"/>
  <c r="J8" i="27"/>
  <c r="G8" i="27"/>
  <c r="J8" i="26"/>
  <c r="G8" i="26"/>
  <c r="J8" i="25"/>
  <c r="G8" i="25"/>
  <c r="J8" i="20"/>
  <c r="G8" i="20"/>
  <c r="J8" i="31"/>
  <c r="G8" i="31"/>
  <c r="J8" i="33"/>
  <c r="G8" i="33"/>
  <c r="J8" i="32"/>
  <c r="G8" i="32"/>
  <c r="G1" i="29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6" i="33"/>
  <c r="N65" i="33"/>
  <c r="N64" i="33"/>
  <c r="N18" i="33"/>
  <c r="O65" i="33"/>
  <c r="R32" i="33"/>
  <c r="N21" i="33"/>
  <c r="O32" i="33"/>
  <c r="L12" i="33"/>
  <c r="H12" i="33"/>
  <c r="P65" i="33"/>
  <c r="N16" i="33"/>
  <c r="N15" i="33"/>
  <c r="N14" i="33"/>
  <c r="O46" i="33"/>
  <c r="P57" i="33"/>
  <c r="N31" i="33"/>
  <c r="N30" i="33"/>
  <c r="N29" i="33"/>
  <c r="N28" i="33"/>
  <c r="N27" i="33"/>
  <c r="N26" i="33"/>
  <c r="N25" i="33"/>
  <c r="N24" i="33"/>
  <c r="N23" i="33"/>
  <c r="N22" i="33"/>
  <c r="N20" i="33"/>
  <c r="N19" i="33"/>
  <c r="N17" i="33"/>
  <c r="N67" i="33" s="1"/>
  <c r="K10" i="33"/>
  <c r="F10" i="33"/>
  <c r="C10" i="33"/>
  <c r="E8" i="33"/>
  <c r="C8" i="33"/>
  <c r="N10" i="33"/>
  <c r="G6" i="33"/>
  <c r="C6" i="33"/>
  <c r="E2" i="33"/>
  <c r="AO6" i="1"/>
  <c r="L12" i="27"/>
  <c r="L12" i="26"/>
  <c r="L12" i="25"/>
  <c r="L12" i="20"/>
  <c r="L12" i="31"/>
  <c r="A257" i="31"/>
  <c r="N257" i="31"/>
  <c r="A624" i="27"/>
  <c r="A562" i="27"/>
  <c r="A563" i="27" s="1"/>
  <c r="A564" i="27" s="1"/>
  <c r="N564" i="27" s="1"/>
  <c r="A557" i="27"/>
  <c r="A558" i="27" s="1"/>
  <c r="A559" i="27" s="1"/>
  <c r="A551" i="27"/>
  <c r="A552" i="27" s="1"/>
  <c r="A624" i="26"/>
  <c r="A562" i="26"/>
  <c r="A563" i="26"/>
  <c r="A564" i="26" s="1"/>
  <c r="N564" i="26" s="1"/>
  <c r="A557" i="26"/>
  <c r="A558" i="26"/>
  <c r="A559" i="26" s="1"/>
  <c r="A551" i="26"/>
  <c r="A552" i="26"/>
  <c r="A553" i="26"/>
  <c r="N553" i="26" s="1"/>
  <c r="A624" i="25"/>
  <c r="A562" i="25"/>
  <c r="A563" i="25"/>
  <c r="A564" i="25" s="1"/>
  <c r="N564" i="25" s="1"/>
  <c r="A557" i="25"/>
  <c r="A558" i="25"/>
  <c r="A559" i="25" s="1"/>
  <c r="A551" i="25"/>
  <c r="A552" i="25"/>
  <c r="A553" i="25"/>
  <c r="N553" i="25" s="1"/>
  <c r="A624" i="20"/>
  <c r="A562" i="20"/>
  <c r="A563" i="20"/>
  <c r="A564" i="20" s="1"/>
  <c r="N564" i="20" s="1"/>
  <c r="A557" i="20"/>
  <c r="A558" i="20"/>
  <c r="A559" i="20" s="1"/>
  <c r="A551" i="20"/>
  <c r="A552" i="20"/>
  <c r="A553" i="20"/>
  <c r="N553" i="20" s="1"/>
  <c r="N17" i="32"/>
  <c r="F13" i="32"/>
  <c r="K10" i="32"/>
  <c r="F10" i="32"/>
  <c r="C10" i="32"/>
  <c r="E8" i="32"/>
  <c r="G6" i="32"/>
  <c r="C6" i="32"/>
  <c r="K36" i="29"/>
  <c r="K36" i="30" s="1"/>
  <c r="K35" i="29"/>
  <c r="K35" i="30" s="1"/>
  <c r="H35" i="29"/>
  <c r="H35" i="30" s="1"/>
  <c r="H34" i="29"/>
  <c r="H34" i="30" s="1"/>
  <c r="H36" i="29"/>
  <c r="H36" i="30" s="1"/>
  <c r="E35" i="29"/>
  <c r="E35" i="30" s="1"/>
  <c r="E36" i="29"/>
  <c r="AA187" i="1"/>
  <c r="AP187" i="1" s="1"/>
  <c r="AT187" i="1" s="1"/>
  <c r="AH187" i="1"/>
  <c r="T187" i="1"/>
  <c r="K57" i="29"/>
  <c r="H57" i="29"/>
  <c r="H57" i="30" s="1"/>
  <c r="E57" i="29"/>
  <c r="K26" i="29"/>
  <c r="K26" i="30"/>
  <c r="H26" i="29"/>
  <c r="H26" i="30" s="1"/>
  <c r="E26" i="29"/>
  <c r="E26" i="30" s="1"/>
  <c r="K83" i="29"/>
  <c r="K83" i="30" s="1"/>
  <c r="H83" i="29"/>
  <c r="H83" i="30" s="1"/>
  <c r="E83" i="29"/>
  <c r="E83" i="30" s="1"/>
  <c r="K48" i="29"/>
  <c r="H48" i="29"/>
  <c r="E48" i="29"/>
  <c r="E8" i="27"/>
  <c r="E8" i="26"/>
  <c r="E8" i="25"/>
  <c r="E8" i="20"/>
  <c r="E8" i="31"/>
  <c r="I12" i="31"/>
  <c r="H37" i="29"/>
  <c r="K37" i="29"/>
  <c r="K34" i="29"/>
  <c r="K34" i="30"/>
  <c r="H18" i="29"/>
  <c r="H17" i="29"/>
  <c r="H17" i="30" s="1"/>
  <c r="H16" i="29"/>
  <c r="H16" i="30" s="1"/>
  <c r="H15" i="29"/>
  <c r="H15" i="30" s="1"/>
  <c r="H14" i="29"/>
  <c r="H14" i="30" s="1"/>
  <c r="H13" i="29"/>
  <c r="H13" i="30" s="1"/>
  <c r="H72" i="29"/>
  <c r="H72" i="30" s="1"/>
  <c r="K108" i="29"/>
  <c r="K107" i="29"/>
  <c r="K106" i="29"/>
  <c r="K106" i="30" s="1"/>
  <c r="K105" i="29"/>
  <c r="K105" i="30" s="1"/>
  <c r="K104" i="29"/>
  <c r="K104" i="30" s="1"/>
  <c r="H108" i="29"/>
  <c r="H107" i="29"/>
  <c r="H106" i="29"/>
  <c r="H105" i="29"/>
  <c r="H105" i="30" s="1"/>
  <c r="H104" i="29"/>
  <c r="H104" i="30" s="1"/>
  <c r="K101" i="29"/>
  <c r="K100" i="29"/>
  <c r="K99" i="29"/>
  <c r="K99" i="30" s="1"/>
  <c r="K98" i="29"/>
  <c r="K98" i="30" s="1"/>
  <c r="K97" i="29"/>
  <c r="H101" i="29"/>
  <c r="H100" i="29"/>
  <c r="H99" i="29"/>
  <c r="H98" i="29"/>
  <c r="H98" i="30" s="1"/>
  <c r="H97" i="29"/>
  <c r="H97" i="30" s="1"/>
  <c r="K94" i="29"/>
  <c r="K94" i="30" s="1"/>
  <c r="K93" i="29"/>
  <c r="K93" i="30" s="1"/>
  <c r="K92" i="29"/>
  <c r="K92" i="30" s="1"/>
  <c r="H94" i="29"/>
  <c r="H94" i="30" s="1"/>
  <c r="H93" i="29"/>
  <c r="H93" i="30" s="1"/>
  <c r="H92" i="29"/>
  <c r="H92" i="30" s="1"/>
  <c r="K89" i="29"/>
  <c r="K89" i="30" s="1"/>
  <c r="H89" i="29"/>
  <c r="H89" i="30" s="1"/>
  <c r="H88" i="29"/>
  <c r="H88" i="30" s="1"/>
  <c r="K84" i="29"/>
  <c r="K84" i="30" s="1"/>
  <c r="H84" i="29"/>
  <c r="H84" i="30" s="1"/>
  <c r="K80" i="29"/>
  <c r="K80" i="30" s="1"/>
  <c r="K79" i="29"/>
  <c r="K79" i="30" s="1"/>
  <c r="H80" i="29"/>
  <c r="H80" i="30" s="1"/>
  <c r="H79" i="29"/>
  <c r="H79" i="30" s="1"/>
  <c r="K69" i="29"/>
  <c r="K69" i="30" s="1"/>
  <c r="K68" i="29"/>
  <c r="K68" i="30" s="1"/>
  <c r="H69" i="29"/>
  <c r="H69" i="30" s="1"/>
  <c r="H68" i="29"/>
  <c r="K65" i="29"/>
  <c r="K65" i="30" s="1"/>
  <c r="H65" i="29"/>
  <c r="H65" i="30" s="1"/>
  <c r="H66" i="30" s="1"/>
  <c r="K60" i="29"/>
  <c r="K60" i="30" s="1"/>
  <c r="H60" i="29"/>
  <c r="H60" i="30"/>
  <c r="K56" i="29"/>
  <c r="K56" i="30" s="1"/>
  <c r="K55" i="29"/>
  <c r="K55" i="30" s="1"/>
  <c r="H56" i="29"/>
  <c r="H55" i="29"/>
  <c r="H55" i="30" s="1"/>
  <c r="K50" i="29"/>
  <c r="K49" i="29"/>
  <c r="K47" i="29"/>
  <c r="K45" i="29"/>
  <c r="K44" i="29"/>
  <c r="K44" i="30"/>
  <c r="K43" i="29"/>
  <c r="K43" i="30" s="1"/>
  <c r="H52" i="29"/>
  <c r="H52" i="30"/>
  <c r="H50" i="29"/>
  <c r="H49" i="29"/>
  <c r="H47" i="29"/>
  <c r="H46" i="29"/>
  <c r="H45" i="29"/>
  <c r="H45" i="30" s="1"/>
  <c r="H44" i="29"/>
  <c r="H44" i="30"/>
  <c r="H43" i="29"/>
  <c r="H43" i="30" s="1"/>
  <c r="K32" i="29"/>
  <c r="K32" i="30"/>
  <c r="H32" i="29"/>
  <c r="H32" i="30" s="1"/>
  <c r="K25" i="29"/>
  <c r="K25" i="30"/>
  <c r="K24" i="29"/>
  <c r="K24" i="30" s="1"/>
  <c r="H25" i="29"/>
  <c r="H25" i="30"/>
  <c r="H24" i="29"/>
  <c r="H24" i="30" s="1"/>
  <c r="K18" i="29"/>
  <c r="K18" i="30"/>
  <c r="K17" i="29"/>
  <c r="K17" i="30" s="1"/>
  <c r="K16" i="29"/>
  <c r="K16" i="30"/>
  <c r="K15" i="29"/>
  <c r="K15" i="30" s="1"/>
  <c r="K14" i="29"/>
  <c r="K14" i="30"/>
  <c r="K13" i="29"/>
  <c r="K13" i="30" s="1"/>
  <c r="Y337" i="31"/>
  <c r="X337" i="31"/>
  <c r="Y396" i="31"/>
  <c r="X396" i="31"/>
  <c r="Y461" i="31"/>
  <c r="X461" i="31"/>
  <c r="Y460" i="31"/>
  <c r="X460" i="31"/>
  <c r="AA460" i="31" s="1"/>
  <c r="Y459" i="31"/>
  <c r="X459" i="31"/>
  <c r="Y458" i="31"/>
  <c r="X458" i="31"/>
  <c r="Y457" i="31"/>
  <c r="X457" i="31"/>
  <c r="Y456" i="31"/>
  <c r="X456" i="31"/>
  <c r="Y455" i="31"/>
  <c r="X455" i="31"/>
  <c r="Y454" i="31"/>
  <c r="X454" i="31"/>
  <c r="Y453" i="31"/>
  <c r="X453" i="31"/>
  <c r="Y452" i="31"/>
  <c r="X452" i="31"/>
  <c r="AA452" i="31"/>
  <c r="Y451" i="31"/>
  <c r="X451" i="31"/>
  <c r="Y450" i="31"/>
  <c r="X450" i="31"/>
  <c r="Y449" i="31"/>
  <c r="X449" i="31"/>
  <c r="Y448" i="31"/>
  <c r="X448" i="31"/>
  <c r="Y447" i="31"/>
  <c r="X447" i="31"/>
  <c r="Y446" i="31"/>
  <c r="X446" i="31"/>
  <c r="Y445" i="31"/>
  <c r="X445" i="31"/>
  <c r="Y444" i="31"/>
  <c r="X444" i="31"/>
  <c r="AA444" i="31" s="1"/>
  <c r="Y443" i="31"/>
  <c r="X443" i="31"/>
  <c r="Y442" i="31"/>
  <c r="X442" i="31"/>
  <c r="Y441" i="31"/>
  <c r="X441" i="31"/>
  <c r="Y440" i="31"/>
  <c r="X440" i="31"/>
  <c r="Y439" i="31"/>
  <c r="X439" i="31"/>
  <c r="Y438" i="31"/>
  <c r="X438" i="31"/>
  <c r="Y437" i="31"/>
  <c r="X437" i="31"/>
  <c r="Y436" i="31"/>
  <c r="X436" i="31"/>
  <c r="AA436" i="31" s="1"/>
  <c r="Y435" i="31"/>
  <c r="X435" i="31"/>
  <c r="Y434" i="31"/>
  <c r="X434" i="31"/>
  <c r="Y433" i="31"/>
  <c r="X433" i="31"/>
  <c r="AA433" i="31" s="1"/>
  <c r="Y432" i="31"/>
  <c r="X432" i="31"/>
  <c r="Y431" i="31"/>
  <c r="X431" i="31"/>
  <c r="Y430" i="31"/>
  <c r="X430" i="31"/>
  <c r="Y429" i="31"/>
  <c r="X429" i="31"/>
  <c r="Y428" i="31"/>
  <c r="X428" i="31"/>
  <c r="Y427" i="31"/>
  <c r="X427" i="31"/>
  <c r="Y426" i="31"/>
  <c r="X426" i="31"/>
  <c r="AA426" i="31" s="1"/>
  <c r="Y425" i="31"/>
  <c r="X425" i="31"/>
  <c r="Y424" i="31"/>
  <c r="X424" i="31"/>
  <c r="Y423" i="31"/>
  <c r="X423" i="31"/>
  <c r="AA423" i="31"/>
  <c r="Y422" i="31"/>
  <c r="X422" i="31"/>
  <c r="Y421" i="31"/>
  <c r="X421" i="31"/>
  <c r="Y420" i="31"/>
  <c r="X420" i="31"/>
  <c r="AA420" i="31" s="1"/>
  <c r="Y419" i="31"/>
  <c r="X419" i="31"/>
  <c r="Y418" i="31"/>
  <c r="X418" i="31"/>
  <c r="Y417" i="31"/>
  <c r="X417" i="31"/>
  <c r="Y416" i="31"/>
  <c r="X416" i="31"/>
  <c r="AA416" i="31"/>
  <c r="Y415" i="31"/>
  <c r="X415" i="31"/>
  <c r="Y414" i="31"/>
  <c r="X414" i="31"/>
  <c r="Y413" i="31"/>
  <c r="X413" i="31"/>
  <c r="Y412" i="31"/>
  <c r="X412" i="31"/>
  <c r="Y411" i="31"/>
  <c r="X411" i="31"/>
  <c r="Y410" i="31"/>
  <c r="X410" i="31"/>
  <c r="AA410" i="31" s="1"/>
  <c r="Y409" i="31"/>
  <c r="X409" i="31"/>
  <c r="Y408" i="31"/>
  <c r="X408" i="31"/>
  <c r="Y407" i="31"/>
  <c r="X407" i="31"/>
  <c r="Y406" i="31"/>
  <c r="X406" i="31"/>
  <c r="Y405" i="31"/>
  <c r="X405" i="31"/>
  <c r="Y404" i="31"/>
  <c r="X404" i="31"/>
  <c r="AA404" i="31" s="1"/>
  <c r="Y403" i="31"/>
  <c r="X403" i="31"/>
  <c r="Y402" i="31"/>
  <c r="X402" i="31"/>
  <c r="AA402" i="31"/>
  <c r="Y401" i="31"/>
  <c r="X401" i="31"/>
  <c r="Y400" i="31"/>
  <c r="X400" i="31"/>
  <c r="Y399" i="31"/>
  <c r="X399" i="31"/>
  <c r="Y398" i="31"/>
  <c r="X398" i="31"/>
  <c r="Y397" i="31"/>
  <c r="X397" i="31"/>
  <c r="Y395" i="31"/>
  <c r="X395" i="31"/>
  <c r="Y394" i="31"/>
  <c r="X394" i="31"/>
  <c r="Y393" i="31"/>
  <c r="X393" i="31"/>
  <c r="Y392" i="31"/>
  <c r="X392" i="31"/>
  <c r="Y391" i="31"/>
  <c r="X391" i="31"/>
  <c r="Y390" i="31"/>
  <c r="X390" i="31"/>
  <c r="Y389" i="31"/>
  <c r="X389" i="31"/>
  <c r="Y388" i="31"/>
  <c r="X388" i="31"/>
  <c r="Y387" i="31"/>
  <c r="X387" i="31"/>
  <c r="AA387" i="31" s="1"/>
  <c r="Y386" i="31"/>
  <c r="X386" i="31"/>
  <c r="Y385" i="31"/>
  <c r="X385" i="31"/>
  <c r="Y384" i="31"/>
  <c r="X384" i="31"/>
  <c r="Y383" i="31"/>
  <c r="X383" i="31"/>
  <c r="Y382" i="31"/>
  <c r="X382" i="31"/>
  <c r="Y381" i="31"/>
  <c r="X381" i="31"/>
  <c r="AA381" i="31" s="1"/>
  <c r="Y380" i="31"/>
  <c r="X380" i="31"/>
  <c r="Y379" i="31"/>
  <c r="X379" i="31"/>
  <c r="Y378" i="31"/>
  <c r="X378" i="31"/>
  <c r="Y377" i="31"/>
  <c r="X377" i="31"/>
  <c r="AA377" i="31" s="1"/>
  <c r="Y376" i="31"/>
  <c r="X376" i="31"/>
  <c r="Y375" i="31"/>
  <c r="X375" i="31"/>
  <c r="Y374" i="31"/>
  <c r="X374" i="31"/>
  <c r="Y373" i="31"/>
  <c r="X373" i="31"/>
  <c r="Y372" i="31"/>
  <c r="X372" i="31"/>
  <c r="Y371" i="31"/>
  <c r="X371" i="31"/>
  <c r="Y370" i="31"/>
  <c r="X370" i="31"/>
  <c r="Y369" i="31"/>
  <c r="X369" i="31"/>
  <c r="Y368" i="31"/>
  <c r="X368" i="31"/>
  <c r="Y367" i="31"/>
  <c r="AA367" i="31"/>
  <c r="X367" i="31"/>
  <c r="Y366" i="31"/>
  <c r="X366" i="31"/>
  <c r="Y365" i="31"/>
  <c r="X365" i="31"/>
  <c r="Y364" i="31"/>
  <c r="X364" i="31"/>
  <c r="Y363" i="31"/>
  <c r="X363" i="31"/>
  <c r="Y362" i="31"/>
  <c r="X362" i="31"/>
  <c r="Y361" i="31"/>
  <c r="X361" i="31"/>
  <c r="Y360" i="31"/>
  <c r="X360" i="31"/>
  <c r="Y359" i="31"/>
  <c r="X359" i="31"/>
  <c r="Y358" i="31"/>
  <c r="X358" i="31"/>
  <c r="Y357" i="31"/>
  <c r="X357" i="31"/>
  <c r="Y356" i="31"/>
  <c r="X356" i="31"/>
  <c r="Y355" i="31"/>
  <c r="X355" i="31"/>
  <c r="Y354" i="31"/>
  <c r="X354" i="31"/>
  <c r="Y353" i="31"/>
  <c r="X353" i="31"/>
  <c r="AA353" i="31" s="1"/>
  <c r="Y352" i="31"/>
  <c r="X352" i="31"/>
  <c r="Y351" i="31"/>
  <c r="X351" i="31"/>
  <c r="Y350" i="31"/>
  <c r="X350" i="31"/>
  <c r="Y349" i="31"/>
  <c r="X349" i="31"/>
  <c r="Y348" i="31"/>
  <c r="X348" i="31"/>
  <c r="Y347" i="31"/>
  <c r="X347" i="31"/>
  <c r="Y346" i="31"/>
  <c r="X346" i="31"/>
  <c r="AA346" i="31" s="1"/>
  <c r="Y345" i="31"/>
  <c r="X345" i="31"/>
  <c r="Y344" i="31"/>
  <c r="X344" i="31"/>
  <c r="AA344" i="31"/>
  <c r="Y343" i="31"/>
  <c r="X343" i="31"/>
  <c r="Y342" i="31"/>
  <c r="X342" i="31"/>
  <c r="Y341" i="31"/>
  <c r="X341" i="31"/>
  <c r="Y340" i="31"/>
  <c r="X340" i="31"/>
  <c r="Y339" i="31"/>
  <c r="X339" i="31"/>
  <c r="Y338" i="31"/>
  <c r="X338" i="31"/>
  <c r="Y336" i="31"/>
  <c r="X336" i="31"/>
  <c r="Y335" i="31"/>
  <c r="X335" i="31"/>
  <c r="Y334" i="31"/>
  <c r="X334" i="31"/>
  <c r="Y333" i="31"/>
  <c r="X333" i="31"/>
  <c r="Y332" i="31"/>
  <c r="X332" i="31"/>
  <c r="Y331" i="31"/>
  <c r="X331" i="31"/>
  <c r="Y330" i="31"/>
  <c r="X330" i="31"/>
  <c r="Y329" i="31"/>
  <c r="X329" i="31"/>
  <c r="Y328" i="31"/>
  <c r="X328" i="31"/>
  <c r="Y327" i="31"/>
  <c r="X327" i="31"/>
  <c r="Y326" i="31"/>
  <c r="X326" i="31"/>
  <c r="Y325" i="31"/>
  <c r="X325" i="31"/>
  <c r="Y324" i="31"/>
  <c r="X324" i="31"/>
  <c r="Y323" i="31"/>
  <c r="X323" i="31"/>
  <c r="Y322" i="31"/>
  <c r="X322" i="31"/>
  <c r="Y321" i="31"/>
  <c r="X321" i="31"/>
  <c r="Y320" i="31"/>
  <c r="X320" i="31"/>
  <c r="AA320" i="31" s="1"/>
  <c r="Y319" i="31"/>
  <c r="X319" i="31"/>
  <c r="Y318" i="31"/>
  <c r="X318" i="31"/>
  <c r="Y317" i="31"/>
  <c r="X317" i="31"/>
  <c r="Y316" i="31"/>
  <c r="X316" i="31"/>
  <c r="Y315" i="31"/>
  <c r="X315" i="31"/>
  <c r="Y314" i="31"/>
  <c r="X314" i="31"/>
  <c r="Y313" i="31"/>
  <c r="X313" i="31"/>
  <c r="AA313" i="31" s="1"/>
  <c r="Y312" i="31"/>
  <c r="X312" i="31"/>
  <c r="Y311" i="31"/>
  <c r="X311" i="31"/>
  <c r="Y310" i="31"/>
  <c r="X310" i="31"/>
  <c r="Y309" i="31"/>
  <c r="X309" i="31"/>
  <c r="Y308" i="31"/>
  <c r="X308" i="31"/>
  <c r="Y307" i="31"/>
  <c r="X307" i="31"/>
  <c r="Y306" i="31"/>
  <c r="X306" i="31"/>
  <c r="Y305" i="31"/>
  <c r="X305" i="31"/>
  <c r="Y304" i="31"/>
  <c r="X304" i="31"/>
  <c r="Y303" i="31"/>
  <c r="X303" i="31"/>
  <c r="Y302" i="31"/>
  <c r="X302" i="31"/>
  <c r="Y301" i="31"/>
  <c r="X301" i="31"/>
  <c r="Y299" i="31"/>
  <c r="X299" i="31"/>
  <c r="Y298" i="31"/>
  <c r="X298" i="31"/>
  <c r="Y297" i="31"/>
  <c r="X297" i="31"/>
  <c r="Y296" i="31"/>
  <c r="X296" i="31"/>
  <c r="Y295" i="31"/>
  <c r="X295" i="31"/>
  <c r="Y294" i="31"/>
  <c r="X294" i="31"/>
  <c r="Y293" i="31"/>
  <c r="X293" i="31"/>
  <c r="Y292" i="31"/>
  <c r="X292" i="31"/>
  <c r="Y291" i="31"/>
  <c r="X291" i="31"/>
  <c r="Y290" i="31"/>
  <c r="X290" i="31"/>
  <c r="Y289" i="31"/>
  <c r="X289" i="31"/>
  <c r="Y288" i="31"/>
  <c r="X288" i="31"/>
  <c r="Y287" i="31"/>
  <c r="X287" i="31"/>
  <c r="Y286" i="31"/>
  <c r="X286" i="31"/>
  <c r="Y285" i="31"/>
  <c r="X285" i="31"/>
  <c r="Y284" i="31"/>
  <c r="X284" i="31"/>
  <c r="Y283" i="31"/>
  <c r="X283" i="31"/>
  <c r="Y282" i="31"/>
  <c r="X282" i="31"/>
  <c r="Y281" i="31"/>
  <c r="X281" i="31"/>
  <c r="Y280" i="31"/>
  <c r="X280" i="31"/>
  <c r="Y279" i="31"/>
  <c r="X279" i="31"/>
  <c r="Y278" i="31"/>
  <c r="X278" i="31"/>
  <c r="Y277" i="31"/>
  <c r="X277" i="31"/>
  <c r="Y276" i="31"/>
  <c r="X276" i="31"/>
  <c r="Y275" i="31"/>
  <c r="X275" i="31"/>
  <c r="Y274" i="31"/>
  <c r="X274" i="31"/>
  <c r="Y272" i="31"/>
  <c r="X272" i="31"/>
  <c r="Y271" i="31"/>
  <c r="X271" i="31"/>
  <c r="Y270" i="31"/>
  <c r="X270" i="31"/>
  <c r="Y269" i="31"/>
  <c r="X269" i="31"/>
  <c r="Y268" i="31"/>
  <c r="X268" i="31"/>
  <c r="Y267" i="31"/>
  <c r="X267" i="31"/>
  <c r="Y266" i="31"/>
  <c r="X266" i="31"/>
  <c r="Y265" i="31"/>
  <c r="X265" i="31"/>
  <c r="Y264" i="31"/>
  <c r="X264" i="31"/>
  <c r="Y263" i="31"/>
  <c r="X263" i="31"/>
  <c r="Y262" i="31"/>
  <c r="X262" i="31"/>
  <c r="Y261" i="31"/>
  <c r="X261" i="31"/>
  <c r="AA261" i="31" s="1"/>
  <c r="Y260" i="31"/>
  <c r="X260" i="31"/>
  <c r="Y259" i="31"/>
  <c r="X259" i="31"/>
  <c r="Y258" i="31"/>
  <c r="X258" i="31"/>
  <c r="Y257" i="31"/>
  <c r="X257" i="31"/>
  <c r="AA257" i="31"/>
  <c r="Y256" i="31"/>
  <c r="X256" i="31"/>
  <c r="Y255" i="31"/>
  <c r="X255" i="31"/>
  <c r="Y254" i="31"/>
  <c r="X254" i="31"/>
  <c r="Y253" i="31"/>
  <c r="X253" i="31"/>
  <c r="AA253" i="31" s="1"/>
  <c r="Y252" i="31"/>
  <c r="X252" i="31"/>
  <c r="Y251" i="31"/>
  <c r="X251" i="31"/>
  <c r="Y250" i="31"/>
  <c r="X250" i="31"/>
  <c r="Y249" i="31"/>
  <c r="X249" i="31"/>
  <c r="Y248" i="31"/>
  <c r="X248" i="31"/>
  <c r="Y247" i="31"/>
  <c r="X247" i="31"/>
  <c r="Y246" i="31"/>
  <c r="X246" i="31"/>
  <c r="Y245" i="31"/>
  <c r="X245" i="31"/>
  <c r="Y244" i="31"/>
  <c r="X244" i="31"/>
  <c r="Y243" i="31"/>
  <c r="X243" i="31"/>
  <c r="Y242" i="31"/>
  <c r="X242" i="31"/>
  <c r="Y240" i="31"/>
  <c r="AA240" i="31" s="1"/>
  <c r="X240" i="31"/>
  <c r="Y239" i="31"/>
  <c r="X239" i="31"/>
  <c r="Y238" i="31"/>
  <c r="X238" i="31"/>
  <c r="X241" i="31"/>
  <c r="X237" i="31"/>
  <c r="AA237" i="31" s="1"/>
  <c r="Y236" i="31"/>
  <c r="X236" i="31"/>
  <c r="Y235" i="31"/>
  <c r="X235" i="31"/>
  <c r="Y233" i="31"/>
  <c r="X233" i="31"/>
  <c r="Y232" i="31"/>
  <c r="X232" i="31"/>
  <c r="Y231" i="31"/>
  <c r="X231" i="31"/>
  <c r="Y230" i="31"/>
  <c r="X230" i="31"/>
  <c r="Y229" i="31"/>
  <c r="X229" i="31"/>
  <c r="Y228" i="31"/>
  <c r="X228" i="31"/>
  <c r="Y227" i="31"/>
  <c r="X227" i="31"/>
  <c r="Y226" i="31"/>
  <c r="X226" i="31"/>
  <c r="AA226" i="31" s="1"/>
  <c r="Y225" i="31"/>
  <c r="X225" i="31"/>
  <c r="Y224" i="31"/>
  <c r="X224" i="31"/>
  <c r="AA224" i="31"/>
  <c r="Y223" i="31"/>
  <c r="X223" i="31"/>
  <c r="AA223" i="31" s="1"/>
  <c r="Y222" i="31"/>
  <c r="X222" i="31"/>
  <c r="AA222" i="31" s="1"/>
  <c r="Y221" i="31"/>
  <c r="X221" i="31"/>
  <c r="Y220" i="31"/>
  <c r="X220" i="31"/>
  <c r="Y219" i="31"/>
  <c r="X219" i="31"/>
  <c r="Y218" i="31"/>
  <c r="X218" i="31"/>
  <c r="Y217" i="31"/>
  <c r="X217" i="31"/>
  <c r="Y216" i="31"/>
  <c r="X216" i="31"/>
  <c r="AA216" i="31" s="1"/>
  <c r="Y215" i="31"/>
  <c r="X215" i="31"/>
  <c r="Y214" i="31"/>
  <c r="X214" i="31"/>
  <c r="Y213" i="31"/>
  <c r="X213" i="31"/>
  <c r="X212" i="31"/>
  <c r="Y211" i="31"/>
  <c r="AA211" i="31"/>
  <c r="Y210" i="31"/>
  <c r="Y209" i="31"/>
  <c r="X208" i="31"/>
  <c r="AA208" i="31"/>
  <c r="X207" i="31"/>
  <c r="AA207" i="31" s="1"/>
  <c r="X206" i="31"/>
  <c r="Y205" i="31"/>
  <c r="AA205" i="31" s="1"/>
  <c r="Y204" i="31"/>
  <c r="Y202" i="31"/>
  <c r="AA202" i="31"/>
  <c r="Y201" i="31"/>
  <c r="AA201" i="31" s="1"/>
  <c r="Y200" i="31"/>
  <c r="Y199" i="31"/>
  <c r="Y198" i="31"/>
  <c r="X198" i="31"/>
  <c r="AA198" i="31" s="1"/>
  <c r="Y197" i="31"/>
  <c r="X197" i="31"/>
  <c r="Y196" i="31"/>
  <c r="X196" i="31"/>
  <c r="Y195" i="31"/>
  <c r="X195" i="31"/>
  <c r="Y194" i="31"/>
  <c r="X194" i="31"/>
  <c r="Y193" i="31"/>
  <c r="X193" i="31"/>
  <c r="Y192" i="31"/>
  <c r="X192" i="31"/>
  <c r="AA192" i="31" s="1"/>
  <c r="Y191" i="31"/>
  <c r="X191" i="31"/>
  <c r="Y190" i="31"/>
  <c r="X190" i="31"/>
  <c r="AA190" i="31" s="1"/>
  <c r="Y189" i="31"/>
  <c r="X189" i="31"/>
  <c r="Y188" i="31"/>
  <c r="X188" i="31"/>
  <c r="AA188" i="31" s="1"/>
  <c r="Y187" i="31"/>
  <c r="X187" i="31"/>
  <c r="Y186" i="31"/>
  <c r="X186" i="31"/>
  <c r="Y185" i="31"/>
  <c r="X185" i="31"/>
  <c r="Y184" i="31"/>
  <c r="X184" i="31"/>
  <c r="Y183" i="31"/>
  <c r="X183" i="31"/>
  <c r="Y182" i="31"/>
  <c r="X182" i="31"/>
  <c r="AA182" i="31" s="1"/>
  <c r="Y181" i="31"/>
  <c r="X181" i="31"/>
  <c r="Y180" i="31"/>
  <c r="X180" i="31"/>
  <c r="Y179" i="31"/>
  <c r="X179" i="31"/>
  <c r="Y178" i="31"/>
  <c r="X178" i="31"/>
  <c r="Y177" i="31"/>
  <c r="X177" i="31"/>
  <c r="Y176" i="31"/>
  <c r="X176" i="31"/>
  <c r="Y175" i="31"/>
  <c r="X175" i="31"/>
  <c r="Y174" i="31"/>
  <c r="X174" i="31"/>
  <c r="AA174" i="31"/>
  <c r="Y173" i="31"/>
  <c r="X173" i="31"/>
  <c r="AA173" i="31" s="1"/>
  <c r="Y172" i="31"/>
  <c r="X172" i="31"/>
  <c r="Y171" i="31"/>
  <c r="X171" i="31"/>
  <c r="Y170" i="31"/>
  <c r="X170" i="31"/>
  <c r="Y169" i="31"/>
  <c r="X169" i="31"/>
  <c r="Y168" i="31"/>
  <c r="X168" i="31"/>
  <c r="Y167" i="31"/>
  <c r="X167" i="31"/>
  <c r="Y166" i="31"/>
  <c r="X166" i="31"/>
  <c r="Y165" i="31"/>
  <c r="X165" i="31"/>
  <c r="Y164" i="31"/>
  <c r="X164" i="31"/>
  <c r="Y163" i="31"/>
  <c r="X163" i="31"/>
  <c r="Y162" i="31"/>
  <c r="X162" i="31"/>
  <c r="Y161" i="31"/>
  <c r="X161" i="31"/>
  <c r="Y160" i="31"/>
  <c r="X160" i="31"/>
  <c r="Y159" i="31"/>
  <c r="X159" i="31"/>
  <c r="Y158" i="31"/>
  <c r="X158" i="31"/>
  <c r="Y157" i="31"/>
  <c r="X157" i="31"/>
  <c r="AA157" i="31"/>
  <c r="Y156" i="31"/>
  <c r="X156" i="31"/>
  <c r="Y155" i="31"/>
  <c r="X155" i="31"/>
  <c r="Y154" i="31"/>
  <c r="X154" i="31"/>
  <c r="Y153" i="31"/>
  <c r="X153" i="31"/>
  <c r="Y152" i="31"/>
  <c r="X152" i="31"/>
  <c r="Y151" i="31"/>
  <c r="X151" i="31"/>
  <c r="Y150" i="31"/>
  <c r="X150" i="31"/>
  <c r="Y149" i="31"/>
  <c r="X149" i="31"/>
  <c r="Y148" i="31"/>
  <c r="X148" i="31"/>
  <c r="Y147" i="31"/>
  <c r="X147" i="31"/>
  <c r="Y146" i="31"/>
  <c r="X146" i="31"/>
  <c r="Y145" i="31"/>
  <c r="X145" i="31"/>
  <c r="AA145" i="31" s="1"/>
  <c r="Y144" i="31"/>
  <c r="X144" i="31"/>
  <c r="Y143" i="31"/>
  <c r="X143" i="31"/>
  <c r="Y142" i="31"/>
  <c r="X142" i="31"/>
  <c r="Y141" i="31"/>
  <c r="AA141" i="31" s="1"/>
  <c r="X141" i="31"/>
  <c r="Y140" i="31"/>
  <c r="X140" i="31"/>
  <c r="Y139" i="31"/>
  <c r="X139" i="31"/>
  <c r="Y138" i="31"/>
  <c r="X138" i="31"/>
  <c r="Y137" i="31"/>
  <c r="X137" i="31"/>
  <c r="Y136" i="31"/>
  <c r="X136" i="31"/>
  <c r="Y135" i="31"/>
  <c r="X135" i="31"/>
  <c r="Y134" i="31"/>
  <c r="X134" i="31"/>
  <c r="Y133" i="31"/>
  <c r="X133" i="31"/>
  <c r="Y132" i="31"/>
  <c r="X132" i="31"/>
  <c r="Y131" i="31"/>
  <c r="X131" i="31"/>
  <c r="Y130" i="31"/>
  <c r="X130" i="31"/>
  <c r="Y129" i="31"/>
  <c r="X129" i="31"/>
  <c r="Y128" i="31"/>
  <c r="X128" i="31"/>
  <c r="Y127" i="31"/>
  <c r="X127" i="31"/>
  <c r="Y126" i="31"/>
  <c r="X126" i="31"/>
  <c r="Y125" i="31"/>
  <c r="X125" i="31"/>
  <c r="AA125" i="31" s="1"/>
  <c r="Y124" i="31"/>
  <c r="X124" i="31"/>
  <c r="Y123" i="31"/>
  <c r="X123" i="31"/>
  <c r="Y122" i="31"/>
  <c r="X122" i="31"/>
  <c r="Y121" i="31"/>
  <c r="X121" i="31"/>
  <c r="Y120" i="31"/>
  <c r="X120" i="31"/>
  <c r="Y119" i="31"/>
  <c r="X119" i="31"/>
  <c r="Y118" i="31"/>
  <c r="X118" i="31"/>
  <c r="Y117" i="31"/>
  <c r="X117" i="31"/>
  <c r="Y116" i="31"/>
  <c r="X116" i="31"/>
  <c r="Y115" i="31"/>
  <c r="X115" i="31"/>
  <c r="Y114" i="31"/>
  <c r="X114" i="31"/>
  <c r="Y113" i="31"/>
  <c r="X113" i="31"/>
  <c r="Y112" i="31"/>
  <c r="X112" i="31"/>
  <c r="Y111" i="31"/>
  <c r="X111" i="31"/>
  <c r="Y110" i="31"/>
  <c r="X110" i="31"/>
  <c r="Y109" i="31"/>
  <c r="X109" i="31"/>
  <c r="AA109" i="31"/>
  <c r="Y108" i="31"/>
  <c r="X108" i="31"/>
  <c r="Y107" i="31"/>
  <c r="X107" i="31"/>
  <c r="Y106" i="31"/>
  <c r="X106" i="31"/>
  <c r="Y105" i="31"/>
  <c r="X105" i="31"/>
  <c r="Y104" i="31"/>
  <c r="X104" i="31"/>
  <c r="Y103" i="31"/>
  <c r="X103" i="31"/>
  <c r="Y102" i="31"/>
  <c r="X102" i="31"/>
  <c r="Y101" i="31"/>
  <c r="X101" i="31"/>
  <c r="Y100" i="31"/>
  <c r="X100" i="31"/>
  <c r="Y99" i="31"/>
  <c r="X99" i="31"/>
  <c r="Y98" i="31"/>
  <c r="X98" i="31"/>
  <c r="Y97" i="31"/>
  <c r="X97" i="31"/>
  <c r="Y96" i="31"/>
  <c r="X96" i="31"/>
  <c r="Y95" i="31"/>
  <c r="X95" i="31"/>
  <c r="Y94" i="31"/>
  <c r="X94" i="31"/>
  <c r="Y93" i="31"/>
  <c r="X93" i="31"/>
  <c r="AA93" i="31" s="1"/>
  <c r="Y92" i="31"/>
  <c r="X92" i="31"/>
  <c r="Y91" i="31"/>
  <c r="X91" i="31"/>
  <c r="Y90" i="31"/>
  <c r="X90" i="31"/>
  <c r="Y89" i="31"/>
  <c r="X89" i="31"/>
  <c r="Y88" i="31"/>
  <c r="X88" i="31"/>
  <c r="Y87" i="31"/>
  <c r="X87" i="31"/>
  <c r="Y86" i="31"/>
  <c r="X86" i="31"/>
  <c r="Y85" i="31"/>
  <c r="X85" i="31"/>
  <c r="Y84" i="31"/>
  <c r="X84" i="31"/>
  <c r="Y83" i="31"/>
  <c r="X83" i="31"/>
  <c r="Y82" i="31"/>
  <c r="X82" i="31"/>
  <c r="AA82" i="31"/>
  <c r="Y81" i="31"/>
  <c r="X81" i="31"/>
  <c r="Y80" i="31"/>
  <c r="X80" i="31"/>
  <c r="Y79" i="31"/>
  <c r="X79" i="31"/>
  <c r="Y78" i="31"/>
  <c r="X78" i="31"/>
  <c r="Y77" i="31"/>
  <c r="X77" i="31"/>
  <c r="Y76" i="31"/>
  <c r="X76" i="31"/>
  <c r="Y75" i="31"/>
  <c r="X75" i="31"/>
  <c r="Y74" i="31"/>
  <c r="X74" i="31"/>
  <c r="Y73" i="31"/>
  <c r="X73" i="31"/>
  <c r="Y72" i="31"/>
  <c r="X72" i="31"/>
  <c r="Y71" i="31"/>
  <c r="X71" i="31"/>
  <c r="Y70" i="31"/>
  <c r="X70" i="31"/>
  <c r="Y69" i="31"/>
  <c r="X69" i="31"/>
  <c r="Y68" i="31"/>
  <c r="X68" i="31"/>
  <c r="Y67" i="31"/>
  <c r="X67" i="31"/>
  <c r="Y66" i="31"/>
  <c r="X66" i="31"/>
  <c r="Y65" i="31"/>
  <c r="X65" i="31"/>
  <c r="Y64" i="31"/>
  <c r="X64" i="31"/>
  <c r="Y63" i="31"/>
  <c r="X63" i="31"/>
  <c r="Y62" i="31"/>
  <c r="X62" i="31"/>
  <c r="Y61" i="31"/>
  <c r="X61" i="31"/>
  <c r="Y60" i="31"/>
  <c r="X60" i="31"/>
  <c r="Y59" i="31"/>
  <c r="X59" i="31"/>
  <c r="Y58" i="31"/>
  <c r="X58" i="31"/>
  <c r="Y57" i="31"/>
  <c r="X57" i="31"/>
  <c r="Y56" i="31"/>
  <c r="X56" i="31"/>
  <c r="Y55" i="31"/>
  <c r="X55" i="31"/>
  <c r="Y54" i="31"/>
  <c r="X54" i="31"/>
  <c r="Y53" i="31"/>
  <c r="X53" i="31"/>
  <c r="Y52" i="31"/>
  <c r="X52" i="31"/>
  <c r="Y51" i="31"/>
  <c r="X51" i="31"/>
  <c r="Y50" i="31"/>
  <c r="X50" i="31"/>
  <c r="Y49" i="31"/>
  <c r="AA49" i="31" s="1"/>
  <c r="X48" i="31"/>
  <c r="AA48" i="31"/>
  <c r="Y47" i="31"/>
  <c r="X47" i="31"/>
  <c r="AA47" i="31" s="1"/>
  <c r="Y46" i="31"/>
  <c r="X46" i="31"/>
  <c r="Y45" i="31"/>
  <c r="X45" i="31"/>
  <c r="Y44" i="31"/>
  <c r="X44" i="31"/>
  <c r="Y43" i="31"/>
  <c r="X43" i="31"/>
  <c r="Y42" i="31"/>
  <c r="X42" i="31"/>
  <c r="Y41" i="31"/>
  <c r="X41" i="31"/>
  <c r="Y40" i="31"/>
  <c r="X40" i="31"/>
  <c r="Y39" i="31"/>
  <c r="X39" i="31"/>
  <c r="Y38" i="31"/>
  <c r="X38" i="31"/>
  <c r="Y37" i="31"/>
  <c r="X37" i="31"/>
  <c r="Y36" i="31"/>
  <c r="X36" i="31"/>
  <c r="Y35" i="31"/>
  <c r="X35" i="31"/>
  <c r="Y34" i="31"/>
  <c r="X34" i="31"/>
  <c r="Y33" i="31"/>
  <c r="X33" i="31"/>
  <c r="Y32" i="31"/>
  <c r="X32" i="31"/>
  <c r="Y31" i="31"/>
  <c r="X31" i="31"/>
  <c r="Y30" i="31"/>
  <c r="X30" i="31"/>
  <c r="Y29" i="31"/>
  <c r="X29" i="31"/>
  <c r="Y28" i="31"/>
  <c r="X28" i="31"/>
  <c r="Y27" i="31"/>
  <c r="X27" i="31"/>
  <c r="Y26" i="31"/>
  <c r="X26" i="31"/>
  <c r="Y25" i="31"/>
  <c r="X25" i="31"/>
  <c r="Y24" i="31"/>
  <c r="X24" i="31"/>
  <c r="Y23" i="31"/>
  <c r="X23" i="31"/>
  <c r="Y22" i="31"/>
  <c r="X22" i="31"/>
  <c r="Y21" i="31"/>
  <c r="X21" i="31"/>
  <c r="Y20" i="31"/>
  <c r="X20" i="31"/>
  <c r="Y19" i="31"/>
  <c r="X19" i="31"/>
  <c r="Y18" i="31"/>
  <c r="X18" i="31"/>
  <c r="Y17" i="31"/>
  <c r="X17" i="31"/>
  <c r="Y15" i="31"/>
  <c r="X15" i="31"/>
  <c r="Y14" i="31"/>
  <c r="X14" i="31"/>
  <c r="E108" i="29"/>
  <c r="E107" i="29"/>
  <c r="E106" i="29"/>
  <c r="E106" i="30" s="1"/>
  <c r="E105" i="29"/>
  <c r="E105" i="30" s="1"/>
  <c r="E104" i="29"/>
  <c r="E104" i="30" s="1"/>
  <c r="E101" i="29"/>
  <c r="E100" i="29"/>
  <c r="E99" i="29"/>
  <c r="E99" i="30" s="1"/>
  <c r="E98" i="29"/>
  <c r="E98" i="30" s="1"/>
  <c r="E97" i="29"/>
  <c r="E97" i="30" s="1"/>
  <c r="E94" i="29"/>
  <c r="E94" i="30" s="1"/>
  <c r="E93" i="29"/>
  <c r="E93" i="30"/>
  <c r="E92" i="29"/>
  <c r="E92" i="30" s="1"/>
  <c r="E89" i="29"/>
  <c r="E89" i="30" s="1"/>
  <c r="N89" i="30" s="1"/>
  <c r="E88" i="29"/>
  <c r="E88" i="30" s="1"/>
  <c r="E84" i="29"/>
  <c r="E84" i="30" s="1"/>
  <c r="E80" i="29"/>
  <c r="E80" i="30" s="1"/>
  <c r="E79" i="29"/>
  <c r="E72" i="29"/>
  <c r="E72" i="30"/>
  <c r="E69" i="29"/>
  <c r="E69" i="30" s="1"/>
  <c r="E68" i="29"/>
  <c r="E65" i="29"/>
  <c r="E65" i="30" s="1"/>
  <c r="E60" i="29"/>
  <c r="E60" i="30" s="1"/>
  <c r="E56" i="29"/>
  <c r="E55" i="29"/>
  <c r="E55" i="30"/>
  <c r="E52" i="29"/>
  <c r="E52" i="30" s="1"/>
  <c r="E50" i="29"/>
  <c r="E49" i="29"/>
  <c r="E47" i="29"/>
  <c r="E46" i="29"/>
  <c r="E45" i="29"/>
  <c r="E45" i="30" s="1"/>
  <c r="E44" i="29"/>
  <c r="E44" i="30" s="1"/>
  <c r="E43" i="29"/>
  <c r="E43" i="30" s="1"/>
  <c r="E37" i="29"/>
  <c r="E34" i="29"/>
  <c r="E34" i="30" s="1"/>
  <c r="E32" i="29"/>
  <c r="E32" i="30" s="1"/>
  <c r="E25" i="29"/>
  <c r="E24" i="29"/>
  <c r="E24" i="30" s="1"/>
  <c r="N24" i="30" s="1"/>
  <c r="E18" i="29"/>
  <c r="E18" i="30" s="1"/>
  <c r="E17" i="29"/>
  <c r="E17" i="30"/>
  <c r="E16" i="29"/>
  <c r="E15" i="29"/>
  <c r="E15" i="30" s="1"/>
  <c r="N15" i="30"/>
  <c r="E14" i="29"/>
  <c r="E14" i="30" s="1"/>
  <c r="E13" i="29"/>
  <c r="E13" i="30" s="1"/>
  <c r="S462" i="31"/>
  <c r="R462" i="31"/>
  <c r="AA203" i="31"/>
  <c r="K10" i="31"/>
  <c r="F10" i="31"/>
  <c r="C10" i="31"/>
  <c r="C8" i="31"/>
  <c r="N10" i="31" s="1"/>
  <c r="G6" i="31"/>
  <c r="C6" i="31"/>
  <c r="E2" i="31"/>
  <c r="N461" i="31"/>
  <c r="N460" i="31"/>
  <c r="N459" i="31"/>
  <c r="N458" i="31"/>
  <c r="N457" i="31"/>
  <c r="N456" i="31"/>
  <c r="N455" i="31"/>
  <c r="N454" i="31"/>
  <c r="N453" i="31"/>
  <c r="N452" i="31"/>
  <c r="N451" i="31"/>
  <c r="N450" i="31"/>
  <c r="N449" i="31"/>
  <c r="N448" i="31"/>
  <c r="N447" i="31"/>
  <c r="N446" i="31"/>
  <c r="N445" i="31"/>
  <c r="N444" i="31"/>
  <c r="N443" i="31"/>
  <c r="N442" i="31"/>
  <c r="N441" i="31"/>
  <c r="N440" i="31"/>
  <c r="N439" i="31"/>
  <c r="N438" i="31"/>
  <c r="N437" i="31"/>
  <c r="N436" i="31"/>
  <c r="N435" i="31"/>
  <c r="N434" i="31"/>
  <c r="N433" i="31"/>
  <c r="N432" i="31"/>
  <c r="N431" i="31"/>
  <c r="N430" i="31"/>
  <c r="N429" i="31"/>
  <c r="N428" i="31"/>
  <c r="N427" i="31"/>
  <c r="N426" i="31"/>
  <c r="N425" i="31"/>
  <c r="N424" i="31"/>
  <c r="N423" i="31"/>
  <c r="N422" i="31"/>
  <c r="N421" i="31"/>
  <c r="N420" i="31"/>
  <c r="N419" i="31"/>
  <c r="N418" i="31"/>
  <c r="N417" i="31"/>
  <c r="N416" i="31"/>
  <c r="N415" i="31"/>
  <c r="N414" i="31"/>
  <c r="N413" i="31"/>
  <c r="N412" i="31"/>
  <c r="N411" i="31"/>
  <c r="N410" i="31"/>
  <c r="N409" i="31"/>
  <c r="N408" i="31"/>
  <c r="N407" i="31"/>
  <c r="N406" i="31"/>
  <c r="N405" i="31"/>
  <c r="N404" i="31"/>
  <c r="N403" i="31"/>
  <c r="N402" i="31"/>
  <c r="N401" i="31"/>
  <c r="N400" i="31"/>
  <c r="N399" i="31"/>
  <c r="N398" i="31"/>
  <c r="N397" i="31"/>
  <c r="N396" i="31"/>
  <c r="N395" i="31"/>
  <c r="N394" i="31"/>
  <c r="N393" i="31"/>
  <c r="N392" i="31"/>
  <c r="N391" i="31"/>
  <c r="N390" i="31"/>
  <c r="N389" i="31"/>
  <c r="N388" i="31"/>
  <c r="N387" i="31"/>
  <c r="N386" i="31"/>
  <c r="N385" i="31"/>
  <c r="N384" i="31"/>
  <c r="N383" i="31"/>
  <c r="N382" i="31"/>
  <c r="N381" i="31"/>
  <c r="N380" i="31"/>
  <c r="N379" i="31"/>
  <c r="N378" i="31"/>
  <c r="N377" i="31"/>
  <c r="N376" i="31"/>
  <c r="N375" i="31"/>
  <c r="N374" i="31"/>
  <c r="N373" i="31"/>
  <c r="N372" i="31"/>
  <c r="N371" i="31"/>
  <c r="N370" i="31"/>
  <c r="N369" i="31"/>
  <c r="N368" i="31"/>
  <c r="N367" i="31"/>
  <c r="N366" i="31"/>
  <c r="N365" i="31"/>
  <c r="N364" i="31"/>
  <c r="N363" i="31"/>
  <c r="N362" i="31"/>
  <c r="N361" i="31"/>
  <c r="N360" i="31"/>
  <c r="N359" i="31"/>
  <c r="N358" i="31"/>
  <c r="N357" i="31"/>
  <c r="N356" i="31"/>
  <c r="N355" i="31"/>
  <c r="N354" i="31"/>
  <c r="N353" i="31"/>
  <c r="N352" i="31"/>
  <c r="N351" i="31"/>
  <c r="N350" i="31"/>
  <c r="N349" i="31"/>
  <c r="N348" i="31"/>
  <c r="N347" i="31"/>
  <c r="N346" i="31"/>
  <c r="N345" i="31"/>
  <c r="N344" i="31"/>
  <c r="N343" i="31"/>
  <c r="N342" i="31"/>
  <c r="N341" i="31"/>
  <c r="N340" i="31"/>
  <c r="N339" i="31"/>
  <c r="N338" i="31"/>
  <c r="N337" i="31"/>
  <c r="N336" i="31"/>
  <c r="N335" i="31"/>
  <c r="N334" i="31"/>
  <c r="N333" i="31"/>
  <c r="N332" i="31"/>
  <c r="N331" i="31"/>
  <c r="N330" i="31"/>
  <c r="N329" i="31"/>
  <c r="N328" i="31"/>
  <c r="N327" i="31"/>
  <c r="N326" i="31"/>
  <c r="N325" i="31"/>
  <c r="N324" i="31"/>
  <c r="N323" i="31"/>
  <c r="N322" i="31"/>
  <c r="N321" i="31"/>
  <c r="N320" i="31"/>
  <c r="N319" i="31"/>
  <c r="N318" i="31"/>
  <c r="N317" i="31"/>
  <c r="N316" i="31"/>
  <c r="N315" i="31"/>
  <c r="N314" i="31"/>
  <c r="N313" i="31"/>
  <c r="N312" i="31"/>
  <c r="N311" i="31"/>
  <c r="N310" i="31"/>
  <c r="N309" i="31"/>
  <c r="N308" i="31"/>
  <c r="N307" i="31"/>
  <c r="N306" i="31"/>
  <c r="N305" i="31"/>
  <c r="N304" i="31"/>
  <c r="N303" i="31"/>
  <c r="N302" i="31"/>
  <c r="N301" i="31"/>
  <c r="N300" i="31"/>
  <c r="N299" i="31"/>
  <c r="N298" i="31"/>
  <c r="N297" i="31"/>
  <c r="N296" i="31"/>
  <c r="N295" i="31"/>
  <c r="N294" i="31"/>
  <c r="N293" i="31"/>
  <c r="N292" i="31"/>
  <c r="N291" i="31"/>
  <c r="N290" i="31"/>
  <c r="N289" i="31"/>
  <c r="N288" i="31"/>
  <c r="N287" i="31"/>
  <c r="N286" i="31"/>
  <c r="N285" i="31"/>
  <c r="N284" i="31"/>
  <c r="N283" i="31"/>
  <c r="N282" i="31"/>
  <c r="N281" i="31"/>
  <c r="N280" i="31"/>
  <c r="N279" i="31"/>
  <c r="N278" i="31"/>
  <c r="N277" i="31"/>
  <c r="N276" i="31"/>
  <c r="N275" i="31"/>
  <c r="N274" i="31"/>
  <c r="N273" i="31"/>
  <c r="N272" i="31"/>
  <c r="N271" i="31"/>
  <c r="N270" i="31"/>
  <c r="N269" i="31"/>
  <c r="N268" i="31"/>
  <c r="N267" i="31"/>
  <c r="N266" i="31"/>
  <c r="N265" i="31"/>
  <c r="N264" i="31"/>
  <c r="N263" i="31"/>
  <c r="N262" i="31"/>
  <c r="N261" i="31"/>
  <c r="N260" i="31"/>
  <c r="N259" i="31"/>
  <c r="N258" i="31"/>
  <c r="N256" i="31"/>
  <c r="N255" i="31"/>
  <c r="N254" i="31"/>
  <c r="N253" i="31"/>
  <c r="N252" i="31"/>
  <c r="N251" i="31"/>
  <c r="N250" i="31"/>
  <c r="N249" i="31"/>
  <c r="N248" i="31"/>
  <c r="N247" i="31"/>
  <c r="N246" i="31"/>
  <c r="N245" i="31"/>
  <c r="N244" i="31"/>
  <c r="N243" i="31"/>
  <c r="N242" i="31"/>
  <c r="N241" i="31"/>
  <c r="N240" i="31"/>
  <c r="N239" i="31"/>
  <c r="N238" i="31"/>
  <c r="N237" i="31"/>
  <c r="N236" i="31"/>
  <c r="N235" i="31"/>
  <c r="N233" i="31"/>
  <c r="N232" i="31"/>
  <c r="N231" i="31"/>
  <c r="N230" i="31"/>
  <c r="N229" i="31"/>
  <c r="N228" i="31"/>
  <c r="N227" i="31"/>
  <c r="N226" i="31"/>
  <c r="N225" i="31"/>
  <c r="N224" i="31"/>
  <c r="N223" i="31"/>
  <c r="N222" i="31"/>
  <c r="N221" i="31"/>
  <c r="N220" i="31"/>
  <c r="N219" i="31"/>
  <c r="N218" i="31"/>
  <c r="N217" i="31"/>
  <c r="N216" i="31"/>
  <c r="N215" i="31"/>
  <c r="N214" i="31"/>
  <c r="N213" i="31"/>
  <c r="N212" i="31"/>
  <c r="N211" i="31"/>
  <c r="N210" i="31"/>
  <c r="N209" i="31"/>
  <c r="N208" i="31"/>
  <c r="N207" i="31"/>
  <c r="N206" i="31"/>
  <c r="N205" i="31"/>
  <c r="N204" i="31"/>
  <c r="N203" i="31"/>
  <c r="N202" i="31"/>
  <c r="N201" i="31"/>
  <c r="N200" i="31"/>
  <c r="N199" i="31"/>
  <c r="N198" i="31"/>
  <c r="A195" i="31"/>
  <c r="N195" i="31"/>
  <c r="N194" i="31"/>
  <c r="N193" i="31"/>
  <c r="A190" i="31"/>
  <c r="N189" i="31"/>
  <c r="N188" i="31"/>
  <c r="N187" i="31"/>
  <c r="A184" i="31"/>
  <c r="A185" i="31"/>
  <c r="A186" i="31" s="1"/>
  <c r="N186" i="31" s="1"/>
  <c r="N183" i="31"/>
  <c r="N182" i="31"/>
  <c r="N181" i="31"/>
  <c r="N180" i="31"/>
  <c r="N179" i="31"/>
  <c r="N178" i="31"/>
  <c r="N177" i="31"/>
  <c r="N176" i="31"/>
  <c r="N175" i="31"/>
  <c r="N174" i="31"/>
  <c r="N173" i="31"/>
  <c r="N172" i="31"/>
  <c r="N171" i="31"/>
  <c r="N170" i="31"/>
  <c r="N169" i="31"/>
  <c r="N168" i="31"/>
  <c r="N167" i="31"/>
  <c r="N166" i="31"/>
  <c r="N165" i="31"/>
  <c r="N164" i="31"/>
  <c r="N163" i="31"/>
  <c r="N162" i="31"/>
  <c r="N161" i="31"/>
  <c r="N160" i="31"/>
  <c r="N159" i="31"/>
  <c r="N158" i="31"/>
  <c r="N157" i="31"/>
  <c r="N156" i="31"/>
  <c r="N155" i="31"/>
  <c r="N154" i="31"/>
  <c r="N153" i="31"/>
  <c r="N152" i="31"/>
  <c r="N151" i="31"/>
  <c r="N150" i="31"/>
  <c r="N149" i="31"/>
  <c r="N148" i="31"/>
  <c r="N147" i="31"/>
  <c r="N146" i="31"/>
  <c r="N145" i="31"/>
  <c r="N144" i="31"/>
  <c r="N143" i="31"/>
  <c r="N142" i="31"/>
  <c r="N141" i="31"/>
  <c r="N140" i="31"/>
  <c r="N139" i="31"/>
  <c r="N138" i="31"/>
  <c r="N137" i="31"/>
  <c r="N136" i="31"/>
  <c r="N135" i="31"/>
  <c r="N134" i="31"/>
  <c r="N133" i="31"/>
  <c r="N132" i="31"/>
  <c r="N131" i="31"/>
  <c r="N130" i="31"/>
  <c r="N129" i="31"/>
  <c r="N128" i="31"/>
  <c r="N127" i="31"/>
  <c r="N126" i="31"/>
  <c r="N125" i="31"/>
  <c r="N124" i="31"/>
  <c r="N123" i="31"/>
  <c r="N122" i="31"/>
  <c r="N121" i="31"/>
  <c r="N120" i="31"/>
  <c r="N119" i="31"/>
  <c r="N118" i="31"/>
  <c r="N117" i="31"/>
  <c r="N116" i="31"/>
  <c r="N115" i="31"/>
  <c r="N114" i="31"/>
  <c r="N113" i="31"/>
  <c r="N112" i="31"/>
  <c r="N111" i="31"/>
  <c r="N110" i="31"/>
  <c r="N109" i="31"/>
  <c r="N108" i="31"/>
  <c r="N107" i="31"/>
  <c r="N106" i="31"/>
  <c r="N105" i="31"/>
  <c r="N104" i="31"/>
  <c r="N103" i="31"/>
  <c r="N102" i="31"/>
  <c r="N101" i="31"/>
  <c r="N100" i="31"/>
  <c r="N99" i="31"/>
  <c r="N98" i="31"/>
  <c r="N97" i="31"/>
  <c r="N96" i="31"/>
  <c r="N95" i="31"/>
  <c r="N94" i="31"/>
  <c r="N93" i="31"/>
  <c r="N92" i="31"/>
  <c r="N91" i="31"/>
  <c r="N90" i="31"/>
  <c r="N89" i="31"/>
  <c r="N88" i="31"/>
  <c r="N87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5" i="31"/>
  <c r="N14" i="31"/>
  <c r="AA572" i="1"/>
  <c r="AA571" i="1"/>
  <c r="AA569" i="1"/>
  <c r="AA568" i="1"/>
  <c r="AA567" i="1"/>
  <c r="AA566" i="1"/>
  <c r="AH572" i="1"/>
  <c r="AH571" i="1"/>
  <c r="AH569" i="1"/>
  <c r="AH568" i="1"/>
  <c r="AH567" i="1"/>
  <c r="AH566" i="1"/>
  <c r="T572" i="1"/>
  <c r="T569" i="1"/>
  <c r="T667" i="27"/>
  <c r="S667" i="27"/>
  <c r="V667" i="27" s="1"/>
  <c r="T640" i="27"/>
  <c r="S640" i="27"/>
  <c r="V640" i="27"/>
  <c r="T409" i="27"/>
  <c r="V409" i="27" s="1"/>
  <c r="S409" i="27"/>
  <c r="T408" i="27"/>
  <c r="AA408" i="1" s="1"/>
  <c r="S408" i="27"/>
  <c r="T407" i="27"/>
  <c r="S407" i="27"/>
  <c r="V407" i="27" s="1"/>
  <c r="T406" i="27"/>
  <c r="S406" i="27"/>
  <c r="V406" i="27"/>
  <c r="T405" i="27"/>
  <c r="V405" i="27" s="1"/>
  <c r="S405" i="27"/>
  <c r="T404" i="27"/>
  <c r="S404" i="27"/>
  <c r="T403" i="27"/>
  <c r="S403" i="27"/>
  <c r="V403" i="27"/>
  <c r="T402" i="27"/>
  <c r="V402" i="27" s="1"/>
  <c r="S402" i="27"/>
  <c r="Z408" i="1"/>
  <c r="S286" i="27"/>
  <c r="Z286" i="1" s="1"/>
  <c r="AO286" i="1" s="1"/>
  <c r="AT286" i="1" s="1"/>
  <c r="Z293" i="1"/>
  <c r="Z290" i="1"/>
  <c r="AO290" i="1" s="1"/>
  <c r="AT290" i="1" s="1"/>
  <c r="Z289" i="1"/>
  <c r="AH667" i="1"/>
  <c r="AG667" i="1"/>
  <c r="AH640" i="1"/>
  <c r="AX640" i="1" s="1"/>
  <c r="AG640" i="1"/>
  <c r="AG293" i="1"/>
  <c r="AX293" i="1" s="1"/>
  <c r="AG290" i="1"/>
  <c r="AX290" i="1" s="1"/>
  <c r="AG289" i="1"/>
  <c r="AX289" i="1" s="1"/>
  <c r="AG286" i="1"/>
  <c r="AX286" i="1" s="1"/>
  <c r="AH101" i="1"/>
  <c r="AX101" i="1" s="1"/>
  <c r="AH98" i="1"/>
  <c r="AX98" i="1" s="1"/>
  <c r="AH97" i="1"/>
  <c r="AX97" i="1" s="1"/>
  <c r="AH96" i="1"/>
  <c r="AX96" i="1" s="1"/>
  <c r="AH95" i="1"/>
  <c r="AX95" i="1" s="1"/>
  <c r="AH94" i="1"/>
  <c r="AX94" i="1" s="1"/>
  <c r="AH407" i="1"/>
  <c r="AG407" i="1"/>
  <c r="AH406" i="1"/>
  <c r="AG406" i="1"/>
  <c r="AH405" i="1"/>
  <c r="AG405" i="1"/>
  <c r="AH404" i="1"/>
  <c r="AG404" i="1"/>
  <c r="AH403" i="1"/>
  <c r="AG403" i="1"/>
  <c r="AH402" i="1"/>
  <c r="AG402" i="1"/>
  <c r="T101" i="27"/>
  <c r="T100" i="27"/>
  <c r="T99" i="27"/>
  <c r="T98" i="27"/>
  <c r="T97" i="27"/>
  <c r="T96" i="27"/>
  <c r="T95" i="27"/>
  <c r="T94" i="27"/>
  <c r="AA99" i="1"/>
  <c r="T408" i="1"/>
  <c r="S408" i="1"/>
  <c r="T99" i="1"/>
  <c r="AV99" i="1" s="1"/>
  <c r="AA285" i="1"/>
  <c r="Z285" i="1"/>
  <c r="AA113" i="1"/>
  <c r="Z113" i="1"/>
  <c r="T705" i="27"/>
  <c r="S705" i="27"/>
  <c r="T704" i="27"/>
  <c r="AA704" i="1" s="1"/>
  <c r="S704" i="27"/>
  <c r="Z704" i="1" s="1"/>
  <c r="AA705" i="1"/>
  <c r="Z705" i="1"/>
  <c r="T704" i="1"/>
  <c r="S704" i="1"/>
  <c r="AH704" i="1"/>
  <c r="AG704" i="1"/>
  <c r="AH715" i="1"/>
  <c r="AG715" i="1"/>
  <c r="AH714" i="1"/>
  <c r="AG714" i="1"/>
  <c r="AH713" i="1"/>
  <c r="AG713" i="1"/>
  <c r="AH712" i="1"/>
  <c r="AG712" i="1"/>
  <c r="AH711" i="1"/>
  <c r="AG711" i="1"/>
  <c r="AH710" i="1"/>
  <c r="AG710" i="1"/>
  <c r="AH709" i="1"/>
  <c r="AG709" i="1"/>
  <c r="AH708" i="1"/>
  <c r="AG708" i="1"/>
  <c r="AH707" i="1"/>
  <c r="AG707" i="1"/>
  <c r="AH706" i="1"/>
  <c r="AG706" i="1"/>
  <c r="AH705" i="1"/>
  <c r="AG705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I70" i="30"/>
  <c r="N5" i="30"/>
  <c r="E10" i="30"/>
  <c r="G10" i="30"/>
  <c r="H10" i="30"/>
  <c r="J10" i="30"/>
  <c r="K10" i="30" s="1"/>
  <c r="M10" i="30" s="1"/>
  <c r="N10" i="30" s="1"/>
  <c r="H9" i="30"/>
  <c r="K9" i="30" s="1"/>
  <c r="N9" i="30" s="1"/>
  <c r="G9" i="30"/>
  <c r="J9" i="30"/>
  <c r="M9" i="30" s="1"/>
  <c r="M5" i="30"/>
  <c r="J5" i="30"/>
  <c r="K1" i="30"/>
  <c r="G1" i="30"/>
  <c r="A1" i="30"/>
  <c r="B5" i="30"/>
  <c r="A2" i="8"/>
  <c r="A2" i="30" s="1"/>
  <c r="N57" i="4"/>
  <c r="N6" i="4"/>
  <c r="E10" i="29"/>
  <c r="H9" i="29"/>
  <c r="K9" i="29" s="1"/>
  <c r="N9" i="29" s="1"/>
  <c r="G9" i="29"/>
  <c r="J9" i="29" s="1"/>
  <c r="M9" i="29" s="1"/>
  <c r="M5" i="29"/>
  <c r="J5" i="29"/>
  <c r="K1" i="29"/>
  <c r="A1" i="29"/>
  <c r="B5" i="29"/>
  <c r="E10" i="8"/>
  <c r="G10" i="8"/>
  <c r="H10" i="8" s="1"/>
  <c r="H9" i="8"/>
  <c r="K9" i="8" s="1"/>
  <c r="N9" i="8" s="1"/>
  <c r="N60" i="8" s="1"/>
  <c r="G9" i="8"/>
  <c r="J9" i="8" s="1"/>
  <c r="M9" i="8" s="1"/>
  <c r="M60" i="8" s="1"/>
  <c r="H9" i="4"/>
  <c r="K9" i="4" s="1"/>
  <c r="G9" i="4"/>
  <c r="J9" i="4" s="1"/>
  <c r="D61" i="8"/>
  <c r="E60" i="8"/>
  <c r="D60" i="8"/>
  <c r="E60" i="4"/>
  <c r="D60" i="4"/>
  <c r="D61" i="4"/>
  <c r="E10" i="4"/>
  <c r="G10" i="4" s="1"/>
  <c r="E2" i="27"/>
  <c r="C6" i="27"/>
  <c r="G6" i="27"/>
  <c r="C8" i="27"/>
  <c r="N10" i="27"/>
  <c r="Q8" i="27"/>
  <c r="S8" i="27"/>
  <c r="C10" i="27"/>
  <c r="E12" i="27"/>
  <c r="I829" i="27" s="1"/>
  <c r="I831" i="27" s="1"/>
  <c r="I888" i="27" s="1"/>
  <c r="I890" i="27" s="1"/>
  <c r="H12" i="27"/>
  <c r="N2" i="27" s="1"/>
  <c r="N4" i="27" s="1"/>
  <c r="V115" i="27"/>
  <c r="N14" i="27"/>
  <c r="S14" i="27"/>
  <c r="Z14" i="1" s="1"/>
  <c r="T14" i="27"/>
  <c r="N15" i="27"/>
  <c r="S15" i="27"/>
  <c r="T15" i="27"/>
  <c r="N16" i="27"/>
  <c r="N17" i="27"/>
  <c r="N18" i="27"/>
  <c r="N19" i="27"/>
  <c r="N20" i="27"/>
  <c r="N21" i="27"/>
  <c r="N22" i="27"/>
  <c r="N23" i="27"/>
  <c r="N24" i="27"/>
  <c r="N25" i="27"/>
  <c r="N26" i="27"/>
  <c r="T26" i="27"/>
  <c r="AA26" i="1"/>
  <c r="N27" i="27"/>
  <c r="T27" i="27"/>
  <c r="AA27" i="1" s="1"/>
  <c r="N28" i="27"/>
  <c r="T28" i="27"/>
  <c r="AA28" i="1"/>
  <c r="N29" i="27"/>
  <c r="T29" i="27"/>
  <c r="AA29" i="1" s="1"/>
  <c r="N30" i="27"/>
  <c r="T30" i="27"/>
  <c r="AA30" i="1"/>
  <c r="N31" i="27"/>
  <c r="T31" i="27"/>
  <c r="AA31" i="1" s="1"/>
  <c r="N32" i="27"/>
  <c r="T32" i="27"/>
  <c r="AA32" i="1"/>
  <c r="N33" i="27"/>
  <c r="T33" i="27"/>
  <c r="AA33" i="1" s="1"/>
  <c r="N34" i="27"/>
  <c r="T34" i="27"/>
  <c r="AA34" i="1"/>
  <c r="N35" i="27"/>
  <c r="T35" i="27"/>
  <c r="AA35" i="1" s="1"/>
  <c r="N36" i="27"/>
  <c r="T36" i="27"/>
  <c r="AA36" i="1"/>
  <c r="N37" i="27"/>
  <c r="T37" i="27"/>
  <c r="AA37" i="1" s="1"/>
  <c r="N38" i="27"/>
  <c r="T38" i="27"/>
  <c r="AA38" i="1"/>
  <c r="N39" i="27"/>
  <c r="T39" i="27"/>
  <c r="AA39" i="1" s="1"/>
  <c r="N40" i="27"/>
  <c r="T40" i="27"/>
  <c r="AA40" i="1"/>
  <c r="N41" i="27"/>
  <c r="T41" i="27"/>
  <c r="AA41" i="1" s="1"/>
  <c r="N42" i="27"/>
  <c r="T42" i="27"/>
  <c r="AA42" i="1"/>
  <c r="N43" i="27"/>
  <c r="T43" i="27"/>
  <c r="AA43" i="1" s="1"/>
  <c r="N44" i="27"/>
  <c r="T44" i="27"/>
  <c r="AA44" i="1"/>
  <c r="N45" i="27"/>
  <c r="T45" i="27"/>
  <c r="AA45" i="1" s="1"/>
  <c r="N46" i="27"/>
  <c r="T46" i="27"/>
  <c r="AA46" i="1"/>
  <c r="N47" i="27"/>
  <c r="T47" i="27"/>
  <c r="AA47" i="1" s="1"/>
  <c r="N48" i="27"/>
  <c r="T48" i="27"/>
  <c r="AA48" i="1"/>
  <c r="N49" i="27"/>
  <c r="T49" i="27"/>
  <c r="AA49" i="1" s="1"/>
  <c r="N50" i="27"/>
  <c r="T50" i="27"/>
  <c r="AA50" i="1"/>
  <c r="N51" i="27"/>
  <c r="T51" i="27"/>
  <c r="AA51" i="1" s="1"/>
  <c r="N52" i="27"/>
  <c r="T52" i="27"/>
  <c r="AA52" i="1"/>
  <c r="N53" i="27"/>
  <c r="N54" i="27"/>
  <c r="N55" i="27"/>
  <c r="S55" i="27"/>
  <c r="N56" i="27"/>
  <c r="T56" i="27"/>
  <c r="N57" i="27"/>
  <c r="T57" i="27"/>
  <c r="AA57" i="1" s="1"/>
  <c r="N58" i="27"/>
  <c r="T58" i="27"/>
  <c r="AA58" i="1"/>
  <c r="N59" i="27"/>
  <c r="T59" i="27"/>
  <c r="AA59" i="1" s="1"/>
  <c r="N60" i="27"/>
  <c r="S60" i="27"/>
  <c r="T60" i="27"/>
  <c r="N61" i="27"/>
  <c r="S61" i="27"/>
  <c r="T61" i="27"/>
  <c r="AA61" i="1"/>
  <c r="N62" i="27"/>
  <c r="T62" i="27"/>
  <c r="N63" i="27"/>
  <c r="T63" i="27"/>
  <c r="N64" i="27"/>
  <c r="T64" i="27"/>
  <c r="N65" i="27"/>
  <c r="T65" i="27"/>
  <c r="N66" i="27"/>
  <c r="T66" i="27"/>
  <c r="N67" i="27"/>
  <c r="T67" i="27"/>
  <c r="N68" i="27"/>
  <c r="T68" i="27"/>
  <c r="N69" i="27"/>
  <c r="T69" i="27"/>
  <c r="AA69" i="1" s="1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99" i="27"/>
  <c r="N100" i="27"/>
  <c r="N101" i="27"/>
  <c r="N103" i="27"/>
  <c r="N104" i="27"/>
  <c r="N105" i="27"/>
  <c r="N106" i="27"/>
  <c r="N107" i="27"/>
  <c r="N108" i="27"/>
  <c r="N109" i="27"/>
  <c r="N110" i="27"/>
  <c r="N111" i="27"/>
  <c r="N112" i="27"/>
  <c r="N114" i="27"/>
  <c r="T114" i="27"/>
  <c r="N115" i="27"/>
  <c r="S115" i="27"/>
  <c r="Z115" i="1" s="1"/>
  <c r="N116" i="27"/>
  <c r="N117" i="27"/>
  <c r="S117" i="27"/>
  <c r="N118" i="27"/>
  <c r="T118" i="27"/>
  <c r="N119" i="27"/>
  <c r="S119" i="27"/>
  <c r="N120" i="27"/>
  <c r="S120" i="27"/>
  <c r="T120" i="27"/>
  <c r="AA120" i="1"/>
  <c r="N121" i="27"/>
  <c r="S121" i="27"/>
  <c r="T121" i="27"/>
  <c r="N122" i="27"/>
  <c r="T122" i="27"/>
  <c r="N123" i="27"/>
  <c r="N124" i="27"/>
  <c r="N125" i="27"/>
  <c r="T125" i="27"/>
  <c r="N126" i="27"/>
  <c r="N127" i="27"/>
  <c r="T127" i="27"/>
  <c r="N128" i="27"/>
  <c r="T128" i="27"/>
  <c r="N129" i="27"/>
  <c r="N130" i="27"/>
  <c r="T130" i="27"/>
  <c r="N131" i="27"/>
  <c r="N132" i="27"/>
  <c r="T132" i="27"/>
  <c r="AA132" i="1" s="1"/>
  <c r="N133" i="27"/>
  <c r="T133" i="27"/>
  <c r="N134" i="27"/>
  <c r="N135" i="27"/>
  <c r="T135" i="27"/>
  <c r="N136" i="27"/>
  <c r="N137" i="27"/>
  <c r="N138" i="27"/>
  <c r="N139" i="27"/>
  <c r="N140" i="27"/>
  <c r="N141" i="27"/>
  <c r="N142" i="27"/>
  <c r="N143" i="27"/>
  <c r="N144" i="27"/>
  <c r="N145" i="27"/>
  <c r="N146" i="27"/>
  <c r="N147" i="27"/>
  <c r="N148" i="27"/>
  <c r="N149" i="27"/>
  <c r="N150" i="27"/>
  <c r="N151" i="27"/>
  <c r="N152" i="27"/>
  <c r="N153" i="27"/>
  <c r="N154" i="27"/>
  <c r="N155" i="27"/>
  <c r="N156" i="27"/>
  <c r="N157" i="27"/>
  <c r="N158" i="27"/>
  <c r="N159" i="27"/>
  <c r="N160" i="27"/>
  <c r="S160" i="27"/>
  <c r="T160" i="27"/>
  <c r="N161" i="27"/>
  <c r="N162" i="27"/>
  <c r="N163" i="27"/>
  <c r="N164" i="27"/>
  <c r="N165" i="27"/>
  <c r="N166" i="27"/>
  <c r="N167" i="27"/>
  <c r="N168" i="27"/>
  <c r="N169" i="27"/>
  <c r="N170" i="27"/>
  <c r="N171" i="27"/>
  <c r="N172" i="27"/>
  <c r="N173" i="27"/>
  <c r="T173" i="27"/>
  <c r="N174" i="27"/>
  <c r="T174" i="27"/>
  <c r="N175" i="27"/>
  <c r="T175" i="27"/>
  <c r="N176" i="27"/>
  <c r="S176" i="27"/>
  <c r="T176" i="27"/>
  <c r="N177" i="27"/>
  <c r="S177" i="27"/>
  <c r="T177" i="27"/>
  <c r="N178" i="27"/>
  <c r="N179" i="27"/>
  <c r="S179" i="27"/>
  <c r="T179" i="27"/>
  <c r="N180" i="27"/>
  <c r="S180" i="27"/>
  <c r="T180" i="27"/>
  <c r="N181" i="27"/>
  <c r="S181" i="27"/>
  <c r="T181" i="27"/>
  <c r="N182" i="27"/>
  <c r="S182" i="27"/>
  <c r="T182" i="27"/>
  <c r="N183" i="27"/>
  <c r="S183" i="27"/>
  <c r="T183" i="27"/>
  <c r="N184" i="27"/>
  <c r="N185" i="27"/>
  <c r="N186" i="27"/>
  <c r="N187" i="27"/>
  <c r="N188" i="27"/>
  <c r="N189" i="27"/>
  <c r="N190" i="27"/>
  <c r="N191" i="27"/>
  <c r="S191" i="27"/>
  <c r="T191" i="27"/>
  <c r="AA191" i="1"/>
  <c r="N192" i="27"/>
  <c r="S192" i="27"/>
  <c r="Z192" i="1" s="1"/>
  <c r="T192" i="27"/>
  <c r="N193" i="27"/>
  <c r="S193" i="27"/>
  <c r="T193" i="27"/>
  <c r="AA193" i="1"/>
  <c r="N194" i="27"/>
  <c r="S194" i="27"/>
  <c r="Z194" i="1" s="1"/>
  <c r="T194" i="27"/>
  <c r="N195" i="27"/>
  <c r="N196" i="27"/>
  <c r="N197" i="27"/>
  <c r="N198" i="27"/>
  <c r="N199" i="27"/>
  <c r="S199" i="27"/>
  <c r="T199" i="27"/>
  <c r="AA199" i="1"/>
  <c r="N200" i="27"/>
  <c r="S200" i="27"/>
  <c r="Z200" i="1" s="1"/>
  <c r="T200" i="27"/>
  <c r="AA200" i="1" s="1"/>
  <c r="N201" i="27"/>
  <c r="S201" i="27"/>
  <c r="T201" i="27"/>
  <c r="AA201" i="1" s="1"/>
  <c r="N202" i="27"/>
  <c r="S202" i="27"/>
  <c r="Z202" i="1"/>
  <c r="T202" i="27"/>
  <c r="AA202" i="1"/>
  <c r="N203" i="27"/>
  <c r="S203" i="27"/>
  <c r="T203" i="27"/>
  <c r="AA203" i="1"/>
  <c r="N204" i="27"/>
  <c r="S204" i="27"/>
  <c r="Z204" i="1" s="1"/>
  <c r="T204" i="27"/>
  <c r="AA204" i="1" s="1"/>
  <c r="N205" i="27"/>
  <c r="S205" i="27"/>
  <c r="T205" i="27"/>
  <c r="AA205" i="1" s="1"/>
  <c r="N206" i="27"/>
  <c r="S206" i="27"/>
  <c r="Z206" i="1"/>
  <c r="T206" i="27"/>
  <c r="AA206" i="1"/>
  <c r="N207" i="27"/>
  <c r="S207" i="27"/>
  <c r="T207" i="27"/>
  <c r="N208" i="27"/>
  <c r="S208" i="27"/>
  <c r="T208" i="27"/>
  <c r="N209" i="27"/>
  <c r="S209" i="27"/>
  <c r="T209" i="27"/>
  <c r="N210" i="27"/>
  <c r="S210" i="27"/>
  <c r="T210" i="27"/>
  <c r="N211" i="27"/>
  <c r="S211" i="27"/>
  <c r="T211" i="27"/>
  <c r="N212" i="27"/>
  <c r="S212" i="27"/>
  <c r="Z212" i="1"/>
  <c r="T212" i="27"/>
  <c r="N213" i="27"/>
  <c r="S213" i="27"/>
  <c r="T213" i="27"/>
  <c r="AA213" i="1" s="1"/>
  <c r="N214" i="27"/>
  <c r="S214" i="27"/>
  <c r="T214" i="27"/>
  <c r="N215" i="27"/>
  <c r="S215" i="27"/>
  <c r="T215" i="27"/>
  <c r="N216" i="27"/>
  <c r="S216" i="27"/>
  <c r="T216" i="27"/>
  <c r="AA216" i="1" s="1"/>
  <c r="N217" i="27"/>
  <c r="S217" i="27"/>
  <c r="T217" i="27"/>
  <c r="N218" i="27"/>
  <c r="S218" i="27"/>
  <c r="T218" i="27"/>
  <c r="N219" i="27"/>
  <c r="N220" i="27"/>
  <c r="N221" i="27"/>
  <c r="N222" i="27"/>
  <c r="N223" i="27"/>
  <c r="N224" i="27"/>
  <c r="N225" i="27"/>
  <c r="N226" i="27"/>
  <c r="N227" i="27"/>
  <c r="N228" i="27"/>
  <c r="N229" i="27"/>
  <c r="N230" i="27"/>
  <c r="N231" i="27"/>
  <c r="N232" i="27"/>
  <c r="N233" i="27"/>
  <c r="N234" i="27"/>
  <c r="N235" i="27"/>
  <c r="N236" i="27"/>
  <c r="N237" i="27"/>
  <c r="N238" i="27"/>
  <c r="N239" i="27"/>
  <c r="N240" i="27"/>
  <c r="N241" i="27"/>
  <c r="N242" i="27"/>
  <c r="N243" i="27"/>
  <c r="N244" i="27"/>
  <c r="N245" i="27"/>
  <c r="N246" i="27"/>
  <c r="N247" i="27"/>
  <c r="N248" i="27"/>
  <c r="N249" i="27"/>
  <c r="N250" i="27"/>
  <c r="N251" i="27"/>
  <c r="N252" i="27"/>
  <c r="N253" i="27"/>
  <c r="N254" i="27"/>
  <c r="N255" i="27"/>
  <c r="N256" i="27"/>
  <c r="N257" i="27"/>
  <c r="N258" i="27"/>
  <c r="N259" i="27"/>
  <c r="N260" i="27"/>
  <c r="N261" i="27"/>
  <c r="N262" i="27"/>
  <c r="N263" i="27"/>
  <c r="N264" i="27"/>
  <c r="N265" i="27"/>
  <c r="N266" i="27"/>
  <c r="N267" i="27"/>
  <c r="N268" i="27"/>
  <c r="N269" i="27"/>
  <c r="N270" i="27"/>
  <c r="N271" i="27"/>
  <c r="S271" i="27"/>
  <c r="T271" i="27"/>
  <c r="AA271" i="1" s="1"/>
  <c r="N272" i="27"/>
  <c r="S272" i="27"/>
  <c r="Z272" i="1"/>
  <c r="T272" i="27"/>
  <c r="N273" i="27"/>
  <c r="S273" i="27"/>
  <c r="T273" i="27"/>
  <c r="AA273" i="1" s="1"/>
  <c r="N274" i="27"/>
  <c r="S274" i="27"/>
  <c r="Z274" i="1"/>
  <c r="T274" i="27"/>
  <c r="N275" i="27"/>
  <c r="S275" i="27"/>
  <c r="T275" i="27"/>
  <c r="AA275" i="1" s="1"/>
  <c r="N276" i="27"/>
  <c r="S276" i="27"/>
  <c r="Z276" i="1"/>
  <c r="T276" i="27"/>
  <c r="N277" i="27"/>
  <c r="S277" i="27"/>
  <c r="T277" i="27"/>
  <c r="AA277" i="1" s="1"/>
  <c r="N278" i="27"/>
  <c r="S278" i="27"/>
  <c r="Z278" i="1"/>
  <c r="T278" i="27"/>
  <c r="N279" i="27"/>
  <c r="S279" i="27"/>
  <c r="T279" i="27"/>
  <c r="N280" i="27"/>
  <c r="S280" i="27"/>
  <c r="T280" i="27"/>
  <c r="N281" i="27"/>
  <c r="S281" i="27"/>
  <c r="T281" i="27"/>
  <c r="AA281" i="1" s="1"/>
  <c r="N282" i="27"/>
  <c r="S282" i="27"/>
  <c r="Z282" i="1"/>
  <c r="T282" i="27"/>
  <c r="AA282" i="1"/>
  <c r="N283" i="27"/>
  <c r="N284" i="27"/>
  <c r="N286" i="27"/>
  <c r="N287" i="27"/>
  <c r="N288" i="27"/>
  <c r="N289" i="27"/>
  <c r="N290" i="27"/>
  <c r="N291" i="27"/>
  <c r="N292" i="27"/>
  <c r="N293" i="27"/>
  <c r="N294" i="27"/>
  <c r="N295" i="27"/>
  <c r="N296" i="27"/>
  <c r="N297" i="27"/>
  <c r="N298" i="27"/>
  <c r="N299" i="27"/>
  <c r="N300" i="27"/>
  <c r="N301" i="27"/>
  <c r="N302" i="27"/>
  <c r="N303" i="27"/>
  <c r="N304" i="27"/>
  <c r="N305" i="27"/>
  <c r="N306" i="27"/>
  <c r="N307" i="27"/>
  <c r="N308" i="27"/>
  <c r="N309" i="27"/>
  <c r="N310" i="27"/>
  <c r="N311" i="27"/>
  <c r="N312" i="27"/>
  <c r="N313" i="27"/>
  <c r="N314" i="27"/>
  <c r="N315" i="27"/>
  <c r="N316" i="27"/>
  <c r="N317" i="27"/>
  <c r="N318" i="27"/>
  <c r="N319" i="27"/>
  <c r="N320" i="27"/>
  <c r="N321" i="27"/>
  <c r="N322" i="27"/>
  <c r="S322" i="27"/>
  <c r="Z322" i="1" s="1"/>
  <c r="T322" i="27"/>
  <c r="N323" i="27"/>
  <c r="N324" i="27"/>
  <c r="N325" i="27"/>
  <c r="N326" i="27"/>
  <c r="N327" i="27"/>
  <c r="S327" i="27"/>
  <c r="T327" i="27"/>
  <c r="AA327" i="1"/>
  <c r="N328" i="27"/>
  <c r="S328" i="27"/>
  <c r="T328" i="27"/>
  <c r="N329" i="27"/>
  <c r="S329" i="27"/>
  <c r="T329" i="27"/>
  <c r="N330" i="27"/>
  <c r="S330" i="27"/>
  <c r="Z330" i="1" s="1"/>
  <c r="T330" i="27"/>
  <c r="N331" i="27"/>
  <c r="N332" i="27"/>
  <c r="N333" i="27"/>
  <c r="N334" i="27"/>
  <c r="N335" i="27"/>
  <c r="N336" i="27"/>
  <c r="N337" i="27"/>
  <c r="N338" i="27"/>
  <c r="N339" i="27"/>
  <c r="N340" i="27"/>
  <c r="N341" i="27"/>
  <c r="N342" i="27"/>
  <c r="N343" i="27"/>
  <c r="N344" i="27"/>
  <c r="S344" i="27"/>
  <c r="Z344" i="1"/>
  <c r="T344" i="27"/>
  <c r="AA344" i="1"/>
  <c r="N345" i="27"/>
  <c r="S345" i="27"/>
  <c r="Z345" i="1" s="1"/>
  <c r="T345" i="27"/>
  <c r="N346" i="27"/>
  <c r="N347" i="27"/>
  <c r="N348" i="27"/>
  <c r="N349" i="27"/>
  <c r="N350" i="27"/>
  <c r="N351" i="27"/>
  <c r="N352" i="27"/>
  <c r="N353" i="27"/>
  <c r="N354" i="27"/>
  <c r="N355" i="27"/>
  <c r="N356" i="27"/>
  <c r="N357" i="27"/>
  <c r="N358" i="27"/>
  <c r="N359" i="27"/>
  <c r="N360" i="27"/>
  <c r="N361" i="27"/>
  <c r="N362" i="27"/>
  <c r="N363" i="27"/>
  <c r="N364" i="27"/>
  <c r="N365" i="27"/>
  <c r="N366" i="27"/>
  <c r="N367" i="27"/>
  <c r="N368" i="27"/>
  <c r="N369" i="27"/>
  <c r="N370" i="27"/>
  <c r="N371" i="27"/>
  <c r="N372" i="27"/>
  <c r="N373" i="27"/>
  <c r="N374" i="27"/>
  <c r="N375" i="27"/>
  <c r="N376" i="27"/>
  <c r="N377" i="27"/>
  <c r="N378" i="27"/>
  <c r="N379" i="27"/>
  <c r="N380" i="27"/>
  <c r="N381" i="27"/>
  <c r="N382" i="27"/>
  <c r="N384" i="27"/>
  <c r="S384" i="27"/>
  <c r="T384" i="27"/>
  <c r="N385" i="27"/>
  <c r="S385" i="27"/>
  <c r="Z385" i="1" s="1"/>
  <c r="T385" i="27"/>
  <c r="N386" i="27"/>
  <c r="S386" i="27"/>
  <c r="T386" i="27"/>
  <c r="N387" i="27"/>
  <c r="S387" i="27"/>
  <c r="T387" i="27"/>
  <c r="AA387" i="1" s="1"/>
  <c r="N388" i="27"/>
  <c r="S388" i="27"/>
  <c r="T388" i="27"/>
  <c r="N389" i="27"/>
  <c r="S389" i="27"/>
  <c r="T389" i="27"/>
  <c r="N390" i="27"/>
  <c r="S390" i="27"/>
  <c r="T390" i="27"/>
  <c r="N391" i="27"/>
  <c r="S391" i="27"/>
  <c r="T391" i="27"/>
  <c r="AA391" i="1"/>
  <c r="N392" i="27"/>
  <c r="S392" i="27"/>
  <c r="T392" i="27"/>
  <c r="AA392" i="1"/>
  <c r="N393" i="27"/>
  <c r="S393" i="27"/>
  <c r="T393" i="27"/>
  <c r="N394" i="27"/>
  <c r="S394" i="27"/>
  <c r="T394" i="27"/>
  <c r="N395" i="27"/>
  <c r="S395" i="27"/>
  <c r="Z395" i="1" s="1"/>
  <c r="T395" i="27"/>
  <c r="AA395" i="1" s="1"/>
  <c r="N396" i="27"/>
  <c r="S396" i="27"/>
  <c r="T396" i="27"/>
  <c r="N397" i="27"/>
  <c r="S397" i="27"/>
  <c r="T397" i="27"/>
  <c r="AA397" i="1"/>
  <c r="N398" i="27"/>
  <c r="S398" i="27"/>
  <c r="T398" i="27"/>
  <c r="N399" i="27"/>
  <c r="S399" i="27"/>
  <c r="T399" i="27"/>
  <c r="AA399" i="1" s="1"/>
  <c r="N400" i="27"/>
  <c r="S400" i="27"/>
  <c r="T400" i="27"/>
  <c r="N401" i="27"/>
  <c r="S401" i="27"/>
  <c r="T401" i="27"/>
  <c r="N402" i="27"/>
  <c r="N403" i="27"/>
  <c r="N404" i="27"/>
  <c r="N405" i="27"/>
  <c r="N406" i="27"/>
  <c r="N407" i="27"/>
  <c r="N408" i="27"/>
  <c r="N409" i="27"/>
  <c r="N410" i="27"/>
  <c r="S410" i="27"/>
  <c r="T410" i="27"/>
  <c r="AA410" i="1" s="1"/>
  <c r="N411" i="27"/>
  <c r="S411" i="27"/>
  <c r="T411" i="27"/>
  <c r="N412" i="27"/>
  <c r="S412" i="27"/>
  <c r="T412" i="27"/>
  <c r="N413" i="27"/>
  <c r="S413" i="27"/>
  <c r="Z413" i="1"/>
  <c r="T413" i="27"/>
  <c r="N414" i="27"/>
  <c r="S414" i="27"/>
  <c r="T414" i="27"/>
  <c r="N415" i="27"/>
  <c r="N416" i="27"/>
  <c r="N417" i="27"/>
  <c r="S417" i="27"/>
  <c r="Z417" i="1" s="1"/>
  <c r="T417" i="27"/>
  <c r="N418" i="27"/>
  <c r="S418" i="27"/>
  <c r="T418" i="27"/>
  <c r="N419" i="27"/>
  <c r="S419" i="27"/>
  <c r="T419" i="27"/>
  <c r="N420" i="27"/>
  <c r="S420" i="27"/>
  <c r="T420" i="27"/>
  <c r="N421" i="27"/>
  <c r="S421" i="27"/>
  <c r="T421" i="27"/>
  <c r="N422" i="27"/>
  <c r="S422" i="27"/>
  <c r="T422" i="27"/>
  <c r="AA422" i="1"/>
  <c r="N423" i="27"/>
  <c r="S423" i="27"/>
  <c r="T423" i="27"/>
  <c r="N424" i="27"/>
  <c r="S424" i="27"/>
  <c r="T424" i="27"/>
  <c r="N425" i="27"/>
  <c r="S425" i="27"/>
  <c r="Z425" i="1" s="1"/>
  <c r="T425" i="27"/>
  <c r="N426" i="27"/>
  <c r="S426" i="27"/>
  <c r="T426" i="27"/>
  <c r="N427" i="27"/>
  <c r="S427" i="27"/>
  <c r="T427" i="27"/>
  <c r="N428" i="27"/>
  <c r="S428" i="27"/>
  <c r="T428" i="27"/>
  <c r="N429" i="27"/>
  <c r="S429" i="27"/>
  <c r="T429" i="27"/>
  <c r="N430" i="27"/>
  <c r="S430" i="27"/>
  <c r="T430" i="27"/>
  <c r="AA430" i="1"/>
  <c r="N431" i="27"/>
  <c r="S431" i="27"/>
  <c r="T431" i="27"/>
  <c r="N432" i="27"/>
  <c r="S432" i="27"/>
  <c r="T432" i="27"/>
  <c r="N433" i="27"/>
  <c r="S433" i="27"/>
  <c r="Z433" i="1" s="1"/>
  <c r="T433" i="27"/>
  <c r="N434" i="27"/>
  <c r="S434" i="27"/>
  <c r="T434" i="27"/>
  <c r="N435" i="27"/>
  <c r="S435" i="27"/>
  <c r="T435" i="27"/>
  <c r="N436" i="27"/>
  <c r="S436" i="27"/>
  <c r="T436" i="27"/>
  <c r="N437" i="27"/>
  <c r="S437" i="27"/>
  <c r="T437" i="27"/>
  <c r="N438" i="27"/>
  <c r="S438" i="27"/>
  <c r="T438" i="27"/>
  <c r="AA438" i="1"/>
  <c r="N439" i="27"/>
  <c r="S439" i="27"/>
  <c r="T439" i="27"/>
  <c r="N440" i="27"/>
  <c r="S440" i="27"/>
  <c r="T440" i="27"/>
  <c r="N441" i="27"/>
  <c r="S441" i="27"/>
  <c r="Z441" i="1" s="1"/>
  <c r="T441" i="27"/>
  <c r="N442" i="27"/>
  <c r="S442" i="27"/>
  <c r="T442" i="27"/>
  <c r="N443" i="27"/>
  <c r="S443" i="27"/>
  <c r="T443" i="27"/>
  <c r="N444" i="27"/>
  <c r="S444" i="27"/>
  <c r="T444" i="27"/>
  <c r="N445" i="27"/>
  <c r="S445" i="27"/>
  <c r="T445" i="27"/>
  <c r="N446" i="27"/>
  <c r="S446" i="27"/>
  <c r="T446" i="27"/>
  <c r="AA446" i="1"/>
  <c r="N447" i="27"/>
  <c r="S447" i="27"/>
  <c r="T447" i="27"/>
  <c r="N448" i="27"/>
  <c r="S448" i="27"/>
  <c r="T448" i="27"/>
  <c r="N449" i="27"/>
  <c r="S449" i="27"/>
  <c r="Z449" i="1" s="1"/>
  <c r="T449" i="27"/>
  <c r="N450" i="27"/>
  <c r="S450" i="27"/>
  <c r="T450" i="27"/>
  <c r="N451" i="27"/>
  <c r="S451" i="27"/>
  <c r="T451" i="27"/>
  <c r="N452" i="27"/>
  <c r="S452" i="27"/>
  <c r="T452" i="27"/>
  <c r="N453" i="27"/>
  <c r="S453" i="27"/>
  <c r="T453" i="27"/>
  <c r="N454" i="27"/>
  <c r="S454" i="27"/>
  <c r="T454" i="27"/>
  <c r="AA454" i="1"/>
  <c r="N455" i="27"/>
  <c r="S455" i="27"/>
  <c r="T455" i="27"/>
  <c r="N456" i="27"/>
  <c r="S456" i="27"/>
  <c r="T456" i="27"/>
  <c r="N457" i="27"/>
  <c r="S457" i="27"/>
  <c r="Z457" i="1" s="1"/>
  <c r="T457" i="27"/>
  <c r="N458" i="27"/>
  <c r="S458" i="27"/>
  <c r="T458" i="27"/>
  <c r="N459" i="27"/>
  <c r="S459" i="27"/>
  <c r="T459" i="27"/>
  <c r="N460" i="27"/>
  <c r="S460" i="27"/>
  <c r="T460" i="27"/>
  <c r="N461" i="27"/>
  <c r="S461" i="27"/>
  <c r="T461" i="27"/>
  <c r="N462" i="27"/>
  <c r="S462" i="27"/>
  <c r="T462" i="27"/>
  <c r="AA462" i="1"/>
  <c r="N463" i="27"/>
  <c r="S463" i="27"/>
  <c r="T463" i="27"/>
  <c r="N464" i="27"/>
  <c r="S464" i="27"/>
  <c r="T464" i="27"/>
  <c r="N465" i="27"/>
  <c r="S465" i="27"/>
  <c r="Z465" i="1" s="1"/>
  <c r="T465" i="27"/>
  <c r="N466" i="27"/>
  <c r="S466" i="27"/>
  <c r="T466" i="27"/>
  <c r="N467" i="27"/>
  <c r="S467" i="27"/>
  <c r="T467" i="27"/>
  <c r="N468" i="27"/>
  <c r="S468" i="27"/>
  <c r="T468" i="27"/>
  <c r="N469" i="27"/>
  <c r="S469" i="27"/>
  <c r="T469" i="27"/>
  <c r="N470" i="27"/>
  <c r="S470" i="27"/>
  <c r="T470" i="27"/>
  <c r="AA470" i="1"/>
  <c r="N471" i="27"/>
  <c r="S471" i="27"/>
  <c r="T471" i="27"/>
  <c r="N472" i="27"/>
  <c r="S472" i="27"/>
  <c r="T472" i="27"/>
  <c r="N473" i="27"/>
  <c r="S473" i="27"/>
  <c r="Z473" i="1" s="1"/>
  <c r="T473" i="27"/>
  <c r="N474" i="27"/>
  <c r="S474" i="27"/>
  <c r="T474" i="27"/>
  <c r="N475" i="27"/>
  <c r="S475" i="27"/>
  <c r="T475" i="27"/>
  <c r="N476" i="27"/>
  <c r="S476" i="27"/>
  <c r="T476" i="27"/>
  <c r="N477" i="27"/>
  <c r="S477" i="27"/>
  <c r="T477" i="27"/>
  <c r="N478" i="27"/>
  <c r="S478" i="27"/>
  <c r="T478" i="27"/>
  <c r="AA478" i="1"/>
  <c r="N479" i="27"/>
  <c r="S479" i="27"/>
  <c r="T479" i="27"/>
  <c r="N480" i="27"/>
  <c r="S480" i="27"/>
  <c r="T480" i="27"/>
  <c r="N481" i="27"/>
  <c r="S481" i="27"/>
  <c r="Z481" i="1" s="1"/>
  <c r="T481" i="27"/>
  <c r="N482" i="27"/>
  <c r="S482" i="27"/>
  <c r="T482" i="27"/>
  <c r="N483" i="27"/>
  <c r="S483" i="27"/>
  <c r="T483" i="27"/>
  <c r="N484" i="27"/>
  <c r="S484" i="27"/>
  <c r="T484" i="27"/>
  <c r="N485" i="27"/>
  <c r="S485" i="27"/>
  <c r="T485" i="27"/>
  <c r="N486" i="27"/>
  <c r="S486" i="27"/>
  <c r="T486" i="27"/>
  <c r="AA486" i="1"/>
  <c r="N487" i="27"/>
  <c r="S487" i="27"/>
  <c r="T487" i="27"/>
  <c r="N488" i="27"/>
  <c r="S488" i="27"/>
  <c r="T488" i="27"/>
  <c r="N489" i="27"/>
  <c r="S489" i="27"/>
  <c r="Z489" i="1" s="1"/>
  <c r="T489" i="27"/>
  <c r="N490" i="27"/>
  <c r="S490" i="27"/>
  <c r="T490" i="27"/>
  <c r="N491" i="27"/>
  <c r="S491" i="27"/>
  <c r="T491" i="27"/>
  <c r="N492" i="27"/>
  <c r="S492" i="27"/>
  <c r="T492" i="27"/>
  <c r="N493" i="27"/>
  <c r="S493" i="27"/>
  <c r="T493" i="27"/>
  <c r="N494" i="27"/>
  <c r="S494" i="27"/>
  <c r="T494" i="27"/>
  <c r="AA494" i="1"/>
  <c r="N495" i="27"/>
  <c r="S495" i="27"/>
  <c r="T495" i="27"/>
  <c r="N496" i="27"/>
  <c r="S496" i="27"/>
  <c r="T496" i="27"/>
  <c r="N497" i="27"/>
  <c r="S497" i="27"/>
  <c r="Z497" i="1" s="1"/>
  <c r="T497" i="27"/>
  <c r="N498" i="27"/>
  <c r="S498" i="27"/>
  <c r="T498" i="27"/>
  <c r="N499" i="27"/>
  <c r="S499" i="27"/>
  <c r="T499" i="27"/>
  <c r="N500" i="27"/>
  <c r="S500" i="27"/>
  <c r="T500" i="27"/>
  <c r="N501" i="27"/>
  <c r="S501" i="27"/>
  <c r="T501" i="27"/>
  <c r="N502" i="27"/>
  <c r="S502" i="27"/>
  <c r="T502" i="27"/>
  <c r="AA502" i="1"/>
  <c r="N503" i="27"/>
  <c r="S503" i="27"/>
  <c r="T503" i="27"/>
  <c r="N504" i="27"/>
  <c r="S504" i="27"/>
  <c r="T504" i="27"/>
  <c r="N505" i="27"/>
  <c r="S505" i="27"/>
  <c r="Z505" i="1" s="1"/>
  <c r="T505" i="27"/>
  <c r="N506" i="27"/>
  <c r="S506" i="27"/>
  <c r="T506" i="27"/>
  <c r="N507" i="27"/>
  <c r="S507" i="27"/>
  <c r="T507" i="27"/>
  <c r="N508" i="27"/>
  <c r="S508" i="27"/>
  <c r="T508" i="27"/>
  <c r="N509" i="27"/>
  <c r="S509" i="27"/>
  <c r="T509" i="27"/>
  <c r="N510" i="27"/>
  <c r="S510" i="27"/>
  <c r="T510" i="27"/>
  <c r="AA510" i="1"/>
  <c r="N511" i="27"/>
  <c r="S511" i="27"/>
  <c r="T511" i="27"/>
  <c r="N512" i="27"/>
  <c r="S512" i="27"/>
  <c r="T512" i="27"/>
  <c r="N513" i="27"/>
  <c r="S513" i="27"/>
  <c r="Z513" i="1" s="1"/>
  <c r="T513" i="27"/>
  <c r="N514" i="27"/>
  <c r="S514" i="27"/>
  <c r="T514" i="27"/>
  <c r="N515" i="27"/>
  <c r="S515" i="27"/>
  <c r="T515" i="27"/>
  <c r="N516" i="27"/>
  <c r="S516" i="27"/>
  <c r="T516" i="27"/>
  <c r="N517" i="27"/>
  <c r="S517" i="27"/>
  <c r="T517" i="27"/>
  <c r="N518" i="27"/>
  <c r="S518" i="27"/>
  <c r="T518" i="27"/>
  <c r="AA518" i="1"/>
  <c r="N519" i="27"/>
  <c r="S519" i="27"/>
  <c r="T519" i="27"/>
  <c r="N520" i="27"/>
  <c r="S520" i="27"/>
  <c r="T520" i="27"/>
  <c r="N521" i="27"/>
  <c r="S521" i="27"/>
  <c r="Z521" i="1" s="1"/>
  <c r="T521" i="27"/>
  <c r="N522" i="27"/>
  <c r="S522" i="27"/>
  <c r="T522" i="27"/>
  <c r="N523" i="27"/>
  <c r="S523" i="27"/>
  <c r="T523" i="27"/>
  <c r="N524" i="27"/>
  <c r="S524" i="27"/>
  <c r="Z524" i="1" s="1"/>
  <c r="T524" i="27"/>
  <c r="N525" i="27"/>
  <c r="S525" i="27"/>
  <c r="T525" i="27"/>
  <c r="AA525" i="1"/>
  <c r="N526" i="27"/>
  <c r="S526" i="27"/>
  <c r="Z526" i="1" s="1"/>
  <c r="T526" i="27"/>
  <c r="N527" i="27"/>
  <c r="S527" i="27"/>
  <c r="T527" i="27"/>
  <c r="N528" i="27"/>
  <c r="S528" i="27"/>
  <c r="Z528" i="1"/>
  <c r="T528" i="27"/>
  <c r="N529" i="27"/>
  <c r="S529" i="27"/>
  <c r="T529" i="27"/>
  <c r="N530" i="27"/>
  <c r="S530" i="27"/>
  <c r="T530" i="27"/>
  <c r="N531" i="27"/>
  <c r="S531" i="27"/>
  <c r="T531" i="27"/>
  <c r="N532" i="27"/>
  <c r="S532" i="27"/>
  <c r="Z532" i="1" s="1"/>
  <c r="T532" i="27"/>
  <c r="N533" i="27"/>
  <c r="S533" i="27"/>
  <c r="Z533" i="1" s="1"/>
  <c r="T533" i="27"/>
  <c r="AA533" i="1" s="1"/>
  <c r="N534" i="27"/>
  <c r="S534" i="27"/>
  <c r="Z534" i="1"/>
  <c r="T534" i="27"/>
  <c r="N535" i="27"/>
  <c r="S535" i="27"/>
  <c r="Z535" i="1"/>
  <c r="T535" i="27"/>
  <c r="N536" i="27"/>
  <c r="S536" i="27"/>
  <c r="T536" i="27"/>
  <c r="N537" i="27"/>
  <c r="S537" i="27"/>
  <c r="T537" i="27"/>
  <c r="N538" i="27"/>
  <c r="S538" i="27"/>
  <c r="T538" i="27"/>
  <c r="N539" i="27"/>
  <c r="S539" i="27"/>
  <c r="T539" i="27"/>
  <c r="N540" i="27"/>
  <c r="S540" i="27"/>
  <c r="Z540" i="1"/>
  <c r="T540" i="27"/>
  <c r="N541" i="27"/>
  <c r="S541" i="27"/>
  <c r="T541" i="27"/>
  <c r="AA541" i="1" s="1"/>
  <c r="N542" i="27"/>
  <c r="S542" i="27"/>
  <c r="Z542" i="1"/>
  <c r="T542" i="27"/>
  <c r="N543" i="27"/>
  <c r="S543" i="27"/>
  <c r="T543" i="27"/>
  <c r="N544" i="27"/>
  <c r="S544" i="27"/>
  <c r="T544" i="27"/>
  <c r="N545" i="27"/>
  <c r="S545" i="27"/>
  <c r="T545" i="27"/>
  <c r="N546" i="27"/>
  <c r="S546" i="27"/>
  <c r="T546" i="27"/>
  <c r="N547" i="27"/>
  <c r="S547" i="27"/>
  <c r="T547" i="27"/>
  <c r="N548" i="27"/>
  <c r="S548" i="27"/>
  <c r="Z548" i="1" s="1"/>
  <c r="T548" i="27"/>
  <c r="N549" i="27"/>
  <c r="S549" i="27"/>
  <c r="T549" i="27"/>
  <c r="AA549" i="1"/>
  <c r="N550" i="27"/>
  <c r="S550" i="27"/>
  <c r="Z550" i="1" s="1"/>
  <c r="T550" i="27"/>
  <c r="N551" i="27"/>
  <c r="S551" i="27"/>
  <c r="T551" i="27"/>
  <c r="S552" i="27"/>
  <c r="T552" i="27"/>
  <c r="S553" i="27"/>
  <c r="T553" i="27"/>
  <c r="N554" i="27"/>
  <c r="S554" i="27"/>
  <c r="T554" i="27"/>
  <c r="AA554" i="1" s="1"/>
  <c r="N555" i="27"/>
  <c r="S555" i="27"/>
  <c r="Z555" i="1"/>
  <c r="T555" i="27"/>
  <c r="N556" i="27"/>
  <c r="S556" i="27"/>
  <c r="T556" i="27"/>
  <c r="AA556" i="1" s="1"/>
  <c r="N557" i="27"/>
  <c r="S557" i="27"/>
  <c r="T557" i="27"/>
  <c r="S558" i="27"/>
  <c r="T558" i="27"/>
  <c r="S559" i="27"/>
  <c r="T559" i="27"/>
  <c r="N560" i="27"/>
  <c r="S560" i="27"/>
  <c r="Z560" i="1" s="1"/>
  <c r="T560" i="27"/>
  <c r="N561" i="27"/>
  <c r="S561" i="27"/>
  <c r="T561" i="27"/>
  <c r="N562" i="27"/>
  <c r="S562" i="27"/>
  <c r="T562" i="27"/>
  <c r="S563" i="27"/>
  <c r="T563" i="27"/>
  <c r="S564" i="27"/>
  <c r="T564" i="27"/>
  <c r="AA564" i="1" s="1"/>
  <c r="N565" i="27"/>
  <c r="S565" i="27"/>
  <c r="Z565" i="1"/>
  <c r="T565" i="27"/>
  <c r="AA565" i="1"/>
  <c r="N566" i="27"/>
  <c r="N567" i="27"/>
  <c r="N568" i="27"/>
  <c r="N569" i="27"/>
  <c r="N570" i="27"/>
  <c r="N571" i="27"/>
  <c r="N572" i="27"/>
  <c r="N573" i="27"/>
  <c r="N574" i="27"/>
  <c r="N575" i="27"/>
  <c r="N576" i="27"/>
  <c r="N577" i="27"/>
  <c r="N578" i="27"/>
  <c r="N579" i="27"/>
  <c r="N580" i="27"/>
  <c r="N581" i="27"/>
  <c r="S581" i="27"/>
  <c r="Z581" i="1"/>
  <c r="T581" i="27"/>
  <c r="N582" i="27"/>
  <c r="S582" i="27"/>
  <c r="T582" i="27"/>
  <c r="N583" i="27"/>
  <c r="S583" i="27"/>
  <c r="Z583" i="1" s="1"/>
  <c r="T583" i="27"/>
  <c r="N584" i="27"/>
  <c r="S584" i="27"/>
  <c r="T584" i="27"/>
  <c r="N585" i="27"/>
  <c r="S585" i="27"/>
  <c r="T585" i="27"/>
  <c r="N586" i="27"/>
  <c r="S586" i="27"/>
  <c r="T586" i="27"/>
  <c r="AA586" i="1"/>
  <c r="N587" i="27"/>
  <c r="S587" i="27"/>
  <c r="Z587" i="1" s="1"/>
  <c r="T587" i="27"/>
  <c r="N588" i="27"/>
  <c r="S588" i="27"/>
  <c r="T588" i="27"/>
  <c r="AA588" i="1"/>
  <c r="N589" i="27"/>
  <c r="S589" i="27"/>
  <c r="Z589" i="1" s="1"/>
  <c r="T589" i="27"/>
  <c r="N590" i="27"/>
  <c r="S590" i="27"/>
  <c r="T590" i="27"/>
  <c r="N591" i="27"/>
  <c r="S591" i="27"/>
  <c r="T591" i="27"/>
  <c r="N592" i="27"/>
  <c r="S592" i="27"/>
  <c r="T592" i="27"/>
  <c r="AA592" i="1"/>
  <c r="N593" i="27"/>
  <c r="S593" i="27"/>
  <c r="T593" i="27"/>
  <c r="N594" i="27"/>
  <c r="S594" i="27"/>
  <c r="T594" i="27"/>
  <c r="N595" i="27"/>
  <c r="S595" i="27"/>
  <c r="Z595" i="1" s="1"/>
  <c r="T595" i="27"/>
  <c r="N596" i="27"/>
  <c r="S596" i="27"/>
  <c r="T596" i="27"/>
  <c r="N597" i="27"/>
  <c r="S597" i="27"/>
  <c r="T597" i="27"/>
  <c r="N598" i="27"/>
  <c r="S598" i="27"/>
  <c r="T598" i="27"/>
  <c r="N599" i="27"/>
  <c r="S599" i="27"/>
  <c r="T599" i="27"/>
  <c r="N600" i="27"/>
  <c r="S600" i="27"/>
  <c r="T600" i="27"/>
  <c r="AA600" i="1"/>
  <c r="N602" i="27"/>
  <c r="S602" i="27"/>
  <c r="Z602" i="1" s="1"/>
  <c r="T602" i="27"/>
  <c r="N603" i="27"/>
  <c r="S603" i="27"/>
  <c r="T603" i="27"/>
  <c r="AA603" i="1"/>
  <c r="N604" i="27"/>
  <c r="N605" i="27"/>
  <c r="S605" i="27"/>
  <c r="T605" i="27"/>
  <c r="N606" i="27"/>
  <c r="S606" i="27"/>
  <c r="T606" i="27"/>
  <c r="AA606" i="1"/>
  <c r="N607" i="27"/>
  <c r="S607" i="27"/>
  <c r="T607" i="27"/>
  <c r="N608" i="27"/>
  <c r="N609" i="27"/>
  <c r="S609" i="27"/>
  <c r="T609" i="27"/>
  <c r="AA609" i="1"/>
  <c r="N610" i="27"/>
  <c r="S610" i="27"/>
  <c r="Z610" i="1" s="1"/>
  <c r="T610" i="27"/>
  <c r="N611" i="27"/>
  <c r="S611" i="27"/>
  <c r="T611" i="27"/>
  <c r="N612" i="27"/>
  <c r="S612" i="27"/>
  <c r="T612" i="27"/>
  <c r="N613" i="27"/>
  <c r="S613" i="27"/>
  <c r="T613" i="27"/>
  <c r="N614" i="27"/>
  <c r="S614" i="27"/>
  <c r="T614" i="27"/>
  <c r="N615" i="27"/>
  <c r="S615" i="27"/>
  <c r="T615" i="27"/>
  <c r="AA615" i="1"/>
  <c r="N616" i="27"/>
  <c r="S616" i="27"/>
  <c r="Z616" i="1" s="1"/>
  <c r="T616" i="27"/>
  <c r="N617" i="27"/>
  <c r="S617" i="27"/>
  <c r="T617" i="27"/>
  <c r="N618" i="27"/>
  <c r="S618" i="27"/>
  <c r="T618" i="27"/>
  <c r="N619" i="27"/>
  <c r="S619" i="27"/>
  <c r="T619" i="27"/>
  <c r="AA619" i="1"/>
  <c r="N620" i="27"/>
  <c r="S620" i="27"/>
  <c r="Z620" i="1" s="1"/>
  <c r="T620" i="27"/>
  <c r="N621" i="27"/>
  <c r="S621" i="27"/>
  <c r="Z621" i="1" s="1"/>
  <c r="T621" i="27"/>
  <c r="N622" i="27"/>
  <c r="S622" i="27"/>
  <c r="T622" i="27"/>
  <c r="N623" i="27"/>
  <c r="S623" i="27"/>
  <c r="T623" i="27"/>
  <c r="AA623" i="1" s="1"/>
  <c r="N624" i="27"/>
  <c r="S624" i="27"/>
  <c r="Z624" i="1"/>
  <c r="T624" i="27"/>
  <c r="N625" i="27"/>
  <c r="S625" i="27"/>
  <c r="T625" i="27"/>
  <c r="AA625" i="1" s="1"/>
  <c r="N626" i="27"/>
  <c r="S626" i="27"/>
  <c r="Z626" i="1"/>
  <c r="T626" i="27"/>
  <c r="N627" i="27"/>
  <c r="S627" i="27"/>
  <c r="T627" i="27"/>
  <c r="AA627" i="1" s="1"/>
  <c r="N628" i="27"/>
  <c r="S628" i="27"/>
  <c r="Z628" i="1"/>
  <c r="T628" i="27"/>
  <c r="N629" i="27"/>
  <c r="S629" i="27"/>
  <c r="T629" i="27"/>
  <c r="AA629" i="1" s="1"/>
  <c r="N630" i="27"/>
  <c r="S630" i="27"/>
  <c r="Z630" i="1"/>
  <c r="T630" i="27"/>
  <c r="N631" i="27"/>
  <c r="S631" i="27"/>
  <c r="T631" i="27"/>
  <c r="AA631" i="1" s="1"/>
  <c r="N632" i="27"/>
  <c r="S632" i="27"/>
  <c r="Z632" i="1"/>
  <c r="T632" i="27"/>
  <c r="N633" i="27"/>
  <c r="S633" i="27"/>
  <c r="T633" i="27"/>
  <c r="AA633" i="1" s="1"/>
  <c r="N634" i="27"/>
  <c r="S634" i="27"/>
  <c r="Z634" i="1"/>
  <c r="T634" i="27"/>
  <c r="N635" i="27"/>
  <c r="S635" i="27"/>
  <c r="T635" i="27"/>
  <c r="AA635" i="1" s="1"/>
  <c r="N636" i="27"/>
  <c r="S636" i="27"/>
  <c r="Z636" i="1"/>
  <c r="T636" i="27"/>
  <c r="N637" i="27"/>
  <c r="S637" i="27"/>
  <c r="T637" i="27"/>
  <c r="AA637" i="1" s="1"/>
  <c r="N638" i="27"/>
  <c r="S638" i="27"/>
  <c r="Z638" i="1"/>
  <c r="T638" i="27"/>
  <c r="N639" i="27"/>
  <c r="S639" i="27"/>
  <c r="T639" i="27"/>
  <c r="AA639" i="1" s="1"/>
  <c r="N640" i="27"/>
  <c r="N641" i="27"/>
  <c r="S641" i="27"/>
  <c r="T641" i="27"/>
  <c r="AA641" i="1"/>
  <c r="N642" i="27"/>
  <c r="S642" i="27"/>
  <c r="Z642" i="1" s="1"/>
  <c r="T642" i="27"/>
  <c r="N643" i="27"/>
  <c r="S643" i="27"/>
  <c r="T643" i="27"/>
  <c r="AA643" i="1"/>
  <c r="N644" i="27"/>
  <c r="S644" i="27"/>
  <c r="Z644" i="1" s="1"/>
  <c r="T644" i="27"/>
  <c r="N645" i="27"/>
  <c r="S645" i="27"/>
  <c r="T645" i="27"/>
  <c r="AA645" i="1"/>
  <c r="N646" i="27"/>
  <c r="S646" i="27"/>
  <c r="Z646" i="1" s="1"/>
  <c r="T646" i="27"/>
  <c r="N647" i="27"/>
  <c r="S647" i="27"/>
  <c r="T647" i="27"/>
  <c r="AA647" i="1"/>
  <c r="N648" i="27"/>
  <c r="S648" i="27"/>
  <c r="Z648" i="1" s="1"/>
  <c r="T648" i="27"/>
  <c r="N649" i="27"/>
  <c r="S649" i="27"/>
  <c r="T649" i="27"/>
  <c r="AA649" i="1"/>
  <c r="N650" i="27"/>
  <c r="S650" i="27"/>
  <c r="Z650" i="1" s="1"/>
  <c r="T650" i="27"/>
  <c r="N651" i="27"/>
  <c r="S651" i="27"/>
  <c r="T651" i="27"/>
  <c r="AA651" i="1"/>
  <c r="N652" i="27"/>
  <c r="S652" i="27"/>
  <c r="Z652" i="1" s="1"/>
  <c r="T652" i="27"/>
  <c r="N653" i="27"/>
  <c r="S653" i="27"/>
  <c r="T653" i="27"/>
  <c r="AA653" i="1"/>
  <c r="N654" i="27"/>
  <c r="S654" i="27"/>
  <c r="Z654" i="1" s="1"/>
  <c r="T654" i="27"/>
  <c r="N655" i="27"/>
  <c r="S655" i="27"/>
  <c r="T655" i="27"/>
  <c r="N656" i="27"/>
  <c r="S656" i="27"/>
  <c r="T656" i="27"/>
  <c r="N657" i="27"/>
  <c r="S657" i="27"/>
  <c r="T657" i="27"/>
  <c r="N658" i="27"/>
  <c r="S658" i="27"/>
  <c r="T658" i="27"/>
  <c r="N659" i="27"/>
  <c r="S659" i="27"/>
  <c r="T659" i="27"/>
  <c r="AA659" i="1"/>
  <c r="N660" i="27"/>
  <c r="S660" i="27"/>
  <c r="T660" i="27"/>
  <c r="N661" i="27"/>
  <c r="S661" i="27"/>
  <c r="T661" i="27"/>
  <c r="N662" i="27"/>
  <c r="S662" i="27"/>
  <c r="Z662" i="1" s="1"/>
  <c r="T662" i="27"/>
  <c r="N663" i="27"/>
  <c r="S663" i="27"/>
  <c r="T663" i="27"/>
  <c r="N664" i="27"/>
  <c r="S664" i="27"/>
  <c r="T664" i="27"/>
  <c r="N665" i="27"/>
  <c r="S665" i="27"/>
  <c r="T665" i="27"/>
  <c r="N666" i="27"/>
  <c r="S666" i="27"/>
  <c r="T666" i="27"/>
  <c r="N667" i="27"/>
  <c r="N668" i="27"/>
  <c r="S668" i="27"/>
  <c r="Z668" i="1"/>
  <c r="T668" i="27"/>
  <c r="N669" i="27"/>
  <c r="S669" i="27"/>
  <c r="T669" i="27"/>
  <c r="N670" i="27"/>
  <c r="S670" i="27"/>
  <c r="T670" i="27"/>
  <c r="N671" i="27"/>
  <c r="S671" i="27"/>
  <c r="T671" i="27"/>
  <c r="N672" i="27"/>
  <c r="S672" i="27"/>
  <c r="T672" i="27"/>
  <c r="N673" i="27"/>
  <c r="S673" i="27"/>
  <c r="T673" i="27"/>
  <c r="AA673" i="1" s="1"/>
  <c r="N674" i="27"/>
  <c r="S674" i="27"/>
  <c r="T674" i="27"/>
  <c r="N675" i="27"/>
  <c r="S675" i="27"/>
  <c r="T675" i="27"/>
  <c r="N676" i="27"/>
  <c r="S676" i="27"/>
  <c r="Z676" i="1"/>
  <c r="T676" i="27"/>
  <c r="N677" i="27"/>
  <c r="S677" i="27"/>
  <c r="T677" i="27"/>
  <c r="N678" i="27"/>
  <c r="S678" i="27"/>
  <c r="T678" i="27"/>
  <c r="N679" i="27"/>
  <c r="S679" i="27"/>
  <c r="T679" i="27"/>
  <c r="N680" i="27"/>
  <c r="S680" i="27"/>
  <c r="T680" i="27"/>
  <c r="N681" i="27"/>
  <c r="S681" i="27"/>
  <c r="T681" i="27"/>
  <c r="AA681" i="1" s="1"/>
  <c r="N682" i="27"/>
  <c r="S682" i="27"/>
  <c r="T682" i="27"/>
  <c r="N683" i="27"/>
  <c r="S683" i="27"/>
  <c r="T683" i="27"/>
  <c r="N684" i="27"/>
  <c r="S684" i="27"/>
  <c r="Z684" i="1"/>
  <c r="T684" i="27"/>
  <c r="N685" i="27"/>
  <c r="S685" i="27"/>
  <c r="T685" i="27"/>
  <c r="N686" i="27"/>
  <c r="S686" i="27"/>
  <c r="T686" i="27"/>
  <c r="N687" i="27"/>
  <c r="S687" i="27"/>
  <c r="T687" i="27"/>
  <c r="N688" i="27"/>
  <c r="S688" i="27"/>
  <c r="T688" i="27"/>
  <c r="N689" i="27"/>
  <c r="S689" i="27"/>
  <c r="T689" i="27"/>
  <c r="AA689" i="1" s="1"/>
  <c r="N690" i="27"/>
  <c r="S690" i="27"/>
  <c r="T690" i="27"/>
  <c r="N691" i="27"/>
  <c r="S691" i="27"/>
  <c r="T691" i="27"/>
  <c r="N692" i="27"/>
  <c r="S692" i="27"/>
  <c r="Z692" i="1"/>
  <c r="T692" i="27"/>
  <c r="N693" i="27"/>
  <c r="S693" i="27"/>
  <c r="T693" i="27"/>
  <c r="N694" i="27"/>
  <c r="S694" i="27"/>
  <c r="T694" i="27"/>
  <c r="N695" i="27"/>
  <c r="S695" i="27"/>
  <c r="T695" i="27"/>
  <c r="N696" i="27"/>
  <c r="S696" i="27"/>
  <c r="T696" i="27"/>
  <c r="N697" i="27"/>
  <c r="S697" i="27"/>
  <c r="T697" i="27"/>
  <c r="AA697" i="1" s="1"/>
  <c r="N698" i="27"/>
  <c r="S698" i="27"/>
  <c r="T698" i="27"/>
  <c r="N699" i="27"/>
  <c r="S699" i="27"/>
  <c r="T699" i="27"/>
  <c r="N700" i="27"/>
  <c r="S700" i="27"/>
  <c r="Z700" i="1"/>
  <c r="T700" i="27"/>
  <c r="N701" i="27"/>
  <c r="S701" i="27"/>
  <c r="T701" i="27"/>
  <c r="N702" i="27"/>
  <c r="S702" i="27"/>
  <c r="T702" i="27"/>
  <c r="N703" i="27"/>
  <c r="S703" i="27"/>
  <c r="T703" i="27"/>
  <c r="N704" i="27"/>
  <c r="N705" i="27"/>
  <c r="N706" i="27"/>
  <c r="S706" i="27"/>
  <c r="T706" i="27"/>
  <c r="N707" i="27"/>
  <c r="S707" i="27"/>
  <c r="T707" i="27"/>
  <c r="N708" i="27"/>
  <c r="S708" i="27"/>
  <c r="T708" i="27"/>
  <c r="N709" i="27"/>
  <c r="S709" i="27"/>
  <c r="T709" i="27"/>
  <c r="AA709" i="1" s="1"/>
  <c r="N710" i="27"/>
  <c r="S710" i="27"/>
  <c r="T710" i="27"/>
  <c r="N711" i="27"/>
  <c r="S711" i="27"/>
  <c r="T711" i="27"/>
  <c r="N712" i="27"/>
  <c r="S712" i="27"/>
  <c r="Z712" i="1"/>
  <c r="T712" i="27"/>
  <c r="N713" i="27"/>
  <c r="S713" i="27"/>
  <c r="T713" i="27"/>
  <c r="N714" i="27"/>
  <c r="S714" i="27"/>
  <c r="T714" i="27"/>
  <c r="N715" i="27"/>
  <c r="S715" i="27"/>
  <c r="T715" i="27"/>
  <c r="N716" i="27"/>
  <c r="S716" i="27"/>
  <c r="T716" i="27"/>
  <c r="N717" i="27"/>
  <c r="S717" i="27"/>
  <c r="T717" i="27"/>
  <c r="AA717" i="1" s="1"/>
  <c r="N718" i="27"/>
  <c r="S718" i="27"/>
  <c r="T718" i="27"/>
  <c r="N719" i="27"/>
  <c r="S719" i="27"/>
  <c r="T719" i="27"/>
  <c r="N720" i="27"/>
  <c r="S720" i="27"/>
  <c r="Z720" i="1"/>
  <c r="T720" i="27"/>
  <c r="N721" i="27"/>
  <c r="S721" i="27"/>
  <c r="T721" i="27"/>
  <c r="N722" i="27"/>
  <c r="S722" i="27"/>
  <c r="T722" i="27"/>
  <c r="N723" i="27"/>
  <c r="S723" i="27"/>
  <c r="T723" i="27"/>
  <c r="N724" i="27"/>
  <c r="S724" i="27"/>
  <c r="T724" i="27"/>
  <c r="N725" i="27"/>
  <c r="S725" i="27"/>
  <c r="T725" i="27"/>
  <c r="AA725" i="1" s="1"/>
  <c r="N726" i="27"/>
  <c r="S726" i="27"/>
  <c r="T726" i="27"/>
  <c r="N727" i="27"/>
  <c r="S727" i="27"/>
  <c r="T727" i="27"/>
  <c r="N728" i="27"/>
  <c r="S728" i="27"/>
  <c r="Z728" i="1"/>
  <c r="T728" i="27"/>
  <c r="N729" i="27"/>
  <c r="S729" i="27"/>
  <c r="T729" i="27"/>
  <c r="N730" i="27"/>
  <c r="S730" i="27"/>
  <c r="T730" i="27"/>
  <c r="N731" i="27"/>
  <c r="S731" i="27"/>
  <c r="T731" i="27"/>
  <c r="N732" i="27"/>
  <c r="S732" i="27"/>
  <c r="T732" i="27"/>
  <c r="N733" i="27"/>
  <c r="S733" i="27"/>
  <c r="T733" i="27"/>
  <c r="AA733" i="1" s="1"/>
  <c r="N734" i="27"/>
  <c r="S734" i="27"/>
  <c r="T734" i="27"/>
  <c r="N735" i="27"/>
  <c r="S735" i="27"/>
  <c r="T735" i="27"/>
  <c r="N736" i="27"/>
  <c r="S736" i="27"/>
  <c r="Z736" i="1"/>
  <c r="T736" i="27"/>
  <c r="N737" i="27"/>
  <c r="S737" i="27"/>
  <c r="T737" i="27"/>
  <c r="N738" i="27"/>
  <c r="S738" i="27"/>
  <c r="T738" i="27"/>
  <c r="N739" i="27"/>
  <c r="S739" i="27"/>
  <c r="T739" i="27"/>
  <c r="N740" i="27"/>
  <c r="S740" i="27"/>
  <c r="T740" i="27"/>
  <c r="N741" i="27"/>
  <c r="S741" i="27"/>
  <c r="T741" i="27"/>
  <c r="AA741" i="1" s="1"/>
  <c r="N742" i="27"/>
  <c r="S742" i="27"/>
  <c r="T742" i="27"/>
  <c r="N743" i="27"/>
  <c r="S743" i="27"/>
  <c r="T743" i="27"/>
  <c r="N744" i="27"/>
  <c r="S744" i="27"/>
  <c r="Z744" i="1"/>
  <c r="T744" i="27"/>
  <c r="N745" i="27"/>
  <c r="S745" i="27"/>
  <c r="T745" i="27"/>
  <c r="N746" i="27"/>
  <c r="S746" i="27"/>
  <c r="T746" i="27"/>
  <c r="N747" i="27"/>
  <c r="S747" i="27"/>
  <c r="T747" i="27"/>
  <c r="N748" i="27"/>
  <c r="S748" i="27"/>
  <c r="T748" i="27"/>
  <c r="N749" i="27"/>
  <c r="S749" i="27"/>
  <c r="T749" i="27"/>
  <c r="AA749" i="1" s="1"/>
  <c r="N750" i="27"/>
  <c r="S750" i="27"/>
  <c r="T750" i="27"/>
  <c r="N751" i="27"/>
  <c r="S751" i="27"/>
  <c r="T751" i="27"/>
  <c r="N752" i="27"/>
  <c r="S752" i="27"/>
  <c r="Z752" i="1"/>
  <c r="T752" i="27"/>
  <c r="N753" i="27"/>
  <c r="S753" i="27"/>
  <c r="T753" i="27"/>
  <c r="N754" i="27"/>
  <c r="S754" i="27"/>
  <c r="T754" i="27"/>
  <c r="N755" i="27"/>
  <c r="S755" i="27"/>
  <c r="T755" i="27"/>
  <c r="N756" i="27"/>
  <c r="S756" i="27"/>
  <c r="T756" i="27"/>
  <c r="N757" i="27"/>
  <c r="S757" i="27"/>
  <c r="T757" i="27"/>
  <c r="AA757" i="1" s="1"/>
  <c r="N758" i="27"/>
  <c r="S758" i="27"/>
  <c r="T758" i="27"/>
  <c r="N759" i="27"/>
  <c r="S759" i="27"/>
  <c r="T759" i="27"/>
  <c r="N760" i="27"/>
  <c r="S760" i="27"/>
  <c r="Z760" i="1"/>
  <c r="T760" i="27"/>
  <c r="N761" i="27"/>
  <c r="S761" i="27"/>
  <c r="Z761" i="1"/>
  <c r="T761" i="27"/>
  <c r="N762" i="27"/>
  <c r="S762" i="27"/>
  <c r="T762" i="27"/>
  <c r="AA762" i="1" s="1"/>
  <c r="N763" i="27"/>
  <c r="S763" i="27"/>
  <c r="T763" i="27"/>
  <c r="N764" i="27"/>
  <c r="S764" i="27"/>
  <c r="T764" i="27"/>
  <c r="N765" i="27"/>
  <c r="S765" i="27"/>
  <c r="Z765" i="1"/>
  <c r="T765" i="27"/>
  <c r="N766" i="27"/>
  <c r="S766" i="27"/>
  <c r="T766" i="27"/>
  <c r="N767" i="27"/>
  <c r="S767" i="27"/>
  <c r="T767" i="27"/>
  <c r="N768" i="27"/>
  <c r="S768" i="27"/>
  <c r="T768" i="27"/>
  <c r="N769" i="27"/>
  <c r="S769" i="27"/>
  <c r="T769" i="27"/>
  <c r="N770" i="27"/>
  <c r="S770" i="27"/>
  <c r="T770" i="27"/>
  <c r="AA770" i="1" s="1"/>
  <c r="N771" i="27"/>
  <c r="S771" i="27"/>
  <c r="T771" i="27"/>
  <c r="N772" i="27"/>
  <c r="S772" i="27"/>
  <c r="T772" i="27"/>
  <c r="N773" i="27"/>
  <c r="S773" i="27"/>
  <c r="Z773" i="1"/>
  <c r="T773" i="27"/>
  <c r="N774" i="27"/>
  <c r="S774" i="27"/>
  <c r="T774" i="27"/>
  <c r="N775" i="27"/>
  <c r="S775" i="27"/>
  <c r="T775" i="27"/>
  <c r="N776" i="27"/>
  <c r="S776" i="27"/>
  <c r="T776" i="27"/>
  <c r="N777" i="27"/>
  <c r="S777" i="27"/>
  <c r="T777" i="27"/>
  <c r="N778" i="27"/>
  <c r="S778" i="27"/>
  <c r="T778" i="27"/>
  <c r="AA778" i="1" s="1"/>
  <c r="N779" i="27"/>
  <c r="S779" i="27"/>
  <c r="T779" i="27"/>
  <c r="N780" i="27"/>
  <c r="S780" i="27"/>
  <c r="T780" i="27"/>
  <c r="N781" i="27"/>
  <c r="S781" i="27"/>
  <c r="Z781" i="1"/>
  <c r="T781" i="27"/>
  <c r="N782" i="27"/>
  <c r="S782" i="27"/>
  <c r="T782" i="27"/>
  <c r="N783" i="27"/>
  <c r="S783" i="27"/>
  <c r="T783" i="27"/>
  <c r="N784" i="27"/>
  <c r="S784" i="27"/>
  <c r="T784" i="27"/>
  <c r="N785" i="27"/>
  <c r="S785" i="27"/>
  <c r="T785" i="27"/>
  <c r="N786" i="27"/>
  <c r="S786" i="27"/>
  <c r="T786" i="27"/>
  <c r="AA786" i="1" s="1"/>
  <c r="N787" i="27"/>
  <c r="S787" i="27"/>
  <c r="T787" i="27"/>
  <c r="N788" i="27"/>
  <c r="S788" i="27"/>
  <c r="T788" i="27"/>
  <c r="N789" i="27"/>
  <c r="S789" i="27"/>
  <c r="Z789" i="1"/>
  <c r="T789" i="27"/>
  <c r="N790" i="27"/>
  <c r="S790" i="27"/>
  <c r="T790" i="27"/>
  <c r="N791" i="27"/>
  <c r="S791" i="27"/>
  <c r="T791" i="27"/>
  <c r="N792" i="27"/>
  <c r="S792" i="27"/>
  <c r="T792" i="27"/>
  <c r="N793" i="27"/>
  <c r="S793" i="27"/>
  <c r="T793" i="27"/>
  <c r="N794" i="27"/>
  <c r="S794" i="27"/>
  <c r="T794" i="27"/>
  <c r="AA794" i="1" s="1"/>
  <c r="N795" i="27"/>
  <c r="S795" i="27"/>
  <c r="T795" i="27"/>
  <c r="N796" i="27"/>
  <c r="S796" i="27"/>
  <c r="T796" i="27"/>
  <c r="N797" i="27"/>
  <c r="S797" i="27"/>
  <c r="Z797" i="1"/>
  <c r="T797" i="27"/>
  <c r="N798" i="27"/>
  <c r="S798" i="27"/>
  <c r="T798" i="27"/>
  <c r="N799" i="27"/>
  <c r="S799" i="27"/>
  <c r="T799" i="27"/>
  <c r="N800" i="27"/>
  <c r="S800" i="27"/>
  <c r="T800" i="27"/>
  <c r="N801" i="27"/>
  <c r="S801" i="27"/>
  <c r="T801" i="27"/>
  <c r="N802" i="27"/>
  <c r="S802" i="27"/>
  <c r="T802" i="27"/>
  <c r="AA802" i="1" s="1"/>
  <c r="N803" i="27"/>
  <c r="S803" i="27"/>
  <c r="T803" i="27"/>
  <c r="N804" i="27"/>
  <c r="S804" i="27"/>
  <c r="T804" i="27"/>
  <c r="N805" i="27"/>
  <c r="S805" i="27"/>
  <c r="Z805" i="1"/>
  <c r="T805" i="27"/>
  <c r="N806" i="27"/>
  <c r="S806" i="27"/>
  <c r="T806" i="27"/>
  <c r="N807" i="27"/>
  <c r="S807" i="27"/>
  <c r="T807" i="27"/>
  <c r="N808" i="27"/>
  <c r="S808" i="27"/>
  <c r="T808" i="27"/>
  <c r="N809" i="27"/>
  <c r="S809" i="27"/>
  <c r="T809" i="27"/>
  <c r="N810" i="27"/>
  <c r="S810" i="27"/>
  <c r="T810" i="27"/>
  <c r="AA810" i="1" s="1"/>
  <c r="N811" i="27"/>
  <c r="S811" i="27"/>
  <c r="T811" i="27"/>
  <c r="N812" i="27"/>
  <c r="S812" i="27"/>
  <c r="T812" i="27"/>
  <c r="N813" i="27"/>
  <c r="S813" i="27"/>
  <c r="Z813" i="1"/>
  <c r="T813" i="27"/>
  <c r="N814" i="27"/>
  <c r="S814" i="27"/>
  <c r="T814" i="27"/>
  <c r="N815" i="27"/>
  <c r="S815" i="27"/>
  <c r="T815" i="27"/>
  <c r="N816" i="27"/>
  <c r="S816" i="27"/>
  <c r="T816" i="27"/>
  <c r="N817" i="27"/>
  <c r="S817" i="27"/>
  <c r="T817" i="27"/>
  <c r="N818" i="27"/>
  <c r="S818" i="27"/>
  <c r="T818" i="27"/>
  <c r="AA818" i="1" s="1"/>
  <c r="N819" i="27"/>
  <c r="S819" i="27"/>
  <c r="T819" i="27"/>
  <c r="N820" i="27"/>
  <c r="S820" i="27"/>
  <c r="T820" i="27"/>
  <c r="N821" i="27"/>
  <c r="S821" i="27"/>
  <c r="Z821" i="1"/>
  <c r="T821" i="27"/>
  <c r="N822" i="27"/>
  <c r="S822" i="27"/>
  <c r="T822" i="27"/>
  <c r="N823" i="27"/>
  <c r="S823" i="27"/>
  <c r="T823" i="27"/>
  <c r="N824" i="27"/>
  <c r="S824" i="27"/>
  <c r="T824" i="27"/>
  <c r="N825" i="27"/>
  <c r="S825" i="27"/>
  <c r="T825" i="27"/>
  <c r="N826" i="27"/>
  <c r="S826" i="27"/>
  <c r="T826" i="27"/>
  <c r="AA826" i="1" s="1"/>
  <c r="N827" i="27"/>
  <c r="S827" i="27"/>
  <c r="T827" i="27"/>
  <c r="N828" i="27"/>
  <c r="S828" i="27"/>
  <c r="T828" i="27"/>
  <c r="O829" i="27"/>
  <c r="P829" i="27"/>
  <c r="Q829" i="27"/>
  <c r="R829" i="27"/>
  <c r="N832" i="27"/>
  <c r="N833" i="27"/>
  <c r="N834" i="27"/>
  <c r="N835" i="27"/>
  <c r="T835" i="27"/>
  <c r="AA835" i="1" s="1"/>
  <c r="N836" i="27"/>
  <c r="T836" i="27"/>
  <c r="AA836" i="1"/>
  <c r="N837" i="27"/>
  <c r="N838" i="27"/>
  <c r="N839" i="27"/>
  <c r="N840" i="27"/>
  <c r="N841" i="27"/>
  <c r="N842" i="27"/>
  <c r="T842" i="27"/>
  <c r="AA842" i="1"/>
  <c r="N843" i="27"/>
  <c r="T843" i="27"/>
  <c r="AA843" i="1" s="1"/>
  <c r="N844" i="27"/>
  <c r="T844" i="27"/>
  <c r="AA844" i="1"/>
  <c r="N845" i="27"/>
  <c r="T845" i="27"/>
  <c r="AA845" i="1" s="1"/>
  <c r="N846" i="27"/>
  <c r="N847" i="27"/>
  <c r="N848" i="27"/>
  <c r="T848" i="27"/>
  <c r="N849" i="27"/>
  <c r="S849" i="27"/>
  <c r="T849" i="27"/>
  <c r="N850" i="27"/>
  <c r="S850" i="27"/>
  <c r="T850" i="27"/>
  <c r="AA850" i="1"/>
  <c r="N851" i="27"/>
  <c r="S851" i="27"/>
  <c r="T851" i="27"/>
  <c r="N852" i="27"/>
  <c r="S852" i="27"/>
  <c r="T852" i="27"/>
  <c r="N853" i="27"/>
  <c r="S853" i="27"/>
  <c r="Z853" i="1" s="1"/>
  <c r="T853" i="27"/>
  <c r="N854" i="27"/>
  <c r="S854" i="27"/>
  <c r="T854" i="27"/>
  <c r="N855" i="27"/>
  <c r="S855" i="27"/>
  <c r="T855" i="27"/>
  <c r="N856" i="27"/>
  <c r="S856" i="27"/>
  <c r="T856" i="27"/>
  <c r="N857" i="27"/>
  <c r="S857" i="27"/>
  <c r="T857" i="27"/>
  <c r="N858" i="27"/>
  <c r="N859" i="27"/>
  <c r="N860" i="27"/>
  <c r="N861" i="27"/>
  <c r="N862" i="27"/>
  <c r="N863" i="27"/>
  <c r="N864" i="27"/>
  <c r="N865" i="27"/>
  <c r="N866" i="27"/>
  <c r="N867" i="27"/>
  <c r="N868" i="27"/>
  <c r="T868" i="27"/>
  <c r="N869" i="27"/>
  <c r="T869" i="27"/>
  <c r="AA869" i="1" s="1"/>
  <c r="N870" i="27"/>
  <c r="T870" i="27"/>
  <c r="N871" i="27"/>
  <c r="T871" i="27"/>
  <c r="AA871" i="1"/>
  <c r="N872" i="27"/>
  <c r="T872" i="27"/>
  <c r="N873" i="27"/>
  <c r="T873" i="27"/>
  <c r="AA873" i="1" s="1"/>
  <c r="N874" i="27"/>
  <c r="T874" i="27"/>
  <c r="N875" i="27"/>
  <c r="T875" i="27"/>
  <c r="N876" i="27"/>
  <c r="S876" i="27"/>
  <c r="T876" i="27"/>
  <c r="N877" i="27"/>
  <c r="S877" i="27"/>
  <c r="T877" i="27"/>
  <c r="N878" i="27"/>
  <c r="S878" i="27"/>
  <c r="T878" i="27"/>
  <c r="N879" i="27"/>
  <c r="S879" i="27"/>
  <c r="T879" i="27"/>
  <c r="N880" i="27"/>
  <c r="S880" i="27"/>
  <c r="T880" i="27"/>
  <c r="AA880" i="1" s="1"/>
  <c r="N881" i="27"/>
  <c r="S881" i="27"/>
  <c r="T881" i="27"/>
  <c r="N882" i="27"/>
  <c r="S882" i="27"/>
  <c r="T882" i="27"/>
  <c r="N883" i="27"/>
  <c r="S883" i="27"/>
  <c r="Z883" i="1"/>
  <c r="T883" i="27"/>
  <c r="N884" i="27"/>
  <c r="N885" i="27"/>
  <c r="T885" i="27"/>
  <c r="AA885" i="1" s="1"/>
  <c r="N886" i="27"/>
  <c r="T886" i="27"/>
  <c r="AA886" i="1"/>
  <c r="N887" i="27"/>
  <c r="O888" i="27"/>
  <c r="P888" i="27"/>
  <c r="Q888" i="27"/>
  <c r="R888" i="27"/>
  <c r="P898" i="27"/>
  <c r="T898" i="27"/>
  <c r="P899" i="27"/>
  <c r="P904" i="27"/>
  <c r="P905" i="27"/>
  <c r="P907" i="27"/>
  <c r="P908" i="27"/>
  <c r="P910" i="27"/>
  <c r="P911" i="27"/>
  <c r="E2" i="26"/>
  <c r="C6" i="26"/>
  <c r="G6" i="26"/>
  <c r="C8" i="26"/>
  <c r="N10" i="26" s="1"/>
  <c r="Q8" i="26"/>
  <c r="S8" i="26"/>
  <c r="C10" i="26"/>
  <c r="E12" i="26"/>
  <c r="I829" i="26"/>
  <c r="I831" i="26" s="1"/>
  <c r="I888" i="26" s="1"/>
  <c r="I890" i="26" s="1"/>
  <c r="H12" i="26"/>
  <c r="N2" i="26" s="1"/>
  <c r="N4" i="26" s="1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3" i="26"/>
  <c r="N104" i="26"/>
  <c r="N105" i="26"/>
  <c r="N106" i="26"/>
  <c r="N107" i="26"/>
  <c r="N108" i="26"/>
  <c r="N109" i="26"/>
  <c r="N110" i="26"/>
  <c r="N111" i="26"/>
  <c r="N112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4" i="26"/>
  <c r="N555" i="26"/>
  <c r="N556" i="26"/>
  <c r="N557" i="26"/>
  <c r="N560" i="26"/>
  <c r="N561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N656" i="26"/>
  <c r="N657" i="26"/>
  <c r="N658" i="26"/>
  <c r="N659" i="26"/>
  <c r="N660" i="26"/>
  <c r="N661" i="26"/>
  <c r="N662" i="26"/>
  <c r="N663" i="26"/>
  <c r="N664" i="26"/>
  <c r="N665" i="26"/>
  <c r="N666" i="26"/>
  <c r="N667" i="26"/>
  <c r="N668" i="26"/>
  <c r="N669" i="26"/>
  <c r="N670" i="26"/>
  <c r="N671" i="26"/>
  <c r="N672" i="26"/>
  <c r="N673" i="26"/>
  <c r="N674" i="26"/>
  <c r="N675" i="26"/>
  <c r="N676" i="26"/>
  <c r="N677" i="26"/>
  <c r="N678" i="26"/>
  <c r="N679" i="26"/>
  <c r="N680" i="26"/>
  <c r="N681" i="26"/>
  <c r="N682" i="26"/>
  <c r="N683" i="26"/>
  <c r="N684" i="26"/>
  <c r="N685" i="26"/>
  <c r="N686" i="26"/>
  <c r="N687" i="26"/>
  <c r="N688" i="26"/>
  <c r="N689" i="26"/>
  <c r="N690" i="26"/>
  <c r="N691" i="26"/>
  <c r="N692" i="26"/>
  <c r="N693" i="26"/>
  <c r="N694" i="26"/>
  <c r="N695" i="26"/>
  <c r="N696" i="26"/>
  <c r="N697" i="26"/>
  <c r="N698" i="26"/>
  <c r="N699" i="26"/>
  <c r="N700" i="26"/>
  <c r="N701" i="26"/>
  <c r="N702" i="26"/>
  <c r="N703" i="26"/>
  <c r="N704" i="26"/>
  <c r="N705" i="26"/>
  <c r="N706" i="26"/>
  <c r="N707" i="26"/>
  <c r="N708" i="26"/>
  <c r="N709" i="26"/>
  <c r="N710" i="26"/>
  <c r="N711" i="26"/>
  <c r="N712" i="26"/>
  <c r="N713" i="26"/>
  <c r="N714" i="26"/>
  <c r="N715" i="26"/>
  <c r="N716" i="26"/>
  <c r="N717" i="26"/>
  <c r="N718" i="26"/>
  <c r="N719" i="26"/>
  <c r="N720" i="26"/>
  <c r="N721" i="26"/>
  <c r="N722" i="26"/>
  <c r="N723" i="26"/>
  <c r="N724" i="26"/>
  <c r="N725" i="26"/>
  <c r="N726" i="26"/>
  <c r="N727" i="26"/>
  <c r="N728" i="26"/>
  <c r="N729" i="26"/>
  <c r="N730" i="26"/>
  <c r="N731" i="26"/>
  <c r="N732" i="26"/>
  <c r="N733" i="26"/>
  <c r="N734" i="26"/>
  <c r="N735" i="26"/>
  <c r="N736" i="26"/>
  <c r="N737" i="26"/>
  <c r="N738" i="26"/>
  <c r="N739" i="26"/>
  <c r="N740" i="26"/>
  <c r="N741" i="26"/>
  <c r="N742" i="26"/>
  <c r="N743" i="26"/>
  <c r="N744" i="26"/>
  <c r="N745" i="26"/>
  <c r="N746" i="26"/>
  <c r="N747" i="26"/>
  <c r="N748" i="26"/>
  <c r="N749" i="26"/>
  <c r="N750" i="26"/>
  <c r="N751" i="26"/>
  <c r="N752" i="26"/>
  <c r="N753" i="26"/>
  <c r="N754" i="26"/>
  <c r="N755" i="26"/>
  <c r="N756" i="26"/>
  <c r="N757" i="26"/>
  <c r="N758" i="26"/>
  <c r="N759" i="26"/>
  <c r="N760" i="26"/>
  <c r="N761" i="26"/>
  <c r="N762" i="26"/>
  <c r="N763" i="26"/>
  <c r="N764" i="26"/>
  <c r="N765" i="26"/>
  <c r="N766" i="26"/>
  <c r="N767" i="26"/>
  <c r="N768" i="26"/>
  <c r="N769" i="26"/>
  <c r="N770" i="26"/>
  <c r="N771" i="26"/>
  <c r="N772" i="26"/>
  <c r="N773" i="26"/>
  <c r="N774" i="26"/>
  <c r="N775" i="26"/>
  <c r="N776" i="26"/>
  <c r="N777" i="26"/>
  <c r="N778" i="26"/>
  <c r="N779" i="26"/>
  <c r="N780" i="26"/>
  <c r="N781" i="26"/>
  <c r="N782" i="26"/>
  <c r="N783" i="26"/>
  <c r="N784" i="26"/>
  <c r="N785" i="26"/>
  <c r="N786" i="26"/>
  <c r="N787" i="26"/>
  <c r="N788" i="26"/>
  <c r="N789" i="26"/>
  <c r="N790" i="26"/>
  <c r="N791" i="26"/>
  <c r="N792" i="26"/>
  <c r="N793" i="26"/>
  <c r="N794" i="26"/>
  <c r="N795" i="26"/>
  <c r="N796" i="26"/>
  <c r="N797" i="26"/>
  <c r="N798" i="26"/>
  <c r="N799" i="26"/>
  <c r="N800" i="26"/>
  <c r="N801" i="26"/>
  <c r="N802" i="26"/>
  <c r="N803" i="26"/>
  <c r="N804" i="26"/>
  <c r="N805" i="26"/>
  <c r="N806" i="26"/>
  <c r="N807" i="26"/>
  <c r="N808" i="26"/>
  <c r="N809" i="26"/>
  <c r="N810" i="26"/>
  <c r="N811" i="26"/>
  <c r="N812" i="26"/>
  <c r="N813" i="26"/>
  <c r="N814" i="26"/>
  <c r="N815" i="26"/>
  <c r="N816" i="26"/>
  <c r="N817" i="26"/>
  <c r="N818" i="26"/>
  <c r="N819" i="26"/>
  <c r="N820" i="26"/>
  <c r="N821" i="26"/>
  <c r="N822" i="26"/>
  <c r="N823" i="26"/>
  <c r="N824" i="26"/>
  <c r="N825" i="26"/>
  <c r="N826" i="26"/>
  <c r="N827" i="26"/>
  <c r="N828" i="26"/>
  <c r="O829" i="26"/>
  <c r="P829" i="26"/>
  <c r="P890" i="26" s="1"/>
  <c r="N832" i="26"/>
  <c r="N833" i="26"/>
  <c r="N834" i="26"/>
  <c r="N835" i="26"/>
  <c r="N836" i="26"/>
  <c r="N837" i="26"/>
  <c r="N838" i="26"/>
  <c r="N839" i="26"/>
  <c r="N840" i="26"/>
  <c r="N841" i="26"/>
  <c r="N842" i="26"/>
  <c r="N843" i="26"/>
  <c r="N844" i="26"/>
  <c r="N845" i="26"/>
  <c r="N846" i="26"/>
  <c r="N847" i="26"/>
  <c r="N848" i="26"/>
  <c r="N849" i="26"/>
  <c r="N850" i="26"/>
  <c r="N851" i="26"/>
  <c r="N852" i="26"/>
  <c r="N853" i="26"/>
  <c r="N854" i="26"/>
  <c r="N855" i="26"/>
  <c r="N856" i="26"/>
  <c r="N857" i="26"/>
  <c r="N858" i="26"/>
  <c r="N859" i="26"/>
  <c r="N860" i="26"/>
  <c r="N861" i="26"/>
  <c r="N862" i="26"/>
  <c r="N863" i="26"/>
  <c r="N864" i="26"/>
  <c r="N865" i="26"/>
  <c r="N866" i="26"/>
  <c r="N867" i="26"/>
  <c r="N868" i="26"/>
  <c r="N869" i="26"/>
  <c r="N870" i="26"/>
  <c r="N871" i="26"/>
  <c r="N872" i="26"/>
  <c r="N873" i="26"/>
  <c r="N874" i="26"/>
  <c r="N875" i="26"/>
  <c r="N876" i="26"/>
  <c r="N877" i="26"/>
  <c r="N878" i="26"/>
  <c r="N879" i="26"/>
  <c r="N880" i="26"/>
  <c r="N881" i="26"/>
  <c r="N882" i="26"/>
  <c r="N883" i="26"/>
  <c r="N884" i="26"/>
  <c r="N885" i="26"/>
  <c r="N886" i="26"/>
  <c r="N887" i="26"/>
  <c r="O888" i="26"/>
  <c r="P888" i="26"/>
  <c r="Q888" i="26"/>
  <c r="Q890" i="26" s="1"/>
  <c r="R888" i="26"/>
  <c r="P898" i="26"/>
  <c r="P899" i="26"/>
  <c r="T899" i="26"/>
  <c r="P904" i="26"/>
  <c r="P905" i="26"/>
  <c r="P907" i="26"/>
  <c r="P908" i="26"/>
  <c r="P910" i="26"/>
  <c r="P911" i="26"/>
  <c r="E2" i="25"/>
  <c r="C6" i="25"/>
  <c r="G6" i="25"/>
  <c r="C8" i="25"/>
  <c r="Q8" i="25"/>
  <c r="S8" i="25"/>
  <c r="C10" i="25"/>
  <c r="N10" i="25"/>
  <c r="E12" i="25"/>
  <c r="I829" i="25" s="1"/>
  <c r="I831" i="25" s="1"/>
  <c r="I888" i="25" s="1"/>
  <c r="I890" i="25" s="1"/>
  <c r="H12" i="25"/>
  <c r="N2" i="25"/>
  <c r="N4" i="25" s="1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T907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T911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3" i="25"/>
  <c r="N104" i="25"/>
  <c r="N105" i="25"/>
  <c r="N106" i="25"/>
  <c r="N107" i="25"/>
  <c r="N108" i="25"/>
  <c r="N109" i="25"/>
  <c r="N110" i="25"/>
  <c r="N111" i="25"/>
  <c r="N112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T899" i="25"/>
  <c r="N377" i="25"/>
  <c r="N378" i="25"/>
  <c r="N379" i="25"/>
  <c r="N380" i="25"/>
  <c r="N381" i="25"/>
  <c r="N382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4" i="25"/>
  <c r="N555" i="25"/>
  <c r="N556" i="25"/>
  <c r="N557" i="25"/>
  <c r="N560" i="25"/>
  <c r="N561" i="25"/>
  <c r="N562" i="25"/>
  <c r="N563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N684" i="25"/>
  <c r="N685" i="25"/>
  <c r="N686" i="25"/>
  <c r="N687" i="25"/>
  <c r="N688" i="25"/>
  <c r="N689" i="25"/>
  <c r="N690" i="25"/>
  <c r="N691" i="25"/>
  <c r="N692" i="25"/>
  <c r="N693" i="25"/>
  <c r="N694" i="25"/>
  <c r="N695" i="25"/>
  <c r="N696" i="25"/>
  <c r="N697" i="25"/>
  <c r="N698" i="25"/>
  <c r="N699" i="25"/>
  <c r="N700" i="25"/>
  <c r="N701" i="25"/>
  <c r="N702" i="25"/>
  <c r="N703" i="25"/>
  <c r="N704" i="25"/>
  <c r="N705" i="25"/>
  <c r="N706" i="25"/>
  <c r="N707" i="25"/>
  <c r="N708" i="25"/>
  <c r="N709" i="25"/>
  <c r="N710" i="25"/>
  <c r="N711" i="25"/>
  <c r="N712" i="25"/>
  <c r="N713" i="25"/>
  <c r="N714" i="25"/>
  <c r="N715" i="25"/>
  <c r="N716" i="25"/>
  <c r="N717" i="25"/>
  <c r="N718" i="25"/>
  <c r="N719" i="25"/>
  <c r="N720" i="25"/>
  <c r="N721" i="25"/>
  <c r="N722" i="25"/>
  <c r="N723" i="25"/>
  <c r="N724" i="25"/>
  <c r="N725" i="25"/>
  <c r="N726" i="25"/>
  <c r="N727" i="25"/>
  <c r="N728" i="25"/>
  <c r="N729" i="25"/>
  <c r="N730" i="25"/>
  <c r="N731" i="25"/>
  <c r="N732" i="25"/>
  <c r="N733" i="25"/>
  <c r="N734" i="25"/>
  <c r="N735" i="25"/>
  <c r="N736" i="25"/>
  <c r="N737" i="25"/>
  <c r="N738" i="25"/>
  <c r="N739" i="25"/>
  <c r="N740" i="25"/>
  <c r="N741" i="25"/>
  <c r="N742" i="25"/>
  <c r="N743" i="25"/>
  <c r="N744" i="25"/>
  <c r="N745" i="25"/>
  <c r="N746" i="25"/>
  <c r="N747" i="25"/>
  <c r="N748" i="25"/>
  <c r="N749" i="25"/>
  <c r="N750" i="25"/>
  <c r="N751" i="25"/>
  <c r="N752" i="25"/>
  <c r="N753" i="25"/>
  <c r="N754" i="25"/>
  <c r="N755" i="25"/>
  <c r="N756" i="25"/>
  <c r="N757" i="25"/>
  <c r="N758" i="25"/>
  <c r="N759" i="25"/>
  <c r="N760" i="25"/>
  <c r="N761" i="25"/>
  <c r="N762" i="25"/>
  <c r="N763" i="25"/>
  <c r="N764" i="25"/>
  <c r="N765" i="25"/>
  <c r="N766" i="25"/>
  <c r="N767" i="25"/>
  <c r="N768" i="25"/>
  <c r="N769" i="25"/>
  <c r="N770" i="25"/>
  <c r="N771" i="25"/>
  <c r="N772" i="25"/>
  <c r="N773" i="25"/>
  <c r="N774" i="25"/>
  <c r="N775" i="25"/>
  <c r="N776" i="25"/>
  <c r="N777" i="25"/>
  <c r="N778" i="25"/>
  <c r="N779" i="25"/>
  <c r="N780" i="25"/>
  <c r="N781" i="25"/>
  <c r="N782" i="25"/>
  <c r="N783" i="25"/>
  <c r="N784" i="25"/>
  <c r="N785" i="25"/>
  <c r="N786" i="25"/>
  <c r="N787" i="25"/>
  <c r="N788" i="25"/>
  <c r="N789" i="25"/>
  <c r="N790" i="25"/>
  <c r="N791" i="25"/>
  <c r="N792" i="25"/>
  <c r="N793" i="25"/>
  <c r="N794" i="25"/>
  <c r="N795" i="25"/>
  <c r="N796" i="25"/>
  <c r="N797" i="25"/>
  <c r="N798" i="25"/>
  <c r="N799" i="25"/>
  <c r="N800" i="25"/>
  <c r="N801" i="25"/>
  <c r="N802" i="25"/>
  <c r="N803" i="25"/>
  <c r="N804" i="25"/>
  <c r="N805" i="25"/>
  <c r="N806" i="25"/>
  <c r="N807" i="25"/>
  <c r="N808" i="25"/>
  <c r="N809" i="25"/>
  <c r="N810" i="25"/>
  <c r="N811" i="25"/>
  <c r="N812" i="25"/>
  <c r="N813" i="25"/>
  <c r="N814" i="25"/>
  <c r="N815" i="25"/>
  <c r="N816" i="25"/>
  <c r="N817" i="25"/>
  <c r="N818" i="25"/>
  <c r="N819" i="25"/>
  <c r="N820" i="25"/>
  <c r="N821" i="25"/>
  <c r="N822" i="25"/>
  <c r="N823" i="25"/>
  <c r="N824" i="25"/>
  <c r="N825" i="25"/>
  <c r="N826" i="25"/>
  <c r="N827" i="25"/>
  <c r="N828" i="25"/>
  <c r="O829" i="25"/>
  <c r="P829" i="25"/>
  <c r="N832" i="25"/>
  <c r="N833" i="25"/>
  <c r="N834" i="25"/>
  <c r="N835" i="25"/>
  <c r="N836" i="25"/>
  <c r="N837" i="25"/>
  <c r="N838" i="25"/>
  <c r="N839" i="25"/>
  <c r="N840" i="25"/>
  <c r="N841" i="25"/>
  <c r="N842" i="25"/>
  <c r="N843" i="25"/>
  <c r="N844" i="25"/>
  <c r="N845" i="25"/>
  <c r="N846" i="25"/>
  <c r="N847" i="25"/>
  <c r="N848" i="25"/>
  <c r="N849" i="25"/>
  <c r="N850" i="25"/>
  <c r="N851" i="25"/>
  <c r="N852" i="25"/>
  <c r="N853" i="25"/>
  <c r="N854" i="25"/>
  <c r="N855" i="25"/>
  <c r="N856" i="25"/>
  <c r="N857" i="25"/>
  <c r="N858" i="25"/>
  <c r="N859" i="25"/>
  <c r="N860" i="25"/>
  <c r="N861" i="25"/>
  <c r="N862" i="25"/>
  <c r="N863" i="25"/>
  <c r="N864" i="25"/>
  <c r="N865" i="25"/>
  <c r="N866" i="25"/>
  <c r="N867" i="25"/>
  <c r="N868" i="25"/>
  <c r="N869" i="25"/>
  <c r="N870" i="25"/>
  <c r="N871" i="25"/>
  <c r="N872" i="25"/>
  <c r="N873" i="25"/>
  <c r="N874" i="25"/>
  <c r="N875" i="25"/>
  <c r="N876" i="25"/>
  <c r="N877" i="25"/>
  <c r="N878" i="25"/>
  <c r="N879" i="25"/>
  <c r="N880" i="25"/>
  <c r="N881" i="25"/>
  <c r="N882" i="25"/>
  <c r="N883" i="25"/>
  <c r="N884" i="25"/>
  <c r="N885" i="25"/>
  <c r="N886" i="25"/>
  <c r="N887" i="25"/>
  <c r="O888" i="25"/>
  <c r="P888" i="25"/>
  <c r="Q888" i="25"/>
  <c r="R888" i="25"/>
  <c r="R890" i="25"/>
  <c r="P898" i="25"/>
  <c r="P899" i="25"/>
  <c r="P904" i="25"/>
  <c r="P905" i="25"/>
  <c r="T905" i="25"/>
  <c r="P907" i="25"/>
  <c r="P908" i="25"/>
  <c r="T908" i="25"/>
  <c r="P910" i="25"/>
  <c r="P911" i="25"/>
  <c r="E2" i="20"/>
  <c r="C6" i="20"/>
  <c r="G6" i="20"/>
  <c r="C8" i="20"/>
  <c r="N10" i="20" s="1"/>
  <c r="Q8" i="20"/>
  <c r="S8" i="20"/>
  <c r="C10" i="20"/>
  <c r="E12" i="20"/>
  <c r="I829" i="20" s="1"/>
  <c r="I831" i="20" s="1"/>
  <c r="I888" i="20" s="1"/>
  <c r="I890" i="20" s="1"/>
  <c r="H12" i="20"/>
  <c r="N2" i="20"/>
  <c r="N4" i="20" s="1"/>
  <c r="V115" i="20" s="1"/>
  <c r="N14" i="20"/>
  <c r="AA14" i="1"/>
  <c r="N15" i="20"/>
  <c r="Z15" i="1"/>
  <c r="AA15" i="1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Z55" i="1"/>
  <c r="N56" i="20"/>
  <c r="N57" i="20"/>
  <c r="N58" i="20"/>
  <c r="N59" i="20"/>
  <c r="N60" i="20"/>
  <c r="Z60" i="1"/>
  <c r="AA60" i="1"/>
  <c r="N61" i="20"/>
  <c r="Z61" i="1"/>
  <c r="N62" i="20"/>
  <c r="AA62" i="1"/>
  <c r="N63" i="20"/>
  <c r="AA63" i="1"/>
  <c r="N64" i="20"/>
  <c r="AA64" i="1"/>
  <c r="N65" i="20"/>
  <c r="N66" i="20"/>
  <c r="AA66" i="1"/>
  <c r="N67" i="20"/>
  <c r="AA67" i="1"/>
  <c r="N68" i="20"/>
  <c r="AA68" i="1"/>
  <c r="N69" i="20"/>
  <c r="N71" i="20"/>
  <c r="Z71" i="1"/>
  <c r="G19" i="4"/>
  <c r="G19" i="8" s="1"/>
  <c r="N72" i="20"/>
  <c r="N73" i="20"/>
  <c r="Z73" i="1"/>
  <c r="N74" i="20"/>
  <c r="Z74" i="1"/>
  <c r="N75" i="20"/>
  <c r="Z75" i="1"/>
  <c r="N76" i="20"/>
  <c r="Z76" i="1"/>
  <c r="N77" i="20"/>
  <c r="Z77" i="1"/>
  <c r="N78" i="20"/>
  <c r="Z78" i="1"/>
  <c r="N79" i="20"/>
  <c r="Z79" i="1"/>
  <c r="N80" i="20"/>
  <c r="Z80" i="1"/>
  <c r="N81" i="20"/>
  <c r="Z81" i="1"/>
  <c r="N82" i="20"/>
  <c r="Z82" i="1"/>
  <c r="N83" i="20"/>
  <c r="Z83" i="1"/>
  <c r="N84" i="20"/>
  <c r="Z84" i="1"/>
  <c r="N85" i="20"/>
  <c r="Z85" i="1"/>
  <c r="N86" i="20"/>
  <c r="Z86" i="1"/>
  <c r="N87" i="20"/>
  <c r="Z87" i="1"/>
  <c r="N88" i="20"/>
  <c r="Z88" i="1"/>
  <c r="N89" i="20"/>
  <c r="Z89" i="1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3" i="20"/>
  <c r="Z103" i="1"/>
  <c r="N104" i="20"/>
  <c r="Z104" i="1"/>
  <c r="N105" i="20"/>
  <c r="Z105" i="1"/>
  <c r="N106" i="20"/>
  <c r="Z106" i="1"/>
  <c r="N107" i="20"/>
  <c r="Z107" i="1"/>
  <c r="N108" i="20"/>
  <c r="Z108" i="1"/>
  <c r="N109" i="20"/>
  <c r="Z109" i="1"/>
  <c r="N110" i="20"/>
  <c r="Z110" i="1"/>
  <c r="N111" i="20"/>
  <c r="N112" i="20"/>
  <c r="Z112" i="1"/>
  <c r="N114" i="20"/>
  <c r="AA114" i="1"/>
  <c r="N115" i="20"/>
  <c r="N116" i="20"/>
  <c r="AA116" i="1"/>
  <c r="N117" i="20"/>
  <c r="N118" i="20"/>
  <c r="AA118" i="1"/>
  <c r="N119" i="20"/>
  <c r="Z119" i="1"/>
  <c r="AO119" i="1"/>
  <c r="N120" i="20"/>
  <c r="Z120" i="1"/>
  <c r="N121" i="20"/>
  <c r="Z121" i="1"/>
  <c r="AA121" i="1"/>
  <c r="N122" i="20"/>
  <c r="AA122" i="1"/>
  <c r="N123" i="20"/>
  <c r="N124" i="20"/>
  <c r="Z124" i="1"/>
  <c r="N125" i="20"/>
  <c r="AA125" i="1"/>
  <c r="N126" i="20"/>
  <c r="Z126" i="1"/>
  <c r="N127" i="20"/>
  <c r="AA127" i="1"/>
  <c r="N128" i="20"/>
  <c r="AA128" i="1"/>
  <c r="N129" i="20"/>
  <c r="Z129" i="1"/>
  <c r="N130" i="20"/>
  <c r="AA130" i="1"/>
  <c r="N131" i="20"/>
  <c r="N132" i="20"/>
  <c r="N133" i="20"/>
  <c r="N134" i="20"/>
  <c r="Z134" i="1"/>
  <c r="N135" i="20"/>
  <c r="AA135" i="1"/>
  <c r="N136" i="20"/>
  <c r="Z136" i="1"/>
  <c r="N137" i="20"/>
  <c r="Z137" i="1"/>
  <c r="N138" i="20"/>
  <c r="Z138" i="1"/>
  <c r="N139" i="20"/>
  <c r="N140" i="20"/>
  <c r="AA140" i="1"/>
  <c r="N141" i="20"/>
  <c r="Z141" i="1"/>
  <c r="N142" i="20"/>
  <c r="AA142" i="1"/>
  <c r="N143" i="20"/>
  <c r="AA143" i="1"/>
  <c r="N144" i="20"/>
  <c r="Z144" i="1"/>
  <c r="N145" i="20"/>
  <c r="Z145" i="1"/>
  <c r="N146" i="20"/>
  <c r="AA146" i="1"/>
  <c r="N147" i="20"/>
  <c r="N148" i="20"/>
  <c r="Z148" i="1"/>
  <c r="N149" i="20"/>
  <c r="Z149" i="1"/>
  <c r="N150" i="20"/>
  <c r="AA150" i="1"/>
  <c r="N151" i="20"/>
  <c r="AA151" i="1"/>
  <c r="N152" i="20"/>
  <c r="Z152" i="1"/>
  <c r="N153" i="20"/>
  <c r="Z153" i="1"/>
  <c r="N154" i="20"/>
  <c r="Z154" i="1"/>
  <c r="N155" i="20"/>
  <c r="Z155" i="1"/>
  <c r="N156" i="20"/>
  <c r="Z156" i="1"/>
  <c r="N157" i="20"/>
  <c r="Z157" i="1"/>
  <c r="N158" i="20"/>
  <c r="Z158" i="1"/>
  <c r="N159" i="20"/>
  <c r="Z159" i="1"/>
  <c r="N160" i="20"/>
  <c r="Z160" i="1"/>
  <c r="AA160" i="1"/>
  <c r="N161" i="20"/>
  <c r="Z161" i="1"/>
  <c r="N162" i="20"/>
  <c r="N163" i="20"/>
  <c r="Z163" i="1"/>
  <c r="N164" i="20"/>
  <c r="Z164" i="1"/>
  <c r="N165" i="20"/>
  <c r="Z165" i="1"/>
  <c r="N166" i="20"/>
  <c r="Z166" i="1"/>
  <c r="N167" i="20"/>
  <c r="Z167" i="1"/>
  <c r="N168" i="20"/>
  <c r="Z168" i="1"/>
  <c r="N169" i="20"/>
  <c r="Z169" i="1"/>
  <c r="N170" i="20"/>
  <c r="N171" i="20"/>
  <c r="Z171" i="1"/>
  <c r="N172" i="20"/>
  <c r="Z172" i="1"/>
  <c r="N173" i="20"/>
  <c r="AA173" i="1"/>
  <c r="N174" i="20"/>
  <c r="AA174" i="1"/>
  <c r="N175" i="20"/>
  <c r="AA175" i="1"/>
  <c r="N176" i="20"/>
  <c r="Z176" i="1"/>
  <c r="AA176" i="1"/>
  <c r="N177" i="20"/>
  <c r="Z177" i="1"/>
  <c r="AA177" i="1"/>
  <c r="N178" i="20"/>
  <c r="N179" i="20"/>
  <c r="Z179" i="1"/>
  <c r="AA179" i="1"/>
  <c r="N180" i="20"/>
  <c r="Z180" i="1"/>
  <c r="AA180" i="1"/>
  <c r="N181" i="20"/>
  <c r="Z181" i="1"/>
  <c r="AA181" i="1"/>
  <c r="N182" i="20"/>
  <c r="Z182" i="1"/>
  <c r="AA182" i="1"/>
  <c r="N183" i="20"/>
  <c r="Z183" i="1"/>
  <c r="AA183" i="1"/>
  <c r="N184" i="20"/>
  <c r="AA184" i="1"/>
  <c r="N185" i="20"/>
  <c r="N186" i="20"/>
  <c r="AA186" i="1"/>
  <c r="N187" i="20"/>
  <c r="N188" i="20"/>
  <c r="Z188" i="1"/>
  <c r="N189" i="20"/>
  <c r="Z189" i="1"/>
  <c r="N190" i="20"/>
  <c r="AA190" i="1"/>
  <c r="N191" i="20"/>
  <c r="Z191" i="1"/>
  <c r="N192" i="20"/>
  <c r="AA192" i="1"/>
  <c r="N193" i="20"/>
  <c r="Z193" i="1"/>
  <c r="N194" i="20"/>
  <c r="AA194" i="1"/>
  <c r="N195" i="20"/>
  <c r="AA195" i="1"/>
  <c r="N196" i="20"/>
  <c r="Z196" i="1"/>
  <c r="N197" i="20"/>
  <c r="AA197" i="1"/>
  <c r="N198" i="20"/>
  <c r="AA198" i="1"/>
  <c r="N199" i="20"/>
  <c r="Z199" i="1"/>
  <c r="N200" i="20"/>
  <c r="N201" i="20"/>
  <c r="Z201" i="1"/>
  <c r="N202" i="20"/>
  <c r="N203" i="20"/>
  <c r="Z203" i="1"/>
  <c r="N204" i="20"/>
  <c r="N205" i="20"/>
  <c r="Z205" i="1"/>
  <c r="N206" i="20"/>
  <c r="N207" i="20"/>
  <c r="Z207" i="1"/>
  <c r="N208" i="20"/>
  <c r="Z208" i="1"/>
  <c r="AA208" i="1"/>
  <c r="N209" i="20"/>
  <c r="Z209" i="1"/>
  <c r="AA209" i="1"/>
  <c r="N210" i="20"/>
  <c r="Z210" i="1"/>
  <c r="AA210" i="1"/>
  <c r="N211" i="20"/>
  <c r="Z211" i="1"/>
  <c r="N212" i="20"/>
  <c r="AA212" i="1"/>
  <c r="N213" i="20"/>
  <c r="Z213" i="1"/>
  <c r="N214" i="20"/>
  <c r="AA214" i="1"/>
  <c r="N215" i="20"/>
  <c r="Z215" i="1"/>
  <c r="AA215" i="1"/>
  <c r="N216" i="20"/>
  <c r="Z216" i="1"/>
  <c r="N217" i="20"/>
  <c r="Z217" i="1"/>
  <c r="AA217" i="1"/>
  <c r="N218" i="20"/>
  <c r="Z218" i="1"/>
  <c r="AA218" i="1"/>
  <c r="N219" i="20"/>
  <c r="Z219" i="1"/>
  <c r="N220" i="20"/>
  <c r="AA220" i="1"/>
  <c r="N221" i="20"/>
  <c r="Z221" i="1"/>
  <c r="N222" i="20"/>
  <c r="AA222" i="1"/>
  <c r="N223" i="20"/>
  <c r="Z223" i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N230" i="20"/>
  <c r="Z230" i="1"/>
  <c r="N231" i="20"/>
  <c r="Z231" i="1"/>
  <c r="N232" i="20"/>
  <c r="AA232" i="1"/>
  <c r="N233" i="20"/>
  <c r="AA233" i="1"/>
  <c r="N234" i="20"/>
  <c r="AA234" i="1"/>
  <c r="N235" i="20"/>
  <c r="AA235" i="1"/>
  <c r="N236" i="20"/>
  <c r="Z236" i="1"/>
  <c r="N237" i="20"/>
  <c r="N238" i="20"/>
  <c r="AA238" i="1"/>
  <c r="N239" i="20"/>
  <c r="Z239" i="1"/>
  <c r="N240" i="20"/>
  <c r="Z240" i="1"/>
  <c r="N241" i="20"/>
  <c r="AA241" i="1"/>
  <c r="N242" i="20"/>
  <c r="AA242" i="1"/>
  <c r="N243" i="20"/>
  <c r="AA243" i="1"/>
  <c r="N244" i="20"/>
  <c r="AA244" i="1"/>
  <c r="N245" i="20"/>
  <c r="N246" i="20"/>
  <c r="Z246" i="1"/>
  <c r="N247" i="20"/>
  <c r="Z247" i="1"/>
  <c r="N248" i="20"/>
  <c r="Z248" i="1"/>
  <c r="N249" i="20"/>
  <c r="Z249" i="1"/>
  <c r="N250" i="20"/>
  <c r="Z250" i="1"/>
  <c r="N251" i="20"/>
  <c r="AA251" i="1"/>
  <c r="N252" i="20"/>
  <c r="AA252" i="1"/>
  <c r="N253" i="20"/>
  <c r="N254" i="20"/>
  <c r="Z254" i="1"/>
  <c r="N255" i="20"/>
  <c r="Z255" i="1"/>
  <c r="N256" i="20"/>
  <c r="Z256" i="1"/>
  <c r="N257" i="20"/>
  <c r="AA257" i="1"/>
  <c r="N258" i="20"/>
  <c r="AA258" i="1"/>
  <c r="N259" i="20"/>
  <c r="AA259" i="1"/>
  <c r="N260" i="20"/>
  <c r="AA260" i="1"/>
  <c r="N261" i="20"/>
  <c r="N262" i="20"/>
  <c r="AA262" i="1"/>
  <c r="N263" i="20"/>
  <c r="AA263" i="1"/>
  <c r="N264" i="20"/>
  <c r="N265" i="20"/>
  <c r="AA265" i="1"/>
  <c r="N266" i="20"/>
  <c r="AA266" i="1"/>
  <c r="N267" i="20"/>
  <c r="AA267" i="1"/>
  <c r="N268" i="20"/>
  <c r="AA268" i="1"/>
  <c r="N269" i="20"/>
  <c r="AA269" i="1"/>
  <c r="N270" i="20"/>
  <c r="AA270" i="1"/>
  <c r="N271" i="20"/>
  <c r="Z271" i="1"/>
  <c r="N272" i="20"/>
  <c r="AA272" i="1"/>
  <c r="N273" i="20"/>
  <c r="Z273" i="1"/>
  <c r="N274" i="20"/>
  <c r="AA274" i="1"/>
  <c r="N275" i="20"/>
  <c r="Z275" i="1"/>
  <c r="N276" i="20"/>
  <c r="AA276" i="1"/>
  <c r="N277" i="20"/>
  <c r="Z277" i="1"/>
  <c r="N278" i="20"/>
  <c r="N279" i="20"/>
  <c r="Z279" i="1"/>
  <c r="AA279" i="1"/>
  <c r="N280" i="20"/>
  <c r="Z280" i="1"/>
  <c r="N281" i="20"/>
  <c r="Z281" i="1"/>
  <c r="N282" i="20"/>
  <c r="N283" i="20"/>
  <c r="Z283" i="1"/>
  <c r="N284" i="20"/>
  <c r="AA284" i="1"/>
  <c r="N286" i="20"/>
  <c r="N287" i="20"/>
  <c r="N288" i="20"/>
  <c r="Z288" i="1"/>
  <c r="AO288" i="1"/>
  <c r="N289" i="20"/>
  <c r="N290" i="20"/>
  <c r="N291" i="20"/>
  <c r="Z291" i="1"/>
  <c r="N292" i="20"/>
  <c r="Z292" i="1"/>
  <c r="N293" i="20"/>
  <c r="N294" i="20"/>
  <c r="Z294" i="1"/>
  <c r="N295" i="20"/>
  <c r="Z295" i="1"/>
  <c r="N296" i="20"/>
  <c r="Z296" i="1"/>
  <c r="N297" i="20"/>
  <c r="Z297" i="1"/>
  <c r="N298" i="20"/>
  <c r="Z298" i="1"/>
  <c r="N299" i="20"/>
  <c r="Z299" i="1"/>
  <c r="N300" i="20"/>
  <c r="N301" i="20"/>
  <c r="Z301" i="1"/>
  <c r="N302" i="20"/>
  <c r="Z302" i="1"/>
  <c r="N303" i="20"/>
  <c r="Z303" i="1"/>
  <c r="N304" i="20"/>
  <c r="Z304" i="1"/>
  <c r="N305" i="20"/>
  <c r="Z305" i="1"/>
  <c r="N306" i="20"/>
  <c r="Z306" i="1"/>
  <c r="N307" i="20"/>
  <c r="Z307" i="1"/>
  <c r="N308" i="20"/>
  <c r="Z308" i="1"/>
  <c r="N309" i="20"/>
  <c r="Z309" i="1"/>
  <c r="N310" i="20"/>
  <c r="Z310" i="1"/>
  <c r="N311" i="20"/>
  <c r="Z311" i="1"/>
  <c r="N312" i="20"/>
  <c r="Z312" i="1"/>
  <c r="N313" i="20"/>
  <c r="Z313" i="1"/>
  <c r="N314" i="20"/>
  <c r="Z314" i="1"/>
  <c r="N315" i="20"/>
  <c r="Z315" i="1"/>
  <c r="N316" i="20"/>
  <c r="Z316" i="1"/>
  <c r="N317" i="20"/>
  <c r="Z317" i="1"/>
  <c r="N318" i="20"/>
  <c r="Z318" i="1"/>
  <c r="N319" i="20"/>
  <c r="Z319" i="1"/>
  <c r="N320" i="20"/>
  <c r="Z320" i="1"/>
  <c r="N321" i="20"/>
  <c r="N322" i="20"/>
  <c r="AA322" i="1"/>
  <c r="N323" i="20"/>
  <c r="Z323" i="1"/>
  <c r="N324" i="20"/>
  <c r="Z324" i="1"/>
  <c r="N325" i="20"/>
  <c r="Z325" i="1"/>
  <c r="N326" i="20"/>
  <c r="Z326" i="1"/>
  <c r="N327" i="20"/>
  <c r="Z327" i="1"/>
  <c r="N328" i="20"/>
  <c r="Z328" i="1"/>
  <c r="AA328" i="1"/>
  <c r="N329" i="20"/>
  <c r="Z329" i="1"/>
  <c r="AA329" i="1"/>
  <c r="N330" i="20"/>
  <c r="AA330" i="1"/>
  <c r="N331" i="20"/>
  <c r="Z331" i="1"/>
  <c r="N332" i="20"/>
  <c r="Z332" i="1"/>
  <c r="N333" i="20"/>
  <c r="Z333" i="1"/>
  <c r="N334" i="20"/>
  <c r="Z334" i="1"/>
  <c r="N335" i="20"/>
  <c r="Z335" i="1"/>
  <c r="N336" i="20"/>
  <c r="Z336" i="1"/>
  <c r="AA336" i="1"/>
  <c r="N337" i="20"/>
  <c r="Z337" i="1"/>
  <c r="AA337" i="1"/>
  <c r="N338" i="20"/>
  <c r="Z338" i="1"/>
  <c r="N339" i="20"/>
  <c r="Z339" i="1"/>
  <c r="N340" i="20"/>
  <c r="Z340" i="1"/>
  <c r="N341" i="20"/>
  <c r="Z341" i="1"/>
  <c r="N342" i="20"/>
  <c r="Z342" i="1"/>
  <c r="N343" i="20"/>
  <c r="Z343" i="1"/>
  <c r="N344" i="20"/>
  <c r="N345" i="20"/>
  <c r="AA345" i="1"/>
  <c r="N346" i="20"/>
  <c r="Z346" i="1"/>
  <c r="N347" i="20"/>
  <c r="Z347" i="1"/>
  <c r="N348" i="20"/>
  <c r="Z348" i="1"/>
  <c r="N349" i="20"/>
  <c r="Z349" i="1"/>
  <c r="N350" i="20"/>
  <c r="N351" i="20"/>
  <c r="Z351" i="1"/>
  <c r="N352" i="20"/>
  <c r="Z352" i="1"/>
  <c r="N353" i="20"/>
  <c r="Z353" i="1"/>
  <c r="N354" i="20"/>
  <c r="Z354" i="1"/>
  <c r="N355" i="20"/>
  <c r="Z355" i="1"/>
  <c r="N356" i="20"/>
  <c r="Z356" i="1"/>
  <c r="N357" i="20"/>
  <c r="Z357" i="1"/>
  <c r="N358" i="20"/>
  <c r="Z358" i="1"/>
  <c r="N359" i="20"/>
  <c r="Z359" i="1"/>
  <c r="N360" i="20"/>
  <c r="Z360" i="1"/>
  <c r="N361" i="20"/>
  <c r="Z361" i="1"/>
  <c r="N362" i="20"/>
  <c r="Z362" i="1"/>
  <c r="N363" i="20"/>
  <c r="Z363" i="1"/>
  <c r="N364" i="20"/>
  <c r="AA364" i="1"/>
  <c r="N365" i="20"/>
  <c r="AA365" i="1"/>
  <c r="N366" i="20"/>
  <c r="N367" i="20"/>
  <c r="AA367" i="1"/>
  <c r="N368" i="20"/>
  <c r="Z368" i="1"/>
  <c r="N369" i="20"/>
  <c r="Z369" i="1"/>
  <c r="N370" i="20"/>
  <c r="Z370" i="1"/>
  <c r="N371" i="20"/>
  <c r="Z371" i="1"/>
  <c r="N372" i="20"/>
  <c r="Z372" i="1"/>
  <c r="N373" i="20"/>
  <c r="Z373" i="1"/>
  <c r="N374" i="20"/>
  <c r="Z374" i="1"/>
  <c r="N375" i="20"/>
  <c r="Z375" i="1"/>
  <c r="N376" i="20"/>
  <c r="Z376" i="1"/>
  <c r="N377" i="20"/>
  <c r="N378" i="20"/>
  <c r="Z378" i="1"/>
  <c r="N379" i="20"/>
  <c r="Z379" i="1"/>
  <c r="N380" i="20"/>
  <c r="AA380" i="1"/>
  <c r="N381" i="20"/>
  <c r="AA381" i="1"/>
  <c r="N382" i="20"/>
  <c r="AA382" i="1"/>
  <c r="N384" i="20"/>
  <c r="AA384" i="1"/>
  <c r="N385" i="20"/>
  <c r="AA385" i="1"/>
  <c r="N386" i="20"/>
  <c r="AA386" i="1"/>
  <c r="N387" i="20"/>
  <c r="Z387" i="1"/>
  <c r="N388" i="20"/>
  <c r="AA388" i="1"/>
  <c r="N389" i="20"/>
  <c r="Z389" i="1"/>
  <c r="AA389" i="1"/>
  <c r="N390" i="20"/>
  <c r="AA390" i="1"/>
  <c r="N391" i="20"/>
  <c r="Z391" i="1"/>
  <c r="N392" i="20"/>
  <c r="N393" i="20"/>
  <c r="Z393" i="1"/>
  <c r="AA393" i="1"/>
  <c r="N394" i="20"/>
  <c r="AA394" i="1"/>
  <c r="N395" i="20"/>
  <c r="N396" i="20"/>
  <c r="AA396" i="1"/>
  <c r="N397" i="20"/>
  <c r="Z397" i="1"/>
  <c r="N398" i="20"/>
  <c r="AA398" i="1"/>
  <c r="N399" i="20"/>
  <c r="Z399" i="1"/>
  <c r="N400" i="20"/>
  <c r="AA400" i="1"/>
  <c r="N401" i="20"/>
  <c r="Z401" i="1"/>
  <c r="AA401" i="1"/>
  <c r="N402" i="20"/>
  <c r="N403" i="20"/>
  <c r="N404" i="20"/>
  <c r="N405" i="20"/>
  <c r="N406" i="20"/>
  <c r="N407" i="20"/>
  <c r="N408" i="20"/>
  <c r="N409" i="20"/>
  <c r="N410" i="20"/>
  <c r="Z410" i="1"/>
  <c r="N411" i="20"/>
  <c r="Z411" i="1"/>
  <c r="AA411" i="1"/>
  <c r="N412" i="20"/>
  <c r="Z412" i="1"/>
  <c r="AA412" i="1"/>
  <c r="N413" i="20"/>
  <c r="AA413" i="1"/>
  <c r="N414" i="20"/>
  <c r="Z414" i="1"/>
  <c r="AA414" i="1"/>
  <c r="N415" i="20"/>
  <c r="Z415" i="1"/>
  <c r="N416" i="20"/>
  <c r="AA416" i="1"/>
  <c r="N417" i="20"/>
  <c r="AA417" i="1"/>
  <c r="N418" i="20"/>
  <c r="Z418" i="1"/>
  <c r="AA418" i="1"/>
  <c r="N419" i="20"/>
  <c r="Z419" i="1"/>
  <c r="AA419" i="1"/>
  <c r="N420" i="20"/>
  <c r="Z420" i="1"/>
  <c r="AA420" i="1"/>
  <c r="N421" i="20"/>
  <c r="Z421" i="1"/>
  <c r="AA421" i="1"/>
  <c r="N422" i="20"/>
  <c r="Z422" i="1"/>
  <c r="N423" i="20"/>
  <c r="Z423" i="1"/>
  <c r="AA423" i="1"/>
  <c r="N424" i="20"/>
  <c r="Z424" i="1"/>
  <c r="AA424" i="1"/>
  <c r="N425" i="20"/>
  <c r="AA425" i="1"/>
  <c r="N426" i="20"/>
  <c r="Z426" i="1"/>
  <c r="AA426" i="1"/>
  <c r="N427" i="20"/>
  <c r="Z427" i="1"/>
  <c r="AA427" i="1"/>
  <c r="N428" i="20"/>
  <c r="Z428" i="1"/>
  <c r="AA428" i="1"/>
  <c r="N429" i="20"/>
  <c r="Z429" i="1"/>
  <c r="AA429" i="1"/>
  <c r="N430" i="20"/>
  <c r="Z430" i="1"/>
  <c r="N431" i="20"/>
  <c r="Z431" i="1"/>
  <c r="AA431" i="1"/>
  <c r="N432" i="20"/>
  <c r="Z432" i="1"/>
  <c r="AA432" i="1"/>
  <c r="N433" i="20"/>
  <c r="AA433" i="1"/>
  <c r="N434" i="20"/>
  <c r="Z434" i="1"/>
  <c r="AA434" i="1"/>
  <c r="N435" i="20"/>
  <c r="Z435" i="1"/>
  <c r="AA435" i="1"/>
  <c r="N436" i="20"/>
  <c r="Z436" i="1"/>
  <c r="AA436" i="1"/>
  <c r="N437" i="20"/>
  <c r="Z437" i="1"/>
  <c r="AA437" i="1"/>
  <c r="N438" i="20"/>
  <c r="Z438" i="1"/>
  <c r="N439" i="20"/>
  <c r="Z439" i="1"/>
  <c r="AA439" i="1"/>
  <c r="N440" i="20"/>
  <c r="Z440" i="1"/>
  <c r="AA440" i="1"/>
  <c r="N441" i="20"/>
  <c r="AA441" i="1"/>
  <c r="N442" i="20"/>
  <c r="Z442" i="1"/>
  <c r="AA442" i="1"/>
  <c r="N443" i="20"/>
  <c r="Z443" i="1"/>
  <c r="AA443" i="1"/>
  <c r="N444" i="20"/>
  <c r="Z444" i="1"/>
  <c r="AA444" i="1"/>
  <c r="N445" i="20"/>
  <c r="Z445" i="1"/>
  <c r="AA445" i="1"/>
  <c r="N446" i="20"/>
  <c r="Z446" i="1"/>
  <c r="N447" i="20"/>
  <c r="Z447" i="1"/>
  <c r="AA447" i="1"/>
  <c r="N448" i="20"/>
  <c r="Z448" i="1"/>
  <c r="AA448" i="1"/>
  <c r="N449" i="20"/>
  <c r="AA449" i="1"/>
  <c r="N450" i="20"/>
  <c r="Z450" i="1"/>
  <c r="AA450" i="1"/>
  <c r="N451" i="20"/>
  <c r="Z451" i="1"/>
  <c r="AA451" i="1"/>
  <c r="N452" i="20"/>
  <c r="Z452" i="1"/>
  <c r="AA452" i="1"/>
  <c r="N453" i="20"/>
  <c r="Z453" i="1"/>
  <c r="AA453" i="1"/>
  <c r="N454" i="20"/>
  <c r="Z454" i="1"/>
  <c r="N455" i="20"/>
  <c r="Z455" i="1"/>
  <c r="AA455" i="1"/>
  <c r="N456" i="20"/>
  <c r="Z456" i="1"/>
  <c r="AA456" i="1"/>
  <c r="N457" i="20"/>
  <c r="AA457" i="1"/>
  <c r="N458" i="20"/>
  <c r="Z458" i="1"/>
  <c r="AA458" i="1"/>
  <c r="N459" i="20"/>
  <c r="Z459" i="1"/>
  <c r="AA459" i="1"/>
  <c r="N460" i="20"/>
  <c r="Z460" i="1"/>
  <c r="AA460" i="1"/>
  <c r="N461" i="20"/>
  <c r="Z461" i="1"/>
  <c r="AA461" i="1"/>
  <c r="N462" i="20"/>
  <c r="Z462" i="1"/>
  <c r="N463" i="20"/>
  <c r="Z463" i="1"/>
  <c r="AA463" i="1"/>
  <c r="N464" i="20"/>
  <c r="Z464" i="1"/>
  <c r="AA464" i="1"/>
  <c r="N465" i="20"/>
  <c r="AA465" i="1"/>
  <c r="N466" i="20"/>
  <c r="Z466" i="1"/>
  <c r="AA466" i="1"/>
  <c r="N467" i="20"/>
  <c r="Z467" i="1"/>
  <c r="AA467" i="1"/>
  <c r="N468" i="20"/>
  <c r="Z468" i="1"/>
  <c r="AA468" i="1"/>
  <c r="N469" i="20"/>
  <c r="Z469" i="1"/>
  <c r="AA469" i="1"/>
  <c r="N470" i="20"/>
  <c r="Z470" i="1"/>
  <c r="N471" i="20"/>
  <c r="Z471" i="1"/>
  <c r="AA471" i="1"/>
  <c r="N472" i="20"/>
  <c r="Z472" i="1"/>
  <c r="AA472" i="1"/>
  <c r="N473" i="20"/>
  <c r="AA473" i="1"/>
  <c r="N474" i="20"/>
  <c r="Z474" i="1"/>
  <c r="AA474" i="1"/>
  <c r="N475" i="20"/>
  <c r="Z475" i="1"/>
  <c r="AA475" i="1"/>
  <c r="N476" i="20"/>
  <c r="Z476" i="1"/>
  <c r="AA476" i="1"/>
  <c r="N477" i="20"/>
  <c r="Z477" i="1"/>
  <c r="AA477" i="1"/>
  <c r="N478" i="20"/>
  <c r="Z478" i="1"/>
  <c r="N479" i="20"/>
  <c r="Z479" i="1"/>
  <c r="AA479" i="1"/>
  <c r="N480" i="20"/>
  <c r="Z480" i="1"/>
  <c r="AA480" i="1"/>
  <c r="N481" i="20"/>
  <c r="AA481" i="1"/>
  <c r="N482" i="20"/>
  <c r="Z482" i="1"/>
  <c r="AA482" i="1"/>
  <c r="N483" i="20"/>
  <c r="Z483" i="1"/>
  <c r="AA483" i="1"/>
  <c r="N484" i="20"/>
  <c r="Z484" i="1"/>
  <c r="AA484" i="1"/>
  <c r="N485" i="20"/>
  <c r="Z485" i="1"/>
  <c r="AA485" i="1"/>
  <c r="N486" i="20"/>
  <c r="Z486" i="1"/>
  <c r="N487" i="20"/>
  <c r="Z487" i="1"/>
  <c r="AA487" i="1"/>
  <c r="N488" i="20"/>
  <c r="Z488" i="1"/>
  <c r="AA488" i="1"/>
  <c r="N489" i="20"/>
  <c r="AA489" i="1"/>
  <c r="N490" i="20"/>
  <c r="Z490" i="1"/>
  <c r="AA490" i="1"/>
  <c r="N491" i="20"/>
  <c r="Z491" i="1"/>
  <c r="AA491" i="1"/>
  <c r="N492" i="20"/>
  <c r="Z492" i="1"/>
  <c r="AA492" i="1"/>
  <c r="N493" i="20"/>
  <c r="Z493" i="1"/>
  <c r="AA493" i="1"/>
  <c r="N494" i="20"/>
  <c r="Z494" i="1"/>
  <c r="N495" i="20"/>
  <c r="Z495" i="1"/>
  <c r="AA495" i="1"/>
  <c r="N496" i="20"/>
  <c r="Z496" i="1"/>
  <c r="AA496" i="1"/>
  <c r="N497" i="20"/>
  <c r="AA497" i="1"/>
  <c r="N498" i="20"/>
  <c r="Z498" i="1"/>
  <c r="AA498" i="1"/>
  <c r="N499" i="20"/>
  <c r="Z499" i="1"/>
  <c r="AA499" i="1"/>
  <c r="N500" i="20"/>
  <c r="Z500" i="1"/>
  <c r="AA500" i="1"/>
  <c r="N501" i="20"/>
  <c r="Z501" i="1"/>
  <c r="AA501" i="1"/>
  <c r="N502" i="20"/>
  <c r="Z502" i="1"/>
  <c r="N503" i="20"/>
  <c r="Z503" i="1"/>
  <c r="AA503" i="1"/>
  <c r="N504" i="20"/>
  <c r="Z504" i="1"/>
  <c r="AA504" i="1"/>
  <c r="N505" i="20"/>
  <c r="AA505" i="1"/>
  <c r="N506" i="20"/>
  <c r="Z506" i="1"/>
  <c r="AA506" i="1"/>
  <c r="N507" i="20"/>
  <c r="Z507" i="1"/>
  <c r="AA507" i="1"/>
  <c r="N508" i="20"/>
  <c r="Z508" i="1"/>
  <c r="AA508" i="1"/>
  <c r="N509" i="20"/>
  <c r="Z509" i="1"/>
  <c r="AA509" i="1"/>
  <c r="N510" i="20"/>
  <c r="Z510" i="1"/>
  <c r="N511" i="20"/>
  <c r="Z511" i="1"/>
  <c r="AA511" i="1"/>
  <c r="N512" i="20"/>
  <c r="Z512" i="1"/>
  <c r="AA512" i="1"/>
  <c r="N513" i="20"/>
  <c r="AA513" i="1"/>
  <c r="N514" i="20"/>
  <c r="Z514" i="1"/>
  <c r="AA514" i="1"/>
  <c r="N515" i="20"/>
  <c r="Z515" i="1"/>
  <c r="AA515" i="1"/>
  <c r="N516" i="20"/>
  <c r="Z516" i="1"/>
  <c r="AA516" i="1"/>
  <c r="N517" i="20"/>
  <c r="Z517" i="1"/>
  <c r="AA517" i="1"/>
  <c r="N518" i="20"/>
  <c r="Z518" i="1"/>
  <c r="N519" i="20"/>
  <c r="Z519" i="1"/>
  <c r="AA519" i="1"/>
  <c r="N520" i="20"/>
  <c r="Z520" i="1"/>
  <c r="AA520" i="1"/>
  <c r="N521" i="20"/>
  <c r="AA521" i="1"/>
  <c r="N522" i="20"/>
  <c r="Z522" i="1"/>
  <c r="AA522" i="1"/>
  <c r="N523" i="20"/>
  <c r="Z523" i="1"/>
  <c r="N524" i="20"/>
  <c r="AA524" i="1"/>
  <c r="N525" i="20"/>
  <c r="Z525" i="1"/>
  <c r="N526" i="20"/>
  <c r="AA526" i="1"/>
  <c r="N527" i="20"/>
  <c r="Z527" i="1"/>
  <c r="N528" i="20"/>
  <c r="AA528" i="1"/>
  <c r="N529" i="20"/>
  <c r="Z529" i="1"/>
  <c r="AA529" i="1"/>
  <c r="N530" i="20"/>
  <c r="Z530" i="1"/>
  <c r="AA530" i="1"/>
  <c r="N531" i="20"/>
  <c r="Z531" i="1"/>
  <c r="N532" i="20"/>
  <c r="AA532" i="1"/>
  <c r="N533" i="20"/>
  <c r="N534" i="20"/>
  <c r="AA534" i="1"/>
  <c r="N535" i="20"/>
  <c r="N536" i="20"/>
  <c r="Z536" i="1"/>
  <c r="AA536" i="1"/>
  <c r="N537" i="20"/>
  <c r="Z537" i="1"/>
  <c r="AA537" i="1"/>
  <c r="N538" i="20"/>
  <c r="Z538" i="1"/>
  <c r="AA538" i="1"/>
  <c r="N539" i="20"/>
  <c r="Z539" i="1"/>
  <c r="N540" i="20"/>
  <c r="AA540" i="1"/>
  <c r="N541" i="20"/>
  <c r="Z541" i="1"/>
  <c r="N542" i="20"/>
  <c r="AA542" i="1"/>
  <c r="N543" i="20"/>
  <c r="Z543" i="1"/>
  <c r="N544" i="20"/>
  <c r="Z544" i="1"/>
  <c r="AA544" i="1"/>
  <c r="N545" i="20"/>
  <c r="Z545" i="1"/>
  <c r="AA545" i="1"/>
  <c r="N546" i="20"/>
  <c r="Z546" i="1"/>
  <c r="AA546" i="1"/>
  <c r="N547" i="20"/>
  <c r="Z547" i="1"/>
  <c r="N548" i="20"/>
  <c r="AA548" i="1"/>
  <c r="N549" i="20"/>
  <c r="Z549" i="1"/>
  <c r="N550" i="20"/>
  <c r="AA550" i="1"/>
  <c r="N551" i="20"/>
  <c r="Z551" i="1"/>
  <c r="AA552" i="1"/>
  <c r="AA553" i="1"/>
  <c r="N554" i="20"/>
  <c r="Z554" i="1"/>
  <c r="N555" i="20"/>
  <c r="AA555" i="1"/>
  <c r="N556" i="20"/>
  <c r="Z556" i="1"/>
  <c r="N557" i="20"/>
  <c r="AA557" i="1"/>
  <c r="AA558" i="1"/>
  <c r="AA559" i="1"/>
  <c r="N560" i="20"/>
  <c r="AA560" i="1"/>
  <c r="N561" i="20"/>
  <c r="Z561" i="1"/>
  <c r="AA561" i="1"/>
  <c r="N562" i="20"/>
  <c r="Z562" i="1"/>
  <c r="AA562" i="1"/>
  <c r="N563" i="20"/>
  <c r="AA563" i="1"/>
  <c r="N565" i="20"/>
  <c r="N566" i="20"/>
  <c r="N567" i="20"/>
  <c r="N568" i="20"/>
  <c r="N569" i="20"/>
  <c r="N570" i="20"/>
  <c r="N571" i="20"/>
  <c r="N572" i="20"/>
  <c r="N573" i="20"/>
  <c r="Z573" i="1"/>
  <c r="N574" i="20"/>
  <c r="Z574" i="1"/>
  <c r="N575" i="20"/>
  <c r="Z575" i="1"/>
  <c r="N576" i="20"/>
  <c r="AA576" i="1"/>
  <c r="N577" i="20"/>
  <c r="AA577" i="1"/>
  <c r="N578" i="20"/>
  <c r="AA578" i="1"/>
  <c r="N579" i="20"/>
  <c r="Z579" i="1"/>
  <c r="N580" i="20"/>
  <c r="AA580" i="1"/>
  <c r="N581" i="20"/>
  <c r="N582" i="20"/>
  <c r="Z582" i="1"/>
  <c r="AA582" i="1"/>
  <c r="N583" i="20"/>
  <c r="AA583" i="1"/>
  <c r="N584" i="20"/>
  <c r="Z584" i="1"/>
  <c r="AA584" i="1"/>
  <c r="N585" i="20"/>
  <c r="Z585" i="1"/>
  <c r="N586" i="20"/>
  <c r="Z586" i="1"/>
  <c r="N587" i="20"/>
  <c r="AA587" i="1"/>
  <c r="N588" i="20"/>
  <c r="Z588" i="1"/>
  <c r="N589" i="20"/>
  <c r="N590" i="20"/>
  <c r="Z590" i="1"/>
  <c r="AA590" i="1"/>
  <c r="N591" i="20"/>
  <c r="Z591" i="1"/>
  <c r="AA591" i="1"/>
  <c r="N592" i="20"/>
  <c r="Z592" i="1"/>
  <c r="N593" i="20"/>
  <c r="Z593" i="1"/>
  <c r="AA593" i="1"/>
  <c r="N594" i="20"/>
  <c r="Z594" i="1"/>
  <c r="AA594" i="1"/>
  <c r="N595" i="20"/>
  <c r="AA595" i="1"/>
  <c r="N596" i="20"/>
  <c r="Z596" i="1"/>
  <c r="AA596" i="1"/>
  <c r="N597" i="20"/>
  <c r="Z597" i="1"/>
  <c r="AA597" i="1"/>
  <c r="N598" i="20"/>
  <c r="Z598" i="1"/>
  <c r="AA598" i="1"/>
  <c r="N599" i="20"/>
  <c r="Z599" i="1"/>
  <c r="AA599" i="1"/>
  <c r="N600" i="20"/>
  <c r="N602" i="20"/>
  <c r="AA602" i="1"/>
  <c r="N603" i="20"/>
  <c r="Z603" i="1"/>
  <c r="N604" i="20"/>
  <c r="Z604" i="1"/>
  <c r="N605" i="20"/>
  <c r="Z605" i="1"/>
  <c r="AA605" i="1"/>
  <c r="N606" i="20"/>
  <c r="Z606" i="1"/>
  <c r="N607" i="20"/>
  <c r="Z607" i="1"/>
  <c r="AA607" i="1"/>
  <c r="N608" i="20"/>
  <c r="Z608" i="1"/>
  <c r="N609" i="20"/>
  <c r="Z609" i="1"/>
  <c r="N610" i="20"/>
  <c r="AA610" i="1"/>
  <c r="N611" i="20"/>
  <c r="AA611" i="1"/>
  <c r="N612" i="20"/>
  <c r="Z612" i="1"/>
  <c r="AA612" i="1"/>
  <c r="N613" i="20"/>
  <c r="Z613" i="1"/>
  <c r="AA613" i="1"/>
  <c r="N614" i="20"/>
  <c r="Z614" i="1"/>
  <c r="N615" i="20"/>
  <c r="Z615" i="1"/>
  <c r="N616" i="20"/>
  <c r="N617" i="20"/>
  <c r="Z617" i="1"/>
  <c r="AA617" i="1"/>
  <c r="N618" i="20"/>
  <c r="Z618" i="1"/>
  <c r="N619" i="20"/>
  <c r="Z619" i="1"/>
  <c r="N620" i="20"/>
  <c r="N621" i="20"/>
  <c r="AA621" i="1"/>
  <c r="N622" i="20"/>
  <c r="Z622" i="1"/>
  <c r="N623" i="20"/>
  <c r="Z623" i="1"/>
  <c r="N624" i="20"/>
  <c r="AA624" i="1"/>
  <c r="N625" i="20"/>
  <c r="Z625" i="1"/>
  <c r="N626" i="20"/>
  <c r="AA626" i="1"/>
  <c r="N627" i="20"/>
  <c r="Z627" i="1"/>
  <c r="N628" i="20"/>
  <c r="AA628" i="1"/>
  <c r="N629" i="20"/>
  <c r="Z629" i="1"/>
  <c r="N630" i="20"/>
  <c r="AA630" i="1"/>
  <c r="N631" i="20"/>
  <c r="Z631" i="1"/>
  <c r="N632" i="20"/>
  <c r="AA632" i="1"/>
  <c r="N633" i="20"/>
  <c r="Z633" i="1"/>
  <c r="N634" i="20"/>
  <c r="AA634" i="1"/>
  <c r="N635" i="20"/>
  <c r="Z635" i="1"/>
  <c r="N636" i="20"/>
  <c r="AA636" i="1"/>
  <c r="N637" i="20"/>
  <c r="Z637" i="1"/>
  <c r="N638" i="20"/>
  <c r="AA638" i="1"/>
  <c r="N639" i="20"/>
  <c r="Z639" i="1"/>
  <c r="N640" i="20"/>
  <c r="N641" i="20"/>
  <c r="Z641" i="1"/>
  <c r="N642" i="20"/>
  <c r="AA642" i="1"/>
  <c r="N643" i="20"/>
  <c r="Z643" i="1"/>
  <c r="N644" i="20"/>
  <c r="AA644" i="1"/>
  <c r="N645" i="20"/>
  <c r="Z645" i="1"/>
  <c r="N646" i="20"/>
  <c r="AA646" i="1"/>
  <c r="N647" i="20"/>
  <c r="Z647" i="1"/>
  <c r="N648" i="20"/>
  <c r="AA648" i="1"/>
  <c r="N649" i="20"/>
  <c r="Z649" i="1"/>
  <c r="N650" i="20"/>
  <c r="AA650" i="1"/>
  <c r="N651" i="20"/>
  <c r="Z651" i="1"/>
  <c r="N652" i="20"/>
  <c r="AA652" i="1"/>
  <c r="N653" i="20"/>
  <c r="Z653" i="1"/>
  <c r="N654" i="20"/>
  <c r="N655" i="20"/>
  <c r="Z655" i="1"/>
  <c r="AA655" i="1"/>
  <c r="N656" i="20"/>
  <c r="Z656" i="1"/>
  <c r="AA656" i="1"/>
  <c r="N657" i="20"/>
  <c r="Z657" i="1"/>
  <c r="AA657" i="1"/>
  <c r="N658" i="20"/>
  <c r="Z658" i="1"/>
  <c r="AA658" i="1"/>
  <c r="N659" i="20"/>
  <c r="Z659" i="1"/>
  <c r="N660" i="20"/>
  <c r="Z660" i="1"/>
  <c r="AA660" i="1"/>
  <c r="N661" i="20"/>
  <c r="Z661" i="1"/>
  <c r="AA661" i="1"/>
  <c r="N662" i="20"/>
  <c r="AA662" i="1"/>
  <c r="N663" i="20"/>
  <c r="Z663" i="1"/>
  <c r="AA663" i="1"/>
  <c r="N664" i="20"/>
  <c r="Z664" i="1"/>
  <c r="AA664" i="1"/>
  <c r="N665" i="20"/>
  <c r="Z665" i="1"/>
  <c r="AA665" i="1"/>
  <c r="N666" i="20"/>
  <c r="Z666" i="1"/>
  <c r="AA666" i="1"/>
  <c r="N667" i="20"/>
  <c r="N668" i="20"/>
  <c r="AA668" i="1"/>
  <c r="N669" i="20"/>
  <c r="Z669" i="1"/>
  <c r="AA669" i="1"/>
  <c r="N670" i="20"/>
  <c r="Z670" i="1"/>
  <c r="AA670" i="1"/>
  <c r="N671" i="20"/>
  <c r="Z671" i="1"/>
  <c r="AA671" i="1"/>
  <c r="N672" i="20"/>
  <c r="Z672" i="1"/>
  <c r="AA672" i="1"/>
  <c r="N673" i="20"/>
  <c r="Z673" i="1"/>
  <c r="N674" i="20"/>
  <c r="Z674" i="1"/>
  <c r="AA674" i="1"/>
  <c r="N675" i="20"/>
  <c r="Z675" i="1"/>
  <c r="AA675" i="1"/>
  <c r="N676" i="20"/>
  <c r="AA676" i="1"/>
  <c r="N677" i="20"/>
  <c r="Z677" i="1"/>
  <c r="AA677" i="1"/>
  <c r="N678" i="20"/>
  <c r="Z678" i="1"/>
  <c r="AA678" i="1"/>
  <c r="N679" i="20"/>
  <c r="Z679" i="1"/>
  <c r="AA679" i="1"/>
  <c r="N680" i="20"/>
  <c r="Z680" i="1"/>
  <c r="AA680" i="1"/>
  <c r="N681" i="20"/>
  <c r="Z681" i="1"/>
  <c r="N682" i="20"/>
  <c r="Z682" i="1"/>
  <c r="AA682" i="1"/>
  <c r="N683" i="20"/>
  <c r="Z683" i="1"/>
  <c r="AA683" i="1"/>
  <c r="N684" i="20"/>
  <c r="AA684" i="1"/>
  <c r="N685" i="20"/>
  <c r="Z685" i="1"/>
  <c r="AA685" i="1"/>
  <c r="N686" i="20"/>
  <c r="Z686" i="1"/>
  <c r="AA686" i="1"/>
  <c r="N687" i="20"/>
  <c r="Z687" i="1"/>
  <c r="AA687" i="1"/>
  <c r="N688" i="20"/>
  <c r="Z688" i="1"/>
  <c r="AA688" i="1"/>
  <c r="N689" i="20"/>
  <c r="Z689" i="1"/>
  <c r="N690" i="20"/>
  <c r="Z690" i="1"/>
  <c r="AA690" i="1"/>
  <c r="N691" i="20"/>
  <c r="Z691" i="1"/>
  <c r="AA691" i="1"/>
  <c r="N692" i="20"/>
  <c r="AA692" i="1"/>
  <c r="N693" i="20"/>
  <c r="Z693" i="1"/>
  <c r="AA693" i="1"/>
  <c r="N694" i="20"/>
  <c r="Z694" i="1"/>
  <c r="AA694" i="1"/>
  <c r="N695" i="20"/>
  <c r="Z695" i="1"/>
  <c r="AA695" i="1"/>
  <c r="N696" i="20"/>
  <c r="Z696" i="1"/>
  <c r="AA696" i="1"/>
  <c r="N697" i="20"/>
  <c r="Z697" i="1"/>
  <c r="N698" i="20"/>
  <c r="Z698" i="1"/>
  <c r="AA698" i="1"/>
  <c r="N699" i="20"/>
  <c r="Z699" i="1"/>
  <c r="AA699" i="1"/>
  <c r="N700" i="20"/>
  <c r="AA700" i="1"/>
  <c r="N701" i="20"/>
  <c r="Z701" i="1"/>
  <c r="AA701" i="1"/>
  <c r="N702" i="20"/>
  <c r="Z702" i="1"/>
  <c r="AA702" i="1"/>
  <c r="N703" i="20"/>
  <c r="Z703" i="1"/>
  <c r="AA703" i="1"/>
  <c r="N704" i="20"/>
  <c r="N705" i="20"/>
  <c r="N706" i="20"/>
  <c r="Z706" i="1"/>
  <c r="AA706" i="1"/>
  <c r="N707" i="20"/>
  <c r="Z707" i="1"/>
  <c r="AA707" i="1"/>
  <c r="N708" i="20"/>
  <c r="Z708" i="1"/>
  <c r="AA708" i="1"/>
  <c r="N709" i="20"/>
  <c r="Z709" i="1"/>
  <c r="N710" i="20"/>
  <c r="Z710" i="1"/>
  <c r="AA710" i="1"/>
  <c r="N711" i="20"/>
  <c r="Z711" i="1"/>
  <c r="AA711" i="1"/>
  <c r="N712" i="20"/>
  <c r="AA712" i="1"/>
  <c r="N713" i="20"/>
  <c r="Z713" i="1"/>
  <c r="AA713" i="1"/>
  <c r="N714" i="20"/>
  <c r="Z714" i="1"/>
  <c r="AA714" i="1"/>
  <c r="N715" i="20"/>
  <c r="Z715" i="1"/>
  <c r="AA715" i="1"/>
  <c r="N716" i="20"/>
  <c r="Z716" i="1"/>
  <c r="AA716" i="1"/>
  <c r="N717" i="20"/>
  <c r="Z717" i="1"/>
  <c r="N718" i="20"/>
  <c r="Z718" i="1"/>
  <c r="AA718" i="1"/>
  <c r="N719" i="20"/>
  <c r="Z719" i="1"/>
  <c r="AA719" i="1"/>
  <c r="N720" i="20"/>
  <c r="AA720" i="1"/>
  <c r="N721" i="20"/>
  <c r="Z721" i="1"/>
  <c r="AA721" i="1"/>
  <c r="N722" i="20"/>
  <c r="Z722" i="1"/>
  <c r="AA722" i="1"/>
  <c r="N723" i="20"/>
  <c r="Z723" i="1"/>
  <c r="AA723" i="1"/>
  <c r="N724" i="20"/>
  <c r="Z724" i="1"/>
  <c r="AA724" i="1"/>
  <c r="N725" i="20"/>
  <c r="Z725" i="1"/>
  <c r="N726" i="20"/>
  <c r="Z726" i="1"/>
  <c r="AA726" i="1"/>
  <c r="N727" i="20"/>
  <c r="Z727" i="1"/>
  <c r="AA727" i="1"/>
  <c r="N728" i="20"/>
  <c r="AA728" i="1"/>
  <c r="N729" i="20"/>
  <c r="Z729" i="1"/>
  <c r="AA729" i="1"/>
  <c r="N730" i="20"/>
  <c r="Z730" i="1"/>
  <c r="AA730" i="1"/>
  <c r="N731" i="20"/>
  <c r="Z731" i="1"/>
  <c r="AA731" i="1"/>
  <c r="N732" i="20"/>
  <c r="Z732" i="1"/>
  <c r="AA732" i="1"/>
  <c r="N733" i="20"/>
  <c r="Z733" i="1"/>
  <c r="N734" i="20"/>
  <c r="Z734" i="1"/>
  <c r="AA734" i="1"/>
  <c r="N735" i="20"/>
  <c r="Z735" i="1"/>
  <c r="AA735" i="1"/>
  <c r="N736" i="20"/>
  <c r="AA736" i="1"/>
  <c r="N737" i="20"/>
  <c r="Z737" i="1"/>
  <c r="AA737" i="1"/>
  <c r="N738" i="20"/>
  <c r="Z738" i="1"/>
  <c r="AA738" i="1"/>
  <c r="N739" i="20"/>
  <c r="Z739" i="1"/>
  <c r="AA739" i="1"/>
  <c r="N740" i="20"/>
  <c r="Z740" i="1"/>
  <c r="AA740" i="1"/>
  <c r="N741" i="20"/>
  <c r="Z741" i="1"/>
  <c r="N742" i="20"/>
  <c r="Z742" i="1"/>
  <c r="AA742" i="1"/>
  <c r="N743" i="20"/>
  <c r="Z743" i="1"/>
  <c r="AA743" i="1"/>
  <c r="N744" i="20"/>
  <c r="AA744" i="1"/>
  <c r="N745" i="20"/>
  <c r="Z745" i="1"/>
  <c r="AA745" i="1"/>
  <c r="N746" i="20"/>
  <c r="Z746" i="1"/>
  <c r="AA746" i="1"/>
  <c r="N747" i="20"/>
  <c r="Z747" i="1"/>
  <c r="AA747" i="1"/>
  <c r="N748" i="20"/>
  <c r="Z748" i="1"/>
  <c r="AA748" i="1"/>
  <c r="N749" i="20"/>
  <c r="Z749" i="1"/>
  <c r="N750" i="20"/>
  <c r="Z750" i="1"/>
  <c r="AA750" i="1"/>
  <c r="N751" i="20"/>
  <c r="Z751" i="1"/>
  <c r="AA751" i="1"/>
  <c r="N752" i="20"/>
  <c r="AA752" i="1"/>
  <c r="N753" i="20"/>
  <c r="Z753" i="1"/>
  <c r="AA753" i="1"/>
  <c r="N754" i="20"/>
  <c r="Z754" i="1"/>
  <c r="AA754" i="1"/>
  <c r="N755" i="20"/>
  <c r="Z755" i="1"/>
  <c r="AA755" i="1"/>
  <c r="N756" i="20"/>
  <c r="Z756" i="1"/>
  <c r="AA756" i="1"/>
  <c r="N757" i="20"/>
  <c r="Z757" i="1"/>
  <c r="N758" i="20"/>
  <c r="Z758" i="1"/>
  <c r="AA758" i="1"/>
  <c r="N759" i="20"/>
  <c r="Z759" i="1"/>
  <c r="AA759" i="1"/>
  <c r="N760" i="20"/>
  <c r="AA760" i="1"/>
  <c r="N761" i="20"/>
  <c r="AA761" i="1"/>
  <c r="N762" i="20"/>
  <c r="Z762" i="1"/>
  <c r="N763" i="20"/>
  <c r="Z763" i="1"/>
  <c r="AA763" i="1"/>
  <c r="N764" i="20"/>
  <c r="Z764" i="1"/>
  <c r="AA764" i="1"/>
  <c r="N765" i="20"/>
  <c r="AA765" i="1"/>
  <c r="N766" i="20"/>
  <c r="Z766" i="1"/>
  <c r="AA766" i="1"/>
  <c r="N767" i="20"/>
  <c r="Z767" i="1"/>
  <c r="AA767" i="1"/>
  <c r="N768" i="20"/>
  <c r="Z768" i="1"/>
  <c r="AA768" i="1"/>
  <c r="N769" i="20"/>
  <c r="Z769" i="1"/>
  <c r="AA769" i="1"/>
  <c r="N770" i="20"/>
  <c r="Z770" i="1"/>
  <c r="N771" i="20"/>
  <c r="Z771" i="1"/>
  <c r="AA771" i="1"/>
  <c r="N772" i="20"/>
  <c r="Z772" i="1"/>
  <c r="AA772" i="1"/>
  <c r="N773" i="20"/>
  <c r="AA773" i="1"/>
  <c r="N774" i="20"/>
  <c r="Z774" i="1"/>
  <c r="AA774" i="1"/>
  <c r="N775" i="20"/>
  <c r="Z775" i="1"/>
  <c r="AA775" i="1"/>
  <c r="N776" i="20"/>
  <c r="Z776" i="1"/>
  <c r="AA776" i="1"/>
  <c r="N777" i="20"/>
  <c r="Z777" i="1"/>
  <c r="AA777" i="1"/>
  <c r="N778" i="20"/>
  <c r="Z778" i="1"/>
  <c r="N779" i="20"/>
  <c r="Z779" i="1"/>
  <c r="AA779" i="1"/>
  <c r="N780" i="20"/>
  <c r="Z780" i="1"/>
  <c r="AA780" i="1"/>
  <c r="N781" i="20"/>
  <c r="AA781" i="1"/>
  <c r="N782" i="20"/>
  <c r="Z782" i="1"/>
  <c r="AA782" i="1"/>
  <c r="N783" i="20"/>
  <c r="Z783" i="1"/>
  <c r="AA783" i="1"/>
  <c r="N784" i="20"/>
  <c r="Z784" i="1"/>
  <c r="AA784" i="1"/>
  <c r="N785" i="20"/>
  <c r="Z785" i="1"/>
  <c r="AA785" i="1"/>
  <c r="N786" i="20"/>
  <c r="Z786" i="1"/>
  <c r="N787" i="20"/>
  <c r="Z787" i="1"/>
  <c r="AA787" i="1"/>
  <c r="N788" i="20"/>
  <c r="Z788" i="1"/>
  <c r="AA788" i="1"/>
  <c r="N789" i="20"/>
  <c r="AA789" i="1"/>
  <c r="N790" i="20"/>
  <c r="Z790" i="1"/>
  <c r="AA790" i="1"/>
  <c r="N791" i="20"/>
  <c r="Z791" i="1"/>
  <c r="AA791" i="1"/>
  <c r="N792" i="20"/>
  <c r="Z792" i="1"/>
  <c r="AA792" i="1"/>
  <c r="N793" i="20"/>
  <c r="Z793" i="1"/>
  <c r="AA793" i="1"/>
  <c r="N794" i="20"/>
  <c r="Z794" i="1"/>
  <c r="N795" i="20"/>
  <c r="Z795" i="1"/>
  <c r="AA795" i="1"/>
  <c r="N796" i="20"/>
  <c r="Z796" i="1"/>
  <c r="AA796" i="1"/>
  <c r="N797" i="20"/>
  <c r="AA797" i="1"/>
  <c r="N798" i="20"/>
  <c r="Z798" i="1"/>
  <c r="AA798" i="1"/>
  <c r="N799" i="20"/>
  <c r="Z799" i="1"/>
  <c r="AA799" i="1"/>
  <c r="N800" i="20"/>
  <c r="Z800" i="1"/>
  <c r="AA800" i="1"/>
  <c r="N801" i="20"/>
  <c r="Z801" i="1"/>
  <c r="AA801" i="1"/>
  <c r="N802" i="20"/>
  <c r="Z802" i="1"/>
  <c r="N803" i="20"/>
  <c r="Z803" i="1"/>
  <c r="AA803" i="1"/>
  <c r="N804" i="20"/>
  <c r="Z804" i="1"/>
  <c r="AA804" i="1"/>
  <c r="N805" i="20"/>
  <c r="AA805" i="1"/>
  <c r="N806" i="20"/>
  <c r="Z806" i="1"/>
  <c r="AA806" i="1"/>
  <c r="N807" i="20"/>
  <c r="Z807" i="1"/>
  <c r="AA807" i="1"/>
  <c r="N808" i="20"/>
  <c r="Z808" i="1"/>
  <c r="AA808" i="1"/>
  <c r="N809" i="20"/>
  <c r="Z809" i="1"/>
  <c r="AA809" i="1"/>
  <c r="N810" i="20"/>
  <c r="Z810" i="1"/>
  <c r="N811" i="20"/>
  <c r="Z811" i="1"/>
  <c r="AA811" i="1"/>
  <c r="N812" i="20"/>
  <c r="Z812" i="1"/>
  <c r="AA812" i="1"/>
  <c r="N813" i="20"/>
  <c r="AA813" i="1"/>
  <c r="N814" i="20"/>
  <c r="Z814" i="1"/>
  <c r="AA814" i="1"/>
  <c r="N815" i="20"/>
  <c r="Z815" i="1"/>
  <c r="AA815" i="1"/>
  <c r="N816" i="20"/>
  <c r="Z816" i="1"/>
  <c r="AA816" i="1"/>
  <c r="N817" i="20"/>
  <c r="Z817" i="1"/>
  <c r="AA817" i="1"/>
  <c r="N818" i="20"/>
  <c r="Z818" i="1"/>
  <c r="N819" i="20"/>
  <c r="Z819" i="1"/>
  <c r="AA819" i="1"/>
  <c r="N820" i="20"/>
  <c r="Z820" i="1"/>
  <c r="AA820" i="1"/>
  <c r="N821" i="20"/>
  <c r="AA821" i="1"/>
  <c r="N822" i="20"/>
  <c r="Z822" i="1"/>
  <c r="AA822" i="1"/>
  <c r="N823" i="20"/>
  <c r="Z823" i="1"/>
  <c r="AA823" i="1"/>
  <c r="N824" i="20"/>
  <c r="Z824" i="1"/>
  <c r="AA824" i="1"/>
  <c r="N825" i="20"/>
  <c r="Z825" i="1"/>
  <c r="AA825" i="1"/>
  <c r="N826" i="20"/>
  <c r="Z826" i="1"/>
  <c r="N827" i="20"/>
  <c r="Z827" i="1"/>
  <c r="AA827" i="1"/>
  <c r="N828" i="20"/>
  <c r="Z828" i="1"/>
  <c r="AA828" i="1"/>
  <c r="O829" i="20"/>
  <c r="P829" i="20"/>
  <c r="N832" i="20"/>
  <c r="Z832" i="1"/>
  <c r="N833" i="20"/>
  <c r="Z833" i="1"/>
  <c r="N834" i="20"/>
  <c r="Z834" i="1"/>
  <c r="N835" i="20"/>
  <c r="N836" i="20"/>
  <c r="N837" i="20"/>
  <c r="Z837" i="1"/>
  <c r="N838" i="20"/>
  <c r="Z838" i="1"/>
  <c r="N839" i="20"/>
  <c r="Z839" i="1"/>
  <c r="N840" i="20"/>
  <c r="Z840" i="1"/>
  <c r="N841" i="20"/>
  <c r="Z841" i="1"/>
  <c r="N842" i="20"/>
  <c r="N843" i="20"/>
  <c r="N844" i="20"/>
  <c r="N845" i="20"/>
  <c r="N846" i="20"/>
  <c r="Z846" i="1"/>
  <c r="N847" i="20"/>
  <c r="N848" i="20"/>
  <c r="AA848" i="1"/>
  <c r="N849" i="20"/>
  <c r="Z849" i="1"/>
  <c r="AA849" i="1"/>
  <c r="N850" i="20"/>
  <c r="Z850" i="1"/>
  <c r="N851" i="20"/>
  <c r="Z851" i="1"/>
  <c r="AA851" i="1"/>
  <c r="N852" i="20"/>
  <c r="Z852" i="1"/>
  <c r="AA852" i="1"/>
  <c r="N853" i="20"/>
  <c r="AA853" i="1"/>
  <c r="N854" i="20"/>
  <c r="Z854" i="1"/>
  <c r="AA854" i="1"/>
  <c r="N855" i="20"/>
  <c r="Z855" i="1"/>
  <c r="AA855" i="1"/>
  <c r="N856" i="20"/>
  <c r="Z856" i="1"/>
  <c r="AA856" i="1"/>
  <c r="N857" i="20"/>
  <c r="Z857" i="1"/>
  <c r="AA857" i="1"/>
  <c r="N858" i="20"/>
  <c r="Z858" i="1"/>
  <c r="N859" i="20"/>
  <c r="Z859" i="1"/>
  <c r="N860" i="20"/>
  <c r="Z860" i="1"/>
  <c r="N861" i="20"/>
  <c r="Z861" i="1"/>
  <c r="N862" i="20"/>
  <c r="Z862" i="1"/>
  <c r="N863" i="20"/>
  <c r="Z863" i="1"/>
  <c r="N864" i="20"/>
  <c r="Z864" i="1"/>
  <c r="N865" i="20"/>
  <c r="Z865" i="1"/>
  <c r="N866" i="20"/>
  <c r="Z866" i="1"/>
  <c r="N867" i="20"/>
  <c r="Z867" i="1"/>
  <c r="N868" i="20"/>
  <c r="AA868" i="1"/>
  <c r="N869" i="20"/>
  <c r="N870" i="20"/>
  <c r="N871" i="20"/>
  <c r="N872" i="20"/>
  <c r="AA872" i="1"/>
  <c r="N873" i="20"/>
  <c r="N874" i="20"/>
  <c r="N875" i="20"/>
  <c r="AA875" i="1"/>
  <c r="N876" i="20"/>
  <c r="Z876" i="1"/>
  <c r="AA876" i="1"/>
  <c r="N877" i="20"/>
  <c r="Z877" i="1"/>
  <c r="AA877" i="1"/>
  <c r="N878" i="20"/>
  <c r="Z878" i="1"/>
  <c r="AA878" i="1"/>
  <c r="N879" i="20"/>
  <c r="Z879" i="1"/>
  <c r="AA879" i="1"/>
  <c r="N880" i="20"/>
  <c r="Z880" i="1"/>
  <c r="N881" i="20"/>
  <c r="Z881" i="1"/>
  <c r="AA881" i="1"/>
  <c r="N882" i="20"/>
  <c r="Z882" i="1"/>
  <c r="AA882" i="1"/>
  <c r="N883" i="20"/>
  <c r="AA883" i="1"/>
  <c r="N884" i="20"/>
  <c r="Z884" i="1"/>
  <c r="N885" i="20"/>
  <c r="N886" i="20"/>
  <c r="N887" i="20"/>
  <c r="Z887" i="1"/>
  <c r="O888" i="20"/>
  <c r="P888" i="20"/>
  <c r="Q888" i="20"/>
  <c r="R888" i="20"/>
  <c r="P898" i="20"/>
  <c r="P899" i="20"/>
  <c r="P904" i="20"/>
  <c r="P905" i="20"/>
  <c r="T905" i="20"/>
  <c r="P907" i="20"/>
  <c r="P908" i="20"/>
  <c r="P910" i="20"/>
  <c r="P911" i="20"/>
  <c r="A1" i="8"/>
  <c r="B5" i="8"/>
  <c r="G1" i="8"/>
  <c r="K1" i="8"/>
  <c r="H5" i="8"/>
  <c r="L5" i="8"/>
  <c r="M5" i="8"/>
  <c r="B75" i="8"/>
  <c r="B76" i="8" s="1"/>
  <c r="B77" i="8" s="1"/>
  <c r="B78" i="8" s="1"/>
  <c r="B79" i="8" s="1"/>
  <c r="A1" i="4"/>
  <c r="B5" i="4"/>
  <c r="G1" i="4"/>
  <c r="K1" i="4"/>
  <c r="J5" i="4"/>
  <c r="J5" i="8"/>
  <c r="M5" i="4"/>
  <c r="E13" i="4"/>
  <c r="E13" i="8" s="1"/>
  <c r="K13" i="4"/>
  <c r="K13" i="8" s="1"/>
  <c r="E14" i="4"/>
  <c r="E14" i="8" s="1"/>
  <c r="K14" i="4"/>
  <c r="K14" i="8" s="1"/>
  <c r="E15" i="4"/>
  <c r="E15" i="8" s="1"/>
  <c r="K15" i="4"/>
  <c r="K15" i="8" s="1"/>
  <c r="E16" i="4"/>
  <c r="E16" i="8" s="1"/>
  <c r="K16" i="4"/>
  <c r="K16" i="8" s="1"/>
  <c r="E17" i="4"/>
  <c r="E17" i="8" s="1"/>
  <c r="D17" i="4"/>
  <c r="D17" i="8" s="1"/>
  <c r="K17" i="4"/>
  <c r="K17" i="8" s="1"/>
  <c r="E18" i="4"/>
  <c r="E18" i="8" s="1"/>
  <c r="D18" i="4"/>
  <c r="D18" i="8" s="1"/>
  <c r="K18" i="4"/>
  <c r="K18" i="8" s="1"/>
  <c r="E19" i="4"/>
  <c r="E19" i="8" s="1"/>
  <c r="K19" i="4"/>
  <c r="K19" i="8" s="1"/>
  <c r="E22" i="4"/>
  <c r="E22" i="8" s="1"/>
  <c r="K22" i="4"/>
  <c r="K22" i="8" s="1"/>
  <c r="E24" i="4"/>
  <c r="E24" i="8" s="1"/>
  <c r="K24" i="4"/>
  <c r="K24" i="8" s="1"/>
  <c r="E25" i="4"/>
  <c r="K25" i="4"/>
  <c r="K25" i="8"/>
  <c r="E31" i="4"/>
  <c r="E31" i="8" s="1"/>
  <c r="K31" i="4"/>
  <c r="K31" i="8"/>
  <c r="E32" i="4"/>
  <c r="E32" i="8" s="1"/>
  <c r="K32" i="4"/>
  <c r="K32" i="8"/>
  <c r="E33" i="4"/>
  <c r="E33" i="8" s="1"/>
  <c r="E34" i="8" s="1"/>
  <c r="K33" i="4"/>
  <c r="K33" i="8"/>
  <c r="E44" i="4"/>
  <c r="E44" i="8" s="1"/>
  <c r="K44" i="4"/>
  <c r="K44" i="8"/>
  <c r="E48" i="4"/>
  <c r="E48" i="8" s="1"/>
  <c r="K48" i="4"/>
  <c r="K48" i="8"/>
  <c r="E49" i="4"/>
  <c r="E49" i="8" s="1"/>
  <c r="K49" i="4"/>
  <c r="K49" i="8"/>
  <c r="E55" i="4"/>
  <c r="E55" i="8" s="1"/>
  <c r="E56" i="8" s="1"/>
  <c r="K55" i="4"/>
  <c r="E70" i="4"/>
  <c r="E70" i="8" s="1"/>
  <c r="K70" i="4"/>
  <c r="K70" i="8" s="1"/>
  <c r="J70" i="4"/>
  <c r="J70" i="8" s="1"/>
  <c r="B75" i="4"/>
  <c r="B76" i="4"/>
  <c r="B77" i="4"/>
  <c r="B78" i="4" s="1"/>
  <c r="B79" i="4" s="1"/>
  <c r="B80" i="4"/>
  <c r="B81" i="4" s="1"/>
  <c r="B82" i="4" s="1"/>
  <c r="E78" i="4"/>
  <c r="K78" i="4"/>
  <c r="E79" i="4"/>
  <c r="K79" i="4"/>
  <c r="E80" i="4"/>
  <c r="K80" i="4"/>
  <c r="E81" i="4"/>
  <c r="K81" i="4"/>
  <c r="E85" i="4"/>
  <c r="E85" i="8" s="1"/>
  <c r="K85" i="4"/>
  <c r="K85" i="8" s="1"/>
  <c r="E86" i="4"/>
  <c r="E86" i="8" s="1"/>
  <c r="K86" i="4"/>
  <c r="K86" i="8" s="1"/>
  <c r="E92" i="4"/>
  <c r="K92" i="4"/>
  <c r="K92" i="8" s="1"/>
  <c r="A1" i="7"/>
  <c r="H5" i="7" s="1"/>
  <c r="G1" i="7"/>
  <c r="K1" i="7"/>
  <c r="N1" i="7"/>
  <c r="E5" i="7"/>
  <c r="M5" i="7"/>
  <c r="M12" i="7"/>
  <c r="N12" i="7"/>
  <c r="M13" i="7"/>
  <c r="N13" i="7"/>
  <c r="D14" i="7"/>
  <c r="D76" i="7" s="1"/>
  <c r="E14" i="7"/>
  <c r="G14" i="7"/>
  <c r="H14" i="7"/>
  <c r="H32" i="7" s="1"/>
  <c r="J14" i="7"/>
  <c r="K14" i="7"/>
  <c r="M16" i="7"/>
  <c r="N16" i="7"/>
  <c r="M17" i="7"/>
  <c r="N17" i="7"/>
  <c r="M18" i="7"/>
  <c r="N18" i="7"/>
  <c r="M19" i="7"/>
  <c r="N19" i="7"/>
  <c r="M20" i="7"/>
  <c r="N20" i="7"/>
  <c r="M21" i="7"/>
  <c r="N21" i="7"/>
  <c r="D22" i="7"/>
  <c r="E22" i="7"/>
  <c r="G22" i="7"/>
  <c r="H22" i="7"/>
  <c r="J22" i="7"/>
  <c r="J78" i="7"/>
  <c r="K22" i="7"/>
  <c r="M24" i="7"/>
  <c r="N24" i="7"/>
  <c r="M25" i="7"/>
  <c r="M30" i="7" s="1"/>
  <c r="N25" i="7"/>
  <c r="M26" i="7"/>
  <c r="N26" i="7"/>
  <c r="M27" i="7"/>
  <c r="N27" i="7"/>
  <c r="M28" i="7"/>
  <c r="N28" i="7"/>
  <c r="M29" i="7"/>
  <c r="N29" i="7"/>
  <c r="D30" i="7"/>
  <c r="D80" i="7" s="1"/>
  <c r="E30" i="7"/>
  <c r="G30" i="7"/>
  <c r="H30" i="7"/>
  <c r="J30" i="7"/>
  <c r="J80" i="7"/>
  <c r="J23" i="7" s="1"/>
  <c r="K30" i="7"/>
  <c r="M41" i="7"/>
  <c r="N41" i="7"/>
  <c r="M42" i="7"/>
  <c r="N42" i="7"/>
  <c r="D43" i="7"/>
  <c r="E43" i="7"/>
  <c r="G43" i="7"/>
  <c r="H43" i="7"/>
  <c r="J43" i="7"/>
  <c r="J82" i="7" s="1"/>
  <c r="J39" i="7" s="1"/>
  <c r="K43" i="7"/>
  <c r="M45" i="7"/>
  <c r="N45" i="7"/>
  <c r="M46" i="7"/>
  <c r="M47" i="7"/>
  <c r="N46" i="7"/>
  <c r="D47" i="7"/>
  <c r="D84" i="7" s="1"/>
  <c r="D44" i="7" s="1"/>
  <c r="E47" i="7"/>
  <c r="G47" i="7"/>
  <c r="H47" i="7"/>
  <c r="J47" i="7"/>
  <c r="J84" i="7"/>
  <c r="J44" i="7" s="1"/>
  <c r="K47" i="7"/>
  <c r="K84" i="7" s="1"/>
  <c r="K44" i="7" s="1"/>
  <c r="M49" i="7"/>
  <c r="N49" i="7"/>
  <c r="M50" i="7"/>
  <c r="N50" i="7"/>
  <c r="D51" i="7"/>
  <c r="D86" i="7" s="1"/>
  <c r="E51" i="7"/>
  <c r="G51" i="7"/>
  <c r="H51" i="7"/>
  <c r="J51" i="7"/>
  <c r="J86" i="7"/>
  <c r="K51" i="7"/>
  <c r="K86" i="7" s="1"/>
  <c r="K48" i="7" s="1"/>
  <c r="M53" i="7"/>
  <c r="N53" i="7"/>
  <c r="M54" i="7"/>
  <c r="N54" i="7"/>
  <c r="M55" i="7"/>
  <c r="N55" i="7"/>
  <c r="D56" i="7"/>
  <c r="D88" i="7" s="1"/>
  <c r="E56" i="7"/>
  <c r="G56" i="7"/>
  <c r="H56" i="7"/>
  <c r="J56" i="7"/>
  <c r="J88" i="7"/>
  <c r="J52" i="7" s="1"/>
  <c r="K56" i="7"/>
  <c r="K88" i="7"/>
  <c r="K52" i="7" s="1"/>
  <c r="D72" i="7"/>
  <c r="AK6" i="1"/>
  <c r="Q8" i="1"/>
  <c r="S8" i="1"/>
  <c r="X8" i="1"/>
  <c r="Z8" i="1"/>
  <c r="N10" i="1"/>
  <c r="E12" i="1"/>
  <c r="N14" i="1"/>
  <c r="AJ14" i="1" s="1"/>
  <c r="S14" i="1"/>
  <c r="T14" i="1"/>
  <c r="V14" i="1"/>
  <c r="W14" i="1"/>
  <c r="X14" i="1"/>
  <c r="Y14" i="1"/>
  <c r="AN14" i="1" s="1"/>
  <c r="AG14" i="1"/>
  <c r="J63" i="4" s="1"/>
  <c r="AH14" i="1"/>
  <c r="N15" i="1"/>
  <c r="AJ15" i="1"/>
  <c r="S15" i="1"/>
  <c r="AO15" i="1"/>
  <c r="T15" i="1"/>
  <c r="AM15" i="1"/>
  <c r="AG15" i="1"/>
  <c r="AH15" i="1"/>
  <c r="N16" i="1"/>
  <c r="AJ16" i="1"/>
  <c r="N17" i="1"/>
  <c r="AJ17" i="1"/>
  <c r="T17" i="1"/>
  <c r="N18" i="1"/>
  <c r="AJ18" i="1"/>
  <c r="AM18" i="1"/>
  <c r="AN18" i="1"/>
  <c r="N19" i="1"/>
  <c r="AJ19" i="1"/>
  <c r="T19" i="1"/>
  <c r="AP19" i="1"/>
  <c r="AT19" i="1" s="1"/>
  <c r="N20" i="1"/>
  <c r="AJ20" i="1"/>
  <c r="T20" i="1"/>
  <c r="AP20" i="1"/>
  <c r="N21" i="1"/>
  <c r="AJ21" i="1"/>
  <c r="AM21" i="1"/>
  <c r="N22" i="1"/>
  <c r="AJ22" i="1" s="1"/>
  <c r="T22" i="1"/>
  <c r="AP22" i="1" s="1"/>
  <c r="AT22" i="1" s="1"/>
  <c r="AN22" i="1"/>
  <c r="N23" i="1"/>
  <c r="AJ23" i="1"/>
  <c r="AK23" i="1"/>
  <c r="AR23" i="1" s="1"/>
  <c r="AN23" i="1"/>
  <c r="N24" i="1"/>
  <c r="AJ24" i="1"/>
  <c r="S24" i="1"/>
  <c r="AO24" i="1"/>
  <c r="T24" i="1"/>
  <c r="AN24" i="1"/>
  <c r="N25" i="1"/>
  <c r="AJ25" i="1"/>
  <c r="S25" i="1"/>
  <c r="T25" i="1"/>
  <c r="AP25" i="1" s="1"/>
  <c r="AM25" i="1"/>
  <c r="N26" i="1"/>
  <c r="AJ26" i="1"/>
  <c r="T26" i="1"/>
  <c r="N27" i="1"/>
  <c r="AJ27" i="1" s="1"/>
  <c r="N28" i="1"/>
  <c r="AJ28" i="1" s="1"/>
  <c r="N29" i="1"/>
  <c r="AJ29" i="1" s="1"/>
  <c r="N30" i="1"/>
  <c r="AJ30" i="1" s="1"/>
  <c r="N31" i="1"/>
  <c r="AJ31" i="1" s="1"/>
  <c r="N32" i="1"/>
  <c r="AJ32" i="1" s="1"/>
  <c r="N33" i="1"/>
  <c r="AJ33" i="1" s="1"/>
  <c r="N34" i="1"/>
  <c r="AJ34" i="1" s="1"/>
  <c r="N35" i="1"/>
  <c r="AJ35" i="1" s="1"/>
  <c r="N36" i="1"/>
  <c r="AJ36" i="1" s="1"/>
  <c r="N37" i="1"/>
  <c r="AJ37" i="1" s="1"/>
  <c r="N38" i="1"/>
  <c r="AJ38" i="1" s="1"/>
  <c r="N39" i="1"/>
  <c r="AJ39" i="1" s="1"/>
  <c r="N40" i="1"/>
  <c r="AJ40" i="1" s="1"/>
  <c r="N41" i="1"/>
  <c r="AJ41" i="1" s="1"/>
  <c r="N42" i="1"/>
  <c r="AJ42" i="1" s="1"/>
  <c r="N43" i="1"/>
  <c r="AJ43" i="1" s="1"/>
  <c r="N44" i="1"/>
  <c r="AJ44" i="1" s="1"/>
  <c r="N45" i="1"/>
  <c r="AJ45" i="1" s="1"/>
  <c r="N46" i="1"/>
  <c r="AJ46" i="1" s="1"/>
  <c r="N47" i="1"/>
  <c r="AJ47" i="1" s="1"/>
  <c r="N48" i="1"/>
  <c r="AJ48" i="1" s="1"/>
  <c r="N49" i="1"/>
  <c r="AJ49" i="1" s="1"/>
  <c r="N50" i="1"/>
  <c r="AJ50" i="1" s="1"/>
  <c r="N51" i="1"/>
  <c r="AJ51" i="1" s="1"/>
  <c r="N52" i="1"/>
  <c r="AJ52" i="1" s="1"/>
  <c r="AH904" i="1"/>
  <c r="N53" i="1"/>
  <c r="AJ53" i="1"/>
  <c r="N54" i="1"/>
  <c r="AJ54" i="1"/>
  <c r="N55" i="1"/>
  <c r="AJ55" i="1"/>
  <c r="AK55" i="1"/>
  <c r="AR55" i="1" s="1"/>
  <c r="N56" i="1"/>
  <c r="AJ56" i="1" s="1"/>
  <c r="T56" i="1"/>
  <c r="AN56" i="1"/>
  <c r="N57" i="1"/>
  <c r="AJ57" i="1" s="1"/>
  <c r="T57" i="1"/>
  <c r="N58" i="1"/>
  <c r="AJ58" i="1"/>
  <c r="T58" i="1"/>
  <c r="AP58" i="1"/>
  <c r="AT58" i="1" s="1"/>
  <c r="AN58" i="1"/>
  <c r="N59" i="1"/>
  <c r="AJ59" i="1"/>
  <c r="T59" i="1"/>
  <c r="N60" i="1"/>
  <c r="AJ60" i="1" s="1"/>
  <c r="S60" i="1"/>
  <c r="AO60" i="1" s="1"/>
  <c r="T60" i="1"/>
  <c r="AP60" i="1" s="1"/>
  <c r="AM60" i="1"/>
  <c r="AN60" i="1"/>
  <c r="N61" i="1"/>
  <c r="AJ61" i="1" s="1"/>
  <c r="S61" i="1"/>
  <c r="AO61" i="1" s="1"/>
  <c r="T61" i="1"/>
  <c r="AK61" i="1"/>
  <c r="N62" i="1"/>
  <c r="AJ62" i="1" s="1"/>
  <c r="T62" i="1"/>
  <c r="AP62" i="1" s="1"/>
  <c r="AT62" i="1" s="1"/>
  <c r="N63" i="1"/>
  <c r="AJ63" i="1" s="1"/>
  <c r="T63" i="1"/>
  <c r="AP63" i="1"/>
  <c r="N64" i="1"/>
  <c r="AJ64" i="1" s="1"/>
  <c r="T64" i="1"/>
  <c r="AM64" i="1"/>
  <c r="AN64" i="1"/>
  <c r="N65" i="1"/>
  <c r="AJ65" i="1"/>
  <c r="T65" i="1"/>
  <c r="AM65" i="1"/>
  <c r="N66" i="1"/>
  <c r="T66" i="1"/>
  <c r="AP66" i="1" s="1"/>
  <c r="AM66" i="1"/>
  <c r="AJ66" i="1"/>
  <c r="N67" i="1"/>
  <c r="AJ67" i="1" s="1"/>
  <c r="T67" i="1"/>
  <c r="AM67" i="1"/>
  <c r="N68" i="1"/>
  <c r="AJ68" i="1" s="1"/>
  <c r="T68" i="1"/>
  <c r="AP68" i="1" s="1"/>
  <c r="AN68" i="1"/>
  <c r="N69" i="1"/>
  <c r="T69" i="1"/>
  <c r="AL69" i="1"/>
  <c r="AR69" i="1" s="1"/>
  <c r="AJ69" i="1"/>
  <c r="AJ70" i="1"/>
  <c r="N71" i="1"/>
  <c r="AJ71" i="1" s="1"/>
  <c r="D19" i="4"/>
  <c r="D19" i="8" s="1"/>
  <c r="M19" i="8" s="1"/>
  <c r="AG71" i="1"/>
  <c r="J19" i="4"/>
  <c r="J19" i="8" s="1"/>
  <c r="N72" i="1"/>
  <c r="AJ72" i="1" s="1"/>
  <c r="N73" i="1"/>
  <c r="AJ73" i="1" s="1"/>
  <c r="AK73" i="1"/>
  <c r="N74" i="1"/>
  <c r="AJ74" i="1"/>
  <c r="AM74" i="1"/>
  <c r="N75" i="1"/>
  <c r="AJ75" i="1" s="1"/>
  <c r="AK75" i="1"/>
  <c r="AN75" i="1"/>
  <c r="N76" i="1"/>
  <c r="AJ76" i="1" s="1"/>
  <c r="AN76" i="1"/>
  <c r="N77" i="1"/>
  <c r="AJ77" i="1"/>
  <c r="AK77" i="1"/>
  <c r="AR77" i="1"/>
  <c r="N78" i="1"/>
  <c r="AJ78" i="1"/>
  <c r="AM78" i="1"/>
  <c r="N79" i="1"/>
  <c r="AJ79" i="1" s="1"/>
  <c r="AK79" i="1"/>
  <c r="AR79" i="1" s="1"/>
  <c r="AN79" i="1"/>
  <c r="N80" i="1"/>
  <c r="AJ80" i="1" s="1"/>
  <c r="AM80" i="1"/>
  <c r="AN80" i="1"/>
  <c r="N81" i="1"/>
  <c r="AJ81" i="1" s="1"/>
  <c r="AK81" i="1"/>
  <c r="AR81" i="1" s="1"/>
  <c r="N82" i="1"/>
  <c r="AJ82" i="1" s="1"/>
  <c r="AK82" i="1"/>
  <c r="AR82" i="1" s="1"/>
  <c r="AM82" i="1"/>
  <c r="AN82" i="1"/>
  <c r="N83" i="1"/>
  <c r="AJ83" i="1" s="1"/>
  <c r="N84" i="1"/>
  <c r="AJ84" i="1" s="1"/>
  <c r="AM84" i="1"/>
  <c r="AN84" i="1"/>
  <c r="N85" i="1"/>
  <c r="AJ85" i="1" s="1"/>
  <c r="AK85" i="1"/>
  <c r="AR85" i="1" s="1"/>
  <c r="AN85" i="1"/>
  <c r="N86" i="1"/>
  <c r="AJ86" i="1"/>
  <c r="AN86" i="1"/>
  <c r="N87" i="1"/>
  <c r="AJ87" i="1" s="1"/>
  <c r="AK87" i="1"/>
  <c r="N88" i="1"/>
  <c r="AJ88" i="1"/>
  <c r="AM88" i="1"/>
  <c r="N89" i="1"/>
  <c r="AJ89" i="1" s="1"/>
  <c r="AK89" i="1"/>
  <c r="AR89" i="1" s="1"/>
  <c r="N90" i="1"/>
  <c r="AJ90" i="1"/>
  <c r="AN90" i="1"/>
  <c r="N91" i="1"/>
  <c r="AJ91" i="1" s="1"/>
  <c r="AK91" i="1"/>
  <c r="AR91" i="1" s="1"/>
  <c r="AN91" i="1"/>
  <c r="J17" i="4"/>
  <c r="J17" i="8" s="1"/>
  <c r="N92" i="1"/>
  <c r="AJ92" i="1" s="1"/>
  <c r="AM92" i="1"/>
  <c r="N93" i="1"/>
  <c r="AJ93" i="1"/>
  <c r="AM93" i="1"/>
  <c r="AN93" i="1"/>
  <c r="J18" i="4"/>
  <c r="J18" i="8" s="1"/>
  <c r="AK93" i="1"/>
  <c r="AR93" i="1" s="1"/>
  <c r="N94" i="1"/>
  <c r="AJ94" i="1"/>
  <c r="AL94" i="1"/>
  <c r="AR94" i="1" s="1"/>
  <c r="AM94" i="1"/>
  <c r="AN94" i="1"/>
  <c r="N95" i="1"/>
  <c r="AJ95" i="1" s="1"/>
  <c r="AL95" i="1"/>
  <c r="AR95" i="1" s="1"/>
  <c r="AN95" i="1"/>
  <c r="N96" i="1"/>
  <c r="AJ96" i="1" s="1"/>
  <c r="AL96" i="1"/>
  <c r="AR96" i="1" s="1"/>
  <c r="AM96" i="1"/>
  <c r="AN96" i="1"/>
  <c r="N97" i="1"/>
  <c r="AJ97" i="1" s="1"/>
  <c r="AL97" i="1"/>
  <c r="AR97" i="1" s="1"/>
  <c r="AM97" i="1"/>
  <c r="AN97" i="1"/>
  <c r="N98" i="1"/>
  <c r="AJ98" i="1" s="1"/>
  <c r="AL98" i="1"/>
  <c r="AR98" i="1" s="1"/>
  <c r="AM98" i="1"/>
  <c r="AN98" i="1"/>
  <c r="N99" i="1"/>
  <c r="AJ99" i="1" s="1"/>
  <c r="AL99" i="1"/>
  <c r="AR99" i="1" s="1"/>
  <c r="AN99" i="1"/>
  <c r="N100" i="1"/>
  <c r="AJ100" i="1"/>
  <c r="AL100" i="1"/>
  <c r="AR100" i="1" s="1"/>
  <c r="AM100" i="1"/>
  <c r="AN100" i="1"/>
  <c r="N101" i="1"/>
  <c r="AJ101" i="1" s="1"/>
  <c r="AL101" i="1"/>
  <c r="AN101" i="1"/>
  <c r="AJ102" i="1"/>
  <c r="N103" i="1"/>
  <c r="AJ103" i="1"/>
  <c r="AM103" i="1"/>
  <c r="AN103" i="1"/>
  <c r="N104" i="1"/>
  <c r="AM104" i="1"/>
  <c r="AN104" i="1"/>
  <c r="AJ104" i="1"/>
  <c r="AK104" i="1"/>
  <c r="AR104" i="1"/>
  <c r="N105" i="1"/>
  <c r="AJ105" i="1"/>
  <c r="AK105" i="1"/>
  <c r="AR105" i="1"/>
  <c r="AM105" i="1"/>
  <c r="AN105" i="1"/>
  <c r="N106" i="1"/>
  <c r="AJ106" i="1"/>
  <c r="AK106" i="1"/>
  <c r="AR106" i="1"/>
  <c r="AM106" i="1"/>
  <c r="AN106" i="1"/>
  <c r="N107" i="1"/>
  <c r="AJ107" i="1"/>
  <c r="AN107" i="1"/>
  <c r="N108" i="1"/>
  <c r="AJ108" i="1" s="1"/>
  <c r="AM108" i="1"/>
  <c r="AN108" i="1"/>
  <c r="AK108" i="1"/>
  <c r="AR108" i="1" s="1"/>
  <c r="N109" i="1"/>
  <c r="AJ109" i="1"/>
  <c r="AM109" i="1"/>
  <c r="AN109" i="1"/>
  <c r="N110" i="1"/>
  <c r="AJ110" i="1"/>
  <c r="AK110" i="1"/>
  <c r="AR110" i="1" s="1"/>
  <c r="AN110" i="1"/>
  <c r="N111" i="1"/>
  <c r="AJ111" i="1"/>
  <c r="AN111" i="1"/>
  <c r="N112" i="1"/>
  <c r="AJ112" i="1" s="1"/>
  <c r="AK112" i="1"/>
  <c r="AR112" i="1" s="1"/>
  <c r="AN112" i="1"/>
  <c r="AJ113" i="1"/>
  <c r="N114" i="1"/>
  <c r="AJ114" i="1"/>
  <c r="T114" i="1"/>
  <c r="AL114" i="1"/>
  <c r="AR114" i="1" s="1"/>
  <c r="AN114" i="1"/>
  <c r="AH114" i="1"/>
  <c r="N115" i="1"/>
  <c r="AJ115" i="1" s="1"/>
  <c r="S115" i="1"/>
  <c r="AM115" i="1"/>
  <c r="AG115" i="1"/>
  <c r="N116" i="1"/>
  <c r="AJ116" i="1"/>
  <c r="T116" i="1"/>
  <c r="AL116" i="1"/>
  <c r="AR116" i="1" s="1"/>
  <c r="N117" i="1"/>
  <c r="AJ117" i="1" s="1"/>
  <c r="S117" i="1"/>
  <c r="AG117" i="1"/>
  <c r="N118" i="1"/>
  <c r="AJ118" i="1" s="1"/>
  <c r="T118" i="1"/>
  <c r="AP118" i="1" s="1"/>
  <c r="AT118" i="1" s="1"/>
  <c r="AL118" i="1"/>
  <c r="AR118" i="1" s="1"/>
  <c r="AH118" i="1"/>
  <c r="N119" i="1"/>
  <c r="AJ119" i="1" s="1"/>
  <c r="AM119" i="1"/>
  <c r="AN119" i="1"/>
  <c r="N120" i="1"/>
  <c r="AJ120" i="1" s="1"/>
  <c r="S120" i="1"/>
  <c r="AO120" i="1" s="1"/>
  <c r="T120" i="1"/>
  <c r="AK120" i="1"/>
  <c r="AN120" i="1"/>
  <c r="AG120" i="1"/>
  <c r="AH120" i="1"/>
  <c r="N121" i="1"/>
  <c r="AJ121" i="1"/>
  <c r="S121" i="1"/>
  <c r="T121" i="1"/>
  <c r="AK121" i="1"/>
  <c r="AM121" i="1"/>
  <c r="AN121" i="1"/>
  <c r="AG121" i="1"/>
  <c r="AH121" i="1"/>
  <c r="N122" i="1"/>
  <c r="AJ122" i="1" s="1"/>
  <c r="T122" i="1"/>
  <c r="AP122" i="1" s="1"/>
  <c r="AN122" i="1"/>
  <c r="AH122" i="1"/>
  <c r="N123" i="1"/>
  <c r="AJ123" i="1" s="1"/>
  <c r="AM123" i="1"/>
  <c r="AN123" i="1"/>
  <c r="N124" i="1"/>
  <c r="AJ124" i="1" s="1"/>
  <c r="AK124" i="1"/>
  <c r="AR124" i="1" s="1"/>
  <c r="AN124" i="1"/>
  <c r="N125" i="1"/>
  <c r="AJ125" i="1"/>
  <c r="T125" i="1"/>
  <c r="AL125" i="1"/>
  <c r="AR125" i="1" s="1"/>
  <c r="AM125" i="1"/>
  <c r="AN125" i="1"/>
  <c r="AH125" i="1"/>
  <c r="N126" i="1"/>
  <c r="AJ126" i="1"/>
  <c r="AK126" i="1"/>
  <c r="AN126" i="1"/>
  <c r="N127" i="1"/>
  <c r="AJ127" i="1"/>
  <c r="T127" i="1"/>
  <c r="AL127" i="1"/>
  <c r="AR127" i="1" s="1"/>
  <c r="AM127" i="1"/>
  <c r="AN127" i="1"/>
  <c r="AH127" i="1"/>
  <c r="N128" i="1"/>
  <c r="AJ128" i="1"/>
  <c r="T128" i="1"/>
  <c r="AN128" i="1"/>
  <c r="AH128" i="1"/>
  <c r="N129" i="1"/>
  <c r="AJ129" i="1" s="1"/>
  <c r="AM129" i="1"/>
  <c r="AN129" i="1"/>
  <c r="N130" i="1"/>
  <c r="AJ130" i="1" s="1"/>
  <c r="T130" i="1"/>
  <c r="AP130" i="1" s="1"/>
  <c r="AN130" i="1"/>
  <c r="AH130" i="1"/>
  <c r="N131" i="1"/>
  <c r="AJ131" i="1" s="1"/>
  <c r="AM131" i="1"/>
  <c r="AN131" i="1"/>
  <c r="N132" i="1"/>
  <c r="AJ132" i="1" s="1"/>
  <c r="T132" i="1"/>
  <c r="AP132" i="1" s="1"/>
  <c r="AT132" i="1" s="1"/>
  <c r="AN132" i="1"/>
  <c r="AH132" i="1"/>
  <c r="N133" i="1"/>
  <c r="AJ133" i="1" s="1"/>
  <c r="T133" i="1"/>
  <c r="AL133" i="1"/>
  <c r="AR133" i="1"/>
  <c r="AN133" i="1"/>
  <c r="AH133" i="1"/>
  <c r="N134" i="1"/>
  <c r="AK134" i="1"/>
  <c r="AR134" i="1" s="1"/>
  <c r="AJ134" i="1"/>
  <c r="N135" i="1"/>
  <c r="AJ135" i="1"/>
  <c r="T135" i="1"/>
  <c r="AP135" i="1"/>
  <c r="AL135" i="1"/>
  <c r="AR135" i="1"/>
  <c r="AM135" i="1"/>
  <c r="AN135" i="1"/>
  <c r="AH135" i="1"/>
  <c r="N136" i="1"/>
  <c r="AJ136" i="1" s="1"/>
  <c r="AK136" i="1"/>
  <c r="AR136" i="1" s="1"/>
  <c r="AN136" i="1"/>
  <c r="N137" i="1"/>
  <c r="AJ137" i="1" s="1"/>
  <c r="AM137" i="1"/>
  <c r="AN137" i="1"/>
  <c r="N138" i="1"/>
  <c r="AJ138" i="1" s="1"/>
  <c r="AK138" i="1"/>
  <c r="AR138" i="1" s="1"/>
  <c r="AN138" i="1"/>
  <c r="N139" i="1"/>
  <c r="AJ139" i="1"/>
  <c r="T139" i="1"/>
  <c r="AL139" i="1"/>
  <c r="AR139" i="1" s="1"/>
  <c r="AM139" i="1"/>
  <c r="AH139" i="1"/>
  <c r="N140" i="1"/>
  <c r="AJ140" i="1" s="1"/>
  <c r="T140" i="1"/>
  <c r="AP140" i="1" s="1"/>
  <c r="AN140" i="1"/>
  <c r="AH140" i="1"/>
  <c r="N141" i="1"/>
  <c r="AJ141" i="1" s="1"/>
  <c r="AM141" i="1"/>
  <c r="N142" i="1"/>
  <c r="T142" i="1"/>
  <c r="AN142" i="1"/>
  <c r="AH142" i="1"/>
  <c r="AJ142" i="1"/>
  <c r="AM142" i="1"/>
  <c r="N143" i="1"/>
  <c r="AJ143" i="1"/>
  <c r="T143" i="1"/>
  <c r="AL143" i="1"/>
  <c r="AR143" i="1" s="1"/>
  <c r="AM143" i="1"/>
  <c r="AN143" i="1"/>
  <c r="AH143" i="1"/>
  <c r="N144" i="1"/>
  <c r="AJ144" i="1" s="1"/>
  <c r="AN144" i="1"/>
  <c r="AK144" i="1"/>
  <c r="AR144" i="1" s="1"/>
  <c r="N145" i="1"/>
  <c r="AJ145" i="1" s="1"/>
  <c r="AM145" i="1"/>
  <c r="AN145" i="1"/>
  <c r="N146" i="1"/>
  <c r="AJ146" i="1" s="1"/>
  <c r="T146" i="1"/>
  <c r="AH146" i="1"/>
  <c r="N147" i="1"/>
  <c r="AJ147" i="1" s="1"/>
  <c r="N148" i="1"/>
  <c r="AJ148" i="1" s="1"/>
  <c r="N149" i="1"/>
  <c r="AJ149" i="1" s="1"/>
  <c r="AM149" i="1"/>
  <c r="N150" i="1"/>
  <c r="AJ150" i="1"/>
  <c r="T150" i="1"/>
  <c r="AN150" i="1"/>
  <c r="AH150" i="1"/>
  <c r="N151" i="1"/>
  <c r="AJ151" i="1" s="1"/>
  <c r="T151" i="1"/>
  <c r="AL151" i="1"/>
  <c r="AN151" i="1"/>
  <c r="AH151" i="1"/>
  <c r="N152" i="1"/>
  <c r="AJ152" i="1" s="1"/>
  <c r="AK152" i="1"/>
  <c r="N153" i="1"/>
  <c r="AJ153" i="1"/>
  <c r="AM153" i="1"/>
  <c r="AN153" i="1"/>
  <c r="N154" i="1"/>
  <c r="AJ154" i="1"/>
  <c r="AK154" i="1"/>
  <c r="AR154" i="1"/>
  <c r="AN154" i="1"/>
  <c r="N155" i="1"/>
  <c r="AJ155" i="1" s="1"/>
  <c r="AM155" i="1"/>
  <c r="AN155" i="1"/>
  <c r="N156" i="1"/>
  <c r="AJ156" i="1" s="1"/>
  <c r="AK156" i="1"/>
  <c r="AN156" i="1"/>
  <c r="N157" i="1"/>
  <c r="AJ157" i="1" s="1"/>
  <c r="AM157" i="1"/>
  <c r="AN157" i="1"/>
  <c r="N158" i="1"/>
  <c r="AJ158" i="1" s="1"/>
  <c r="AK158" i="1"/>
  <c r="AN158" i="1"/>
  <c r="AS158" i="1" s="1"/>
  <c r="N159" i="1"/>
  <c r="AJ159" i="1" s="1"/>
  <c r="AM159" i="1"/>
  <c r="AN159" i="1"/>
  <c r="N160" i="1"/>
  <c r="AJ160" i="1" s="1"/>
  <c r="S160" i="1"/>
  <c r="AO160" i="1" s="1"/>
  <c r="T160" i="1"/>
  <c r="AP160" i="1" s="1"/>
  <c r="AN160" i="1"/>
  <c r="AG160" i="1"/>
  <c r="AH160" i="1"/>
  <c r="N161" i="1"/>
  <c r="AJ161" i="1"/>
  <c r="AM161" i="1"/>
  <c r="N162" i="1"/>
  <c r="AJ162" i="1" s="1"/>
  <c r="AK162" i="1"/>
  <c r="AR162" i="1" s="1"/>
  <c r="AN162" i="1"/>
  <c r="N163" i="1"/>
  <c r="AJ163" i="1" s="1"/>
  <c r="AM163" i="1"/>
  <c r="AN163" i="1"/>
  <c r="N164" i="1"/>
  <c r="AJ164" i="1" s="1"/>
  <c r="AK164" i="1"/>
  <c r="AR164" i="1" s="1"/>
  <c r="AN164" i="1"/>
  <c r="N165" i="1"/>
  <c r="AJ165" i="1"/>
  <c r="AN165" i="1"/>
  <c r="N166" i="1"/>
  <c r="AJ166" i="1" s="1"/>
  <c r="AK166" i="1"/>
  <c r="AR166" i="1" s="1"/>
  <c r="AN166" i="1"/>
  <c r="N167" i="1"/>
  <c r="AJ167" i="1" s="1"/>
  <c r="AM167" i="1"/>
  <c r="AN167" i="1"/>
  <c r="N168" i="1"/>
  <c r="AJ168" i="1" s="1"/>
  <c r="AK168" i="1"/>
  <c r="AR168" i="1" s="1"/>
  <c r="AN168" i="1"/>
  <c r="N169" i="1"/>
  <c r="AJ169" i="1"/>
  <c r="AM169" i="1"/>
  <c r="N170" i="1"/>
  <c r="AJ170" i="1" s="1"/>
  <c r="AK170" i="1"/>
  <c r="N171" i="1"/>
  <c r="AJ171" i="1"/>
  <c r="AM171" i="1"/>
  <c r="N172" i="1"/>
  <c r="AJ172" i="1" s="1"/>
  <c r="N173" i="1"/>
  <c r="AJ173" i="1" s="1"/>
  <c r="T173" i="1"/>
  <c r="AL173" i="1"/>
  <c r="AR173" i="1"/>
  <c r="AM173" i="1"/>
  <c r="AH173" i="1"/>
  <c r="N174" i="1"/>
  <c r="T174" i="1"/>
  <c r="AN174" i="1"/>
  <c r="AH174" i="1"/>
  <c r="AJ174" i="1"/>
  <c r="N175" i="1"/>
  <c r="AJ175" i="1" s="1"/>
  <c r="T175" i="1"/>
  <c r="AP175" i="1" s="1"/>
  <c r="AM175" i="1"/>
  <c r="AN175" i="1"/>
  <c r="AH175" i="1"/>
  <c r="N176" i="1"/>
  <c r="AJ176" i="1"/>
  <c r="S176" i="1"/>
  <c r="T176" i="1"/>
  <c r="AP176" i="1" s="1"/>
  <c r="AG176" i="1"/>
  <c r="AH176" i="1"/>
  <c r="AN176" i="1"/>
  <c r="N177" i="1"/>
  <c r="AJ177" i="1"/>
  <c r="S177" i="1"/>
  <c r="AO177" i="1"/>
  <c r="T177" i="1"/>
  <c r="P64" i="33"/>
  <c r="AM177" i="1"/>
  <c r="AN177" i="1"/>
  <c r="N178" i="1"/>
  <c r="AJ178" i="1"/>
  <c r="S178" i="1"/>
  <c r="AO178" i="1"/>
  <c r="T178" i="1"/>
  <c r="AG178" i="1"/>
  <c r="AH178" i="1"/>
  <c r="N179" i="1"/>
  <c r="AJ179" i="1" s="1"/>
  <c r="AM179" i="1"/>
  <c r="AN179" i="1"/>
  <c r="AG179" i="1"/>
  <c r="AH179" i="1"/>
  <c r="N180" i="1"/>
  <c r="AJ180" i="1" s="1"/>
  <c r="S180" i="1"/>
  <c r="T180" i="1"/>
  <c r="AL180" i="1"/>
  <c r="AM180" i="1"/>
  <c r="AG180" i="1"/>
  <c r="AH180" i="1"/>
  <c r="AP180" i="1" s="1"/>
  <c r="AN180" i="1"/>
  <c r="N181" i="1"/>
  <c r="AJ181" i="1" s="1"/>
  <c r="S181" i="1"/>
  <c r="T181" i="1"/>
  <c r="AP181" i="1"/>
  <c r="AN181" i="1"/>
  <c r="AG181" i="1"/>
  <c r="AH181" i="1"/>
  <c r="N182" i="1"/>
  <c r="AJ182" i="1" s="1"/>
  <c r="S182" i="1"/>
  <c r="T182" i="1"/>
  <c r="AG182" i="1"/>
  <c r="AH182" i="1"/>
  <c r="AN182" i="1"/>
  <c r="N183" i="1"/>
  <c r="AJ183" i="1"/>
  <c r="S183" i="1"/>
  <c r="AO183" i="1"/>
  <c r="T183" i="1"/>
  <c r="AG183" i="1"/>
  <c r="AH183" i="1"/>
  <c r="N184" i="1"/>
  <c r="AJ184" i="1" s="1"/>
  <c r="T184" i="1"/>
  <c r="AP184" i="1" s="1"/>
  <c r="AT184" i="1" s="1"/>
  <c r="AN184" i="1"/>
  <c r="AH184" i="1"/>
  <c r="N185" i="1"/>
  <c r="AJ185" i="1"/>
  <c r="N186" i="1"/>
  <c r="AJ186" i="1"/>
  <c r="T186" i="1"/>
  <c r="AH186" i="1"/>
  <c r="N187" i="1"/>
  <c r="AJ187" i="1"/>
  <c r="AL187" i="1"/>
  <c r="AR187" i="1"/>
  <c r="P19" i="35"/>
  <c r="AM187" i="1"/>
  <c r="N188" i="1"/>
  <c r="AJ188" i="1"/>
  <c r="AN188" i="1"/>
  <c r="N189" i="1"/>
  <c r="AJ189" i="1" s="1"/>
  <c r="AN189" i="1"/>
  <c r="N190" i="1"/>
  <c r="AJ190" i="1"/>
  <c r="T190" i="1"/>
  <c r="AN190" i="1"/>
  <c r="AH190" i="1"/>
  <c r="N191" i="1"/>
  <c r="AJ191" i="1" s="1"/>
  <c r="S191" i="1"/>
  <c r="T191" i="1"/>
  <c r="AP191" i="1"/>
  <c r="AM191" i="1"/>
  <c r="AG191" i="1"/>
  <c r="AH191" i="1"/>
  <c r="N192" i="1"/>
  <c r="AJ192" i="1" s="1"/>
  <c r="S192" i="1"/>
  <c r="AO192" i="1" s="1"/>
  <c r="T192" i="1"/>
  <c r="AK192" i="1"/>
  <c r="AG192" i="1"/>
  <c r="AH192" i="1"/>
  <c r="N193" i="1"/>
  <c r="AJ193" i="1" s="1"/>
  <c r="S193" i="1"/>
  <c r="T193" i="1"/>
  <c r="AM193" i="1"/>
  <c r="AG193" i="1"/>
  <c r="AH193" i="1"/>
  <c r="N194" i="1"/>
  <c r="AJ194" i="1"/>
  <c r="S194" i="1"/>
  <c r="AO194" i="1"/>
  <c r="T194" i="1"/>
  <c r="AK194" i="1"/>
  <c r="AG194" i="1"/>
  <c r="AH194" i="1"/>
  <c r="N195" i="1"/>
  <c r="AJ195" i="1"/>
  <c r="T195" i="1"/>
  <c r="AN195" i="1"/>
  <c r="AH195" i="1"/>
  <c r="AM195" i="1"/>
  <c r="N196" i="1"/>
  <c r="AJ196" i="1"/>
  <c r="N197" i="1"/>
  <c r="AJ197" i="1"/>
  <c r="T197" i="1"/>
  <c r="AP197" i="1"/>
  <c r="AM197" i="1"/>
  <c r="AH197" i="1"/>
  <c r="N198" i="1"/>
  <c r="AJ198" i="1"/>
  <c r="AN198" i="1"/>
  <c r="AH198" i="1"/>
  <c r="N199" i="1"/>
  <c r="AJ199" i="1"/>
  <c r="S199" i="1"/>
  <c r="T199" i="1"/>
  <c r="AG199" i="1"/>
  <c r="AO199" i="1" s="1"/>
  <c r="AH199" i="1"/>
  <c r="AN199" i="1"/>
  <c r="N200" i="1"/>
  <c r="AJ200" i="1"/>
  <c r="S200" i="1"/>
  <c r="AO200" i="1"/>
  <c r="T200" i="1"/>
  <c r="AK200" i="1"/>
  <c r="AG200" i="1"/>
  <c r="AH200" i="1"/>
  <c r="N201" i="1"/>
  <c r="AJ201" i="1"/>
  <c r="S201" i="1"/>
  <c r="T201" i="1"/>
  <c r="AP201" i="1" s="1"/>
  <c r="AG201" i="1"/>
  <c r="AH201" i="1"/>
  <c r="AL201" i="1"/>
  <c r="N202" i="1"/>
  <c r="AJ202" i="1"/>
  <c r="S202" i="1"/>
  <c r="T202" i="1"/>
  <c r="AN202" i="1"/>
  <c r="AG202" i="1"/>
  <c r="AO202" i="1" s="1"/>
  <c r="AH202" i="1"/>
  <c r="AK202" i="1"/>
  <c r="N203" i="1"/>
  <c r="AJ203" i="1" s="1"/>
  <c r="S203" i="1"/>
  <c r="AO203" i="1" s="1"/>
  <c r="T203" i="1"/>
  <c r="AN203" i="1"/>
  <c r="AG203" i="1"/>
  <c r="AH203" i="1"/>
  <c r="N204" i="1"/>
  <c r="AJ204" i="1" s="1"/>
  <c r="S204" i="1"/>
  <c r="AO204" i="1" s="1"/>
  <c r="T204" i="1"/>
  <c r="AP204" i="1" s="1"/>
  <c r="AK204" i="1"/>
  <c r="AG204" i="1"/>
  <c r="AH204" i="1"/>
  <c r="N205" i="1"/>
  <c r="AJ205" i="1"/>
  <c r="S205" i="1"/>
  <c r="AO205" i="1"/>
  <c r="T205" i="1"/>
  <c r="AL205" i="1"/>
  <c r="AM205" i="1"/>
  <c r="AG205" i="1"/>
  <c r="AH205" i="1"/>
  <c r="AP205" i="1" s="1"/>
  <c r="N206" i="1"/>
  <c r="S206" i="1"/>
  <c r="T206" i="1"/>
  <c r="AK206" i="1"/>
  <c r="AN206" i="1"/>
  <c r="AG206" i="1"/>
  <c r="AH206" i="1"/>
  <c r="AP206" i="1" s="1"/>
  <c r="AJ206" i="1"/>
  <c r="N207" i="1"/>
  <c r="AJ207" i="1" s="1"/>
  <c r="S207" i="1"/>
  <c r="T207" i="1"/>
  <c r="AG207" i="1"/>
  <c r="AH207" i="1"/>
  <c r="N208" i="1"/>
  <c r="AJ208" i="1" s="1"/>
  <c r="S208" i="1"/>
  <c r="T208" i="1"/>
  <c r="AG208" i="1"/>
  <c r="AH208" i="1"/>
  <c r="N209" i="1"/>
  <c r="AJ209" i="1" s="1"/>
  <c r="S209" i="1"/>
  <c r="T209" i="1"/>
  <c r="AL209" i="1"/>
  <c r="AN209" i="1"/>
  <c r="AG209" i="1"/>
  <c r="AH209" i="1"/>
  <c r="N210" i="1"/>
  <c r="AJ210" i="1" s="1"/>
  <c r="S210" i="1"/>
  <c r="T210" i="1"/>
  <c r="AG210" i="1"/>
  <c r="AH210" i="1"/>
  <c r="AP210" i="1" s="1"/>
  <c r="N211" i="1"/>
  <c r="AJ211" i="1"/>
  <c r="S211" i="1"/>
  <c r="AO211" i="1"/>
  <c r="T211" i="1"/>
  <c r="AM211" i="1"/>
  <c r="AG211" i="1"/>
  <c r="AH211" i="1"/>
  <c r="N212" i="1"/>
  <c r="AJ212" i="1"/>
  <c r="S212" i="1"/>
  <c r="T212" i="1"/>
  <c r="AP212" i="1" s="1"/>
  <c r="P69" i="33"/>
  <c r="AG212" i="1"/>
  <c r="AH212" i="1"/>
  <c r="N213" i="1"/>
  <c r="AJ213" i="1"/>
  <c r="S213" i="1"/>
  <c r="T213" i="1"/>
  <c r="AP213" i="1" s="1"/>
  <c r="AN213" i="1"/>
  <c r="AG213" i="1"/>
  <c r="AH213" i="1"/>
  <c r="N214" i="1"/>
  <c r="AJ214" i="1"/>
  <c r="S214" i="1"/>
  <c r="T214" i="1"/>
  <c r="AK214" i="1"/>
  <c r="AG214" i="1"/>
  <c r="AH214" i="1"/>
  <c r="N215" i="1"/>
  <c r="AJ215" i="1" s="1"/>
  <c r="S215" i="1"/>
  <c r="T215" i="1"/>
  <c r="AP215" i="1" s="1"/>
  <c r="AG215" i="1"/>
  <c r="AH215" i="1"/>
  <c r="N216" i="1"/>
  <c r="AJ216" i="1" s="1"/>
  <c r="S216" i="1"/>
  <c r="T216" i="1"/>
  <c r="AK216" i="1"/>
  <c r="AN216" i="1"/>
  <c r="AG216" i="1"/>
  <c r="AH216" i="1"/>
  <c r="N217" i="1"/>
  <c r="AJ217" i="1" s="1"/>
  <c r="S217" i="1"/>
  <c r="AO217" i="1" s="1"/>
  <c r="T217" i="1"/>
  <c r="AM217" i="1"/>
  <c r="AG217" i="1"/>
  <c r="AH217" i="1"/>
  <c r="N218" i="1"/>
  <c r="AJ218" i="1" s="1"/>
  <c r="S218" i="1"/>
  <c r="AO218" i="1" s="1"/>
  <c r="T218" i="1"/>
  <c r="AK218" i="1"/>
  <c r="AG218" i="1"/>
  <c r="AH218" i="1"/>
  <c r="N219" i="1"/>
  <c r="AM219" i="1"/>
  <c r="AJ219" i="1"/>
  <c r="N220" i="1"/>
  <c r="AJ220" i="1"/>
  <c r="T220" i="1"/>
  <c r="AH220" i="1"/>
  <c r="N221" i="1"/>
  <c r="AJ221" i="1"/>
  <c r="AM221" i="1"/>
  <c r="N222" i="1"/>
  <c r="AJ222" i="1" s="1"/>
  <c r="T222" i="1"/>
  <c r="AL222" i="1"/>
  <c r="AH222" i="1"/>
  <c r="N223" i="1"/>
  <c r="AJ223" i="1"/>
  <c r="AK223" i="1"/>
  <c r="AR223" i="1"/>
  <c r="N224" i="1"/>
  <c r="AJ224" i="1"/>
  <c r="T224" i="1"/>
  <c r="P81" i="33"/>
  <c r="AH224" i="1"/>
  <c r="AP224" i="1" s="1"/>
  <c r="N225" i="1"/>
  <c r="AJ225" i="1"/>
  <c r="T225" i="1"/>
  <c r="AH225" i="1"/>
  <c r="N226" i="1"/>
  <c r="T226" i="1"/>
  <c r="AL226" i="1"/>
  <c r="AR226" i="1"/>
  <c r="AH226" i="1"/>
  <c r="AJ226" i="1"/>
  <c r="N227" i="1"/>
  <c r="AJ227" i="1"/>
  <c r="T227" i="1"/>
  <c r="AH227" i="1"/>
  <c r="N228" i="1"/>
  <c r="AJ228" i="1"/>
  <c r="AL228" i="1"/>
  <c r="AR228" i="1" s="1"/>
  <c r="AN228" i="1"/>
  <c r="AH228" i="1"/>
  <c r="N229" i="1"/>
  <c r="AJ229" i="1" s="1"/>
  <c r="AN229" i="1"/>
  <c r="N230" i="1"/>
  <c r="AJ230" i="1"/>
  <c r="AK230" i="1"/>
  <c r="AN230" i="1"/>
  <c r="N231" i="1"/>
  <c r="AJ231" i="1"/>
  <c r="N232" i="1"/>
  <c r="AJ232" i="1"/>
  <c r="T232" i="1"/>
  <c r="AP232" i="1"/>
  <c r="AL232" i="1"/>
  <c r="AR232" i="1" s="1"/>
  <c r="AH232" i="1"/>
  <c r="N233" i="1"/>
  <c r="AJ233" i="1"/>
  <c r="T233" i="1"/>
  <c r="AH233" i="1"/>
  <c r="N234" i="1"/>
  <c r="AJ234" i="1"/>
  <c r="T234" i="1"/>
  <c r="AL234" i="1"/>
  <c r="AR234" i="1" s="1"/>
  <c r="AH234" i="1"/>
  <c r="N235" i="1"/>
  <c r="AJ235" i="1" s="1"/>
  <c r="T235" i="1"/>
  <c r="AP235" i="1" s="1"/>
  <c r="AH235" i="1"/>
  <c r="N236" i="1"/>
  <c r="AM236" i="1"/>
  <c r="AJ236" i="1"/>
  <c r="AK236" i="1"/>
  <c r="N237" i="1"/>
  <c r="AJ237" i="1"/>
  <c r="T237" i="1"/>
  <c r="AN237" i="1"/>
  <c r="AH237" i="1"/>
  <c r="N238" i="1"/>
  <c r="AJ238" i="1" s="1"/>
  <c r="T238" i="1"/>
  <c r="AL238" i="1"/>
  <c r="AR238" i="1"/>
  <c r="AH238" i="1"/>
  <c r="N239" i="1"/>
  <c r="AJ239" i="1" s="1"/>
  <c r="AM239" i="1"/>
  <c r="N240" i="1"/>
  <c r="AJ240" i="1"/>
  <c r="N241" i="1"/>
  <c r="AJ241" i="1"/>
  <c r="T241" i="1"/>
  <c r="AP241" i="1"/>
  <c r="AH241" i="1"/>
  <c r="N242" i="1"/>
  <c r="AJ242" i="1" s="1"/>
  <c r="T242" i="1"/>
  <c r="AL242" i="1"/>
  <c r="AN242" i="1"/>
  <c r="AH242" i="1"/>
  <c r="N243" i="1"/>
  <c r="AJ243" i="1" s="1"/>
  <c r="T243" i="1"/>
  <c r="AM243" i="1"/>
  <c r="AN243" i="1"/>
  <c r="AH243" i="1"/>
  <c r="N244" i="1"/>
  <c r="AJ244" i="1" s="1"/>
  <c r="T244" i="1"/>
  <c r="AP244" i="1" s="1"/>
  <c r="AL244" i="1"/>
  <c r="AN244" i="1"/>
  <c r="AS244" i="1" s="1"/>
  <c r="AH244" i="1"/>
  <c r="N245" i="1"/>
  <c r="AJ245" i="1"/>
  <c r="N246" i="1"/>
  <c r="AJ246" i="1"/>
  <c r="N247" i="1"/>
  <c r="AJ247" i="1"/>
  <c r="AM247" i="1"/>
  <c r="AN247" i="1"/>
  <c r="N248" i="1"/>
  <c r="AJ248" i="1"/>
  <c r="N249" i="1"/>
  <c r="AJ249" i="1"/>
  <c r="N250" i="1"/>
  <c r="AJ250" i="1"/>
  <c r="AN250" i="1"/>
  <c r="N251" i="1"/>
  <c r="AJ251" i="1" s="1"/>
  <c r="T251" i="1"/>
  <c r="AP251" i="1" s="1"/>
  <c r="AN251" i="1"/>
  <c r="AH251" i="1"/>
  <c r="N252" i="1"/>
  <c r="AJ252" i="1" s="1"/>
  <c r="T252" i="1"/>
  <c r="AH252" i="1"/>
  <c r="N253" i="1"/>
  <c r="AJ253" i="1" s="1"/>
  <c r="AM253" i="1"/>
  <c r="N254" i="1"/>
  <c r="AJ254" i="1"/>
  <c r="AK254" i="1"/>
  <c r="AR254" i="1" s="1"/>
  <c r="AN254" i="1"/>
  <c r="N255" i="1"/>
  <c r="AJ255" i="1"/>
  <c r="AM255" i="1"/>
  <c r="N256" i="1"/>
  <c r="AJ256" i="1" s="1"/>
  <c r="AK256" i="1"/>
  <c r="AR256" i="1" s="1"/>
  <c r="AN256" i="1"/>
  <c r="N257" i="1"/>
  <c r="AJ257" i="1" s="1"/>
  <c r="T257" i="1"/>
  <c r="AM257" i="1"/>
  <c r="AH257" i="1"/>
  <c r="N258" i="1"/>
  <c r="AJ258" i="1"/>
  <c r="T258" i="1"/>
  <c r="AL258" i="1"/>
  <c r="AH258" i="1"/>
  <c r="N259" i="1"/>
  <c r="AJ259" i="1" s="1"/>
  <c r="T259" i="1"/>
  <c r="AP259" i="1" s="1"/>
  <c r="AT259" i="1" s="1"/>
  <c r="AN259" i="1"/>
  <c r="AH259" i="1"/>
  <c r="N260" i="1"/>
  <c r="AJ260" i="1" s="1"/>
  <c r="T260" i="1"/>
  <c r="AP260" i="1" s="1"/>
  <c r="AL260" i="1"/>
  <c r="AR260" i="1" s="1"/>
  <c r="AH260" i="1"/>
  <c r="N261" i="1"/>
  <c r="AJ261" i="1" s="1"/>
  <c r="T261" i="1"/>
  <c r="AM261" i="1"/>
  <c r="AN261" i="1"/>
  <c r="AH261" i="1"/>
  <c r="N262" i="1"/>
  <c r="AJ262" i="1" s="1"/>
  <c r="T262" i="1"/>
  <c r="AL262" i="1"/>
  <c r="AN262" i="1"/>
  <c r="AH262" i="1"/>
  <c r="N263" i="1"/>
  <c r="AJ263" i="1" s="1"/>
  <c r="T263" i="1"/>
  <c r="AH263" i="1"/>
  <c r="N264" i="1"/>
  <c r="AJ264" i="1" s="1"/>
  <c r="T264" i="1"/>
  <c r="AL264" i="1"/>
  <c r="AR264" i="1" s="1"/>
  <c r="AN264" i="1"/>
  <c r="AH264" i="1"/>
  <c r="N265" i="1"/>
  <c r="AJ265" i="1" s="1"/>
  <c r="T265" i="1"/>
  <c r="AM265" i="1"/>
  <c r="AH265" i="1"/>
  <c r="N266" i="1"/>
  <c r="AJ266" i="1"/>
  <c r="T266" i="1"/>
  <c r="AP266" i="1"/>
  <c r="AL266" i="1"/>
  <c r="AN266" i="1"/>
  <c r="AH266" i="1"/>
  <c r="N267" i="1"/>
  <c r="AJ267" i="1" s="1"/>
  <c r="T267" i="1"/>
  <c r="AP267" i="1" s="1"/>
  <c r="AN267" i="1"/>
  <c r="AH267" i="1"/>
  <c r="AX267" i="1"/>
  <c r="N268" i="1"/>
  <c r="AJ268" i="1"/>
  <c r="T268" i="1"/>
  <c r="AL268" i="1"/>
  <c r="AH268" i="1"/>
  <c r="AX268" i="1"/>
  <c r="N269" i="1"/>
  <c r="AJ269" i="1"/>
  <c r="T269" i="1"/>
  <c r="AK269" i="1"/>
  <c r="AL269" i="1"/>
  <c r="AM269" i="1"/>
  <c r="AH269" i="1"/>
  <c r="AX269" i="1"/>
  <c r="N270" i="1"/>
  <c r="AJ270" i="1"/>
  <c r="T270" i="1"/>
  <c r="AK270" i="1"/>
  <c r="AH270" i="1"/>
  <c r="AX270" i="1"/>
  <c r="N271" i="1"/>
  <c r="AJ271" i="1"/>
  <c r="S271" i="1"/>
  <c r="T271" i="1"/>
  <c r="AP271" i="1"/>
  <c r="AM271" i="1"/>
  <c r="AG271" i="1"/>
  <c r="AO271" i="1" s="1"/>
  <c r="AH271" i="1"/>
  <c r="N272" i="1"/>
  <c r="AJ272" i="1" s="1"/>
  <c r="S272" i="1"/>
  <c r="T272" i="1"/>
  <c r="AP272" i="1"/>
  <c r="AK272" i="1"/>
  <c r="AG272" i="1"/>
  <c r="AH272" i="1"/>
  <c r="N273" i="1"/>
  <c r="AJ273" i="1" s="1"/>
  <c r="S273" i="1"/>
  <c r="AO273" i="1" s="1"/>
  <c r="T273" i="1"/>
  <c r="AP273" i="1" s="1"/>
  <c r="AM273" i="1"/>
  <c r="AG273" i="1"/>
  <c r="AH273" i="1"/>
  <c r="N274" i="1"/>
  <c r="AJ274" i="1"/>
  <c r="S274" i="1"/>
  <c r="T274" i="1"/>
  <c r="AP274" i="1" s="1"/>
  <c r="AK274" i="1"/>
  <c r="AG274" i="1"/>
  <c r="AH274" i="1"/>
  <c r="N275" i="1"/>
  <c r="AJ275" i="1"/>
  <c r="S275" i="1"/>
  <c r="T275" i="1"/>
  <c r="AM275" i="1"/>
  <c r="AG275" i="1"/>
  <c r="AH275" i="1"/>
  <c r="N276" i="1"/>
  <c r="AJ276" i="1" s="1"/>
  <c r="S276" i="1"/>
  <c r="T276" i="1"/>
  <c r="AK276" i="1"/>
  <c r="AN276" i="1"/>
  <c r="AG276" i="1"/>
  <c r="AH276" i="1"/>
  <c r="AP276" i="1" s="1"/>
  <c r="N277" i="1"/>
  <c r="AJ277" i="1"/>
  <c r="S277" i="1"/>
  <c r="T277" i="1"/>
  <c r="AM277" i="1"/>
  <c r="AG277" i="1"/>
  <c r="AH277" i="1"/>
  <c r="N278" i="1"/>
  <c r="AJ278" i="1" s="1"/>
  <c r="S278" i="1"/>
  <c r="T278" i="1"/>
  <c r="AK278" i="1"/>
  <c r="AN278" i="1"/>
  <c r="AG278" i="1"/>
  <c r="AH278" i="1"/>
  <c r="N279" i="1"/>
  <c r="AJ279" i="1" s="1"/>
  <c r="S279" i="1"/>
  <c r="AO279" i="1" s="1"/>
  <c r="T279" i="1"/>
  <c r="AL279" i="1"/>
  <c r="AM279" i="1"/>
  <c r="AN279" i="1"/>
  <c r="AG279" i="1"/>
  <c r="AH279" i="1"/>
  <c r="N280" i="1"/>
  <c r="AJ280" i="1" s="1"/>
  <c r="S280" i="1"/>
  <c r="AO280" i="1" s="1"/>
  <c r="T280" i="1"/>
  <c r="AK280" i="1"/>
  <c r="AG280" i="1"/>
  <c r="AH280" i="1"/>
  <c r="N281" i="1"/>
  <c r="AJ281" i="1" s="1"/>
  <c r="S281" i="1"/>
  <c r="T281" i="1"/>
  <c r="AG281" i="1"/>
  <c r="AH281" i="1"/>
  <c r="AN281" i="1"/>
  <c r="N282" i="1"/>
  <c r="AJ282" i="1"/>
  <c r="S282" i="1"/>
  <c r="AO282" i="1"/>
  <c r="T282" i="1"/>
  <c r="AK282" i="1"/>
  <c r="AM282" i="1"/>
  <c r="AN282" i="1"/>
  <c r="AG282" i="1"/>
  <c r="AH282" i="1"/>
  <c r="N283" i="1"/>
  <c r="AJ283" i="1"/>
  <c r="AM283" i="1"/>
  <c r="AN283" i="1"/>
  <c r="N284" i="1"/>
  <c r="AJ284" i="1"/>
  <c r="T284" i="1"/>
  <c r="AH284" i="1"/>
  <c r="J86" i="4" s="1"/>
  <c r="J86" i="8" s="1"/>
  <c r="AJ285" i="1"/>
  <c r="N286" i="1"/>
  <c r="AJ286" i="1" s="1"/>
  <c r="AK286" i="1"/>
  <c r="AR286" i="1" s="1"/>
  <c r="N287" i="1"/>
  <c r="AJ287" i="1" s="1"/>
  <c r="AK287" i="1"/>
  <c r="AR287" i="1" s="1"/>
  <c r="N288" i="1"/>
  <c r="AJ288" i="1"/>
  <c r="N289" i="1"/>
  <c r="AJ289" i="1"/>
  <c r="AK289" i="1"/>
  <c r="AM289" i="1"/>
  <c r="N290" i="1"/>
  <c r="AJ290" i="1"/>
  <c r="AN290" i="1"/>
  <c r="N291" i="1"/>
  <c r="AJ291" i="1" s="1"/>
  <c r="AM291" i="1"/>
  <c r="AN291" i="1"/>
  <c r="N292" i="1"/>
  <c r="AJ292" i="1" s="1"/>
  <c r="AK292" i="1"/>
  <c r="AR292" i="1" s="1"/>
  <c r="AN292" i="1"/>
  <c r="N293" i="1"/>
  <c r="AJ293" i="1" s="1"/>
  <c r="AK293" i="1"/>
  <c r="AR293" i="1" s="1"/>
  <c r="AM293" i="1"/>
  <c r="AN293" i="1"/>
  <c r="N294" i="1"/>
  <c r="AN294" i="1"/>
  <c r="AJ294" i="1"/>
  <c r="N295" i="1"/>
  <c r="AJ295" i="1"/>
  <c r="AM295" i="1"/>
  <c r="AN295" i="1"/>
  <c r="N296" i="1"/>
  <c r="AJ296" i="1"/>
  <c r="AN296" i="1"/>
  <c r="N297" i="1"/>
  <c r="AJ297" i="1" s="1"/>
  <c r="AM297" i="1"/>
  <c r="AN297" i="1"/>
  <c r="N298" i="1"/>
  <c r="AJ298" i="1" s="1"/>
  <c r="AN298" i="1"/>
  <c r="N299" i="1"/>
  <c r="AJ299" i="1"/>
  <c r="AN299" i="1"/>
  <c r="N300" i="1"/>
  <c r="AJ300" i="1" s="1"/>
  <c r="AN300" i="1"/>
  <c r="N301" i="1"/>
  <c r="AJ301" i="1"/>
  <c r="AM301" i="1"/>
  <c r="AN301" i="1"/>
  <c r="N302" i="1"/>
  <c r="AJ302" i="1"/>
  <c r="AM302" i="1"/>
  <c r="AN302" i="1"/>
  <c r="N303" i="1"/>
  <c r="AJ303" i="1"/>
  <c r="AM303" i="1"/>
  <c r="AN303" i="1"/>
  <c r="N304" i="1"/>
  <c r="AJ304" i="1"/>
  <c r="AN304" i="1"/>
  <c r="N305" i="1"/>
  <c r="AJ305" i="1" s="1"/>
  <c r="AM305" i="1"/>
  <c r="AN305" i="1"/>
  <c r="N306" i="1"/>
  <c r="AJ306" i="1" s="1"/>
  <c r="AN306" i="1"/>
  <c r="N307" i="1"/>
  <c r="AJ307" i="1"/>
  <c r="AN307" i="1"/>
  <c r="N308" i="1"/>
  <c r="AJ308" i="1" s="1"/>
  <c r="AM308" i="1"/>
  <c r="N309" i="1"/>
  <c r="AJ309" i="1"/>
  <c r="AM309" i="1"/>
  <c r="AN309" i="1"/>
  <c r="N310" i="1"/>
  <c r="AJ310" i="1" s="1"/>
  <c r="AM310" i="1"/>
  <c r="AS310" i="1" s="1"/>
  <c r="AN310" i="1"/>
  <c r="N311" i="1"/>
  <c r="AJ311" i="1"/>
  <c r="AM311" i="1"/>
  <c r="AN311" i="1"/>
  <c r="N312" i="1"/>
  <c r="AJ312" i="1"/>
  <c r="AN312" i="1"/>
  <c r="N313" i="1"/>
  <c r="AJ313" i="1" s="1"/>
  <c r="AM313" i="1"/>
  <c r="AN313" i="1"/>
  <c r="N314" i="1"/>
  <c r="AJ314" i="1" s="1"/>
  <c r="AN314" i="1"/>
  <c r="N315" i="1"/>
  <c r="AJ315" i="1"/>
  <c r="AM315" i="1"/>
  <c r="AN315" i="1"/>
  <c r="N316" i="1"/>
  <c r="AJ316" i="1"/>
  <c r="AN316" i="1"/>
  <c r="N317" i="1"/>
  <c r="AJ317" i="1" s="1"/>
  <c r="AM317" i="1"/>
  <c r="AN317" i="1"/>
  <c r="N318" i="1"/>
  <c r="AJ318" i="1" s="1"/>
  <c r="N319" i="1"/>
  <c r="AJ319" i="1" s="1"/>
  <c r="AN319" i="1"/>
  <c r="N320" i="1"/>
  <c r="AJ320" i="1"/>
  <c r="N321" i="1"/>
  <c r="AJ321" i="1"/>
  <c r="N322" i="1"/>
  <c r="S322" i="1"/>
  <c r="D33" i="4" s="1"/>
  <c r="D33" i="8" s="1"/>
  <c r="T322" i="1"/>
  <c r="AP322" i="1"/>
  <c r="AK322" i="1"/>
  <c r="AM322" i="1"/>
  <c r="AS322" i="1" s="1"/>
  <c r="AN322" i="1"/>
  <c r="AG322" i="1"/>
  <c r="AH322" i="1"/>
  <c r="AJ322" i="1"/>
  <c r="N323" i="1"/>
  <c r="AJ323" i="1"/>
  <c r="AM323" i="1"/>
  <c r="AN323" i="1"/>
  <c r="AS323" i="1" s="1"/>
  <c r="N324" i="1"/>
  <c r="AJ324" i="1"/>
  <c r="AK324" i="1"/>
  <c r="AR324" i="1" s="1"/>
  <c r="AN324" i="1"/>
  <c r="AS324" i="1" s="1"/>
  <c r="N325" i="1"/>
  <c r="AJ325" i="1"/>
  <c r="AM325" i="1"/>
  <c r="AN325" i="1"/>
  <c r="N326" i="1"/>
  <c r="AJ326" i="1"/>
  <c r="N327" i="1"/>
  <c r="AJ327" i="1"/>
  <c r="S327" i="1"/>
  <c r="T327" i="1"/>
  <c r="AP327" i="1"/>
  <c r="AM327" i="1"/>
  <c r="AG327" i="1"/>
  <c r="AO327" i="1" s="1"/>
  <c r="AH327" i="1"/>
  <c r="AN327" i="1"/>
  <c r="N328" i="1"/>
  <c r="AJ328" i="1"/>
  <c r="S328" i="1"/>
  <c r="AO328" i="1"/>
  <c r="T328" i="1"/>
  <c r="AK328" i="1"/>
  <c r="AN328" i="1"/>
  <c r="AG328" i="1"/>
  <c r="AH328" i="1"/>
  <c r="AP328" i="1" s="1"/>
  <c r="AT328" i="1" s="1"/>
  <c r="N329" i="1"/>
  <c r="AJ329" i="1"/>
  <c r="S329" i="1"/>
  <c r="T329" i="1"/>
  <c r="AP329" i="1" s="1"/>
  <c r="AL329" i="1"/>
  <c r="AM329" i="1"/>
  <c r="AN329" i="1"/>
  <c r="AG329" i="1"/>
  <c r="AH329" i="1"/>
  <c r="N330" i="1"/>
  <c r="S330" i="1"/>
  <c r="T330" i="1"/>
  <c r="AP330" i="1"/>
  <c r="AK330" i="1"/>
  <c r="AM330" i="1"/>
  <c r="AN330" i="1"/>
  <c r="AG330" i="1"/>
  <c r="AH330" i="1"/>
  <c r="AJ330" i="1"/>
  <c r="N331" i="1"/>
  <c r="AJ331" i="1"/>
  <c r="AK331" i="1"/>
  <c r="AM331" i="1"/>
  <c r="N332" i="1"/>
  <c r="AJ332" i="1"/>
  <c r="AN332" i="1"/>
  <c r="N333" i="1"/>
  <c r="AJ333" i="1" s="1"/>
  <c r="AN333" i="1"/>
  <c r="N334" i="1"/>
  <c r="AJ334" i="1"/>
  <c r="N335" i="1"/>
  <c r="AJ335" i="1"/>
  <c r="N336" i="1"/>
  <c r="AJ336" i="1"/>
  <c r="AK336" i="1"/>
  <c r="N337" i="1"/>
  <c r="AJ337" i="1" s="1"/>
  <c r="AL337" i="1"/>
  <c r="N338" i="1"/>
  <c r="AJ338" i="1"/>
  <c r="AK338" i="1"/>
  <c r="AR338" i="1"/>
  <c r="N339" i="1"/>
  <c r="AJ339" i="1"/>
  <c r="AM339" i="1"/>
  <c r="AN339" i="1"/>
  <c r="N340" i="1"/>
  <c r="AJ340" i="1"/>
  <c r="AK340" i="1"/>
  <c r="N341" i="1"/>
  <c r="AJ341" i="1" s="1"/>
  <c r="AK341" i="1"/>
  <c r="AR341" i="1" s="1"/>
  <c r="AM341" i="1"/>
  <c r="N342" i="1"/>
  <c r="AJ342" i="1" s="1"/>
  <c r="AN342" i="1"/>
  <c r="N343" i="1"/>
  <c r="AJ343" i="1"/>
  <c r="AM343" i="1"/>
  <c r="N344" i="1"/>
  <c r="AJ344" i="1" s="1"/>
  <c r="S344" i="1"/>
  <c r="T344" i="1"/>
  <c r="AK344" i="1"/>
  <c r="AN344" i="1"/>
  <c r="AG344" i="1"/>
  <c r="AH344" i="1"/>
  <c r="AP344" i="1" s="1"/>
  <c r="N345" i="1"/>
  <c r="AJ345" i="1"/>
  <c r="S345" i="1"/>
  <c r="T345" i="1"/>
  <c r="AN345" i="1"/>
  <c r="AG345" i="1"/>
  <c r="AH345" i="1"/>
  <c r="N346" i="1"/>
  <c r="AJ346" i="1" s="1"/>
  <c r="AN346" i="1"/>
  <c r="N347" i="1"/>
  <c r="AJ347" i="1"/>
  <c r="AK347" i="1"/>
  <c r="AR347" i="1" s="1"/>
  <c r="AM347" i="1"/>
  <c r="N348" i="1"/>
  <c r="AJ348" i="1"/>
  <c r="N349" i="1"/>
  <c r="AJ349" i="1"/>
  <c r="AM349" i="1"/>
  <c r="AN349" i="1"/>
  <c r="N350" i="1"/>
  <c r="AJ350" i="1"/>
  <c r="AN350" i="1"/>
  <c r="N351" i="1"/>
  <c r="AJ351" i="1" s="1"/>
  <c r="AM351" i="1"/>
  <c r="AN351" i="1"/>
  <c r="N352" i="1"/>
  <c r="AJ352" i="1" s="1"/>
  <c r="AN352" i="1"/>
  <c r="N353" i="1"/>
  <c r="AJ353" i="1"/>
  <c r="AM353" i="1"/>
  <c r="AN353" i="1"/>
  <c r="N354" i="1"/>
  <c r="AJ354" i="1"/>
  <c r="AN354" i="1"/>
  <c r="N355" i="1"/>
  <c r="AJ355" i="1" s="1"/>
  <c r="AK355" i="1"/>
  <c r="AN355" i="1"/>
  <c r="N356" i="1"/>
  <c r="AJ356" i="1" s="1"/>
  <c r="AN356" i="1"/>
  <c r="N357" i="1"/>
  <c r="AJ357" i="1"/>
  <c r="AM357" i="1"/>
  <c r="AK357" i="1"/>
  <c r="N358" i="1"/>
  <c r="AJ358" i="1"/>
  <c r="AM358" i="1"/>
  <c r="AN358" i="1"/>
  <c r="N359" i="1"/>
  <c r="AJ359" i="1"/>
  <c r="AN359" i="1"/>
  <c r="N360" i="1"/>
  <c r="AJ360" i="1" s="1"/>
  <c r="AN360" i="1"/>
  <c r="N361" i="1"/>
  <c r="AJ361" i="1"/>
  <c r="AK361" i="1"/>
  <c r="AN361" i="1"/>
  <c r="N362" i="1"/>
  <c r="AJ362" i="1"/>
  <c r="N363" i="1"/>
  <c r="AJ363" i="1"/>
  <c r="AM363" i="1"/>
  <c r="AK363" i="1"/>
  <c r="AR363" i="1" s="1"/>
  <c r="N364" i="1"/>
  <c r="AJ364" i="1"/>
  <c r="T364" i="1"/>
  <c r="AL364" i="1"/>
  <c r="AH364" i="1"/>
  <c r="AN364" i="1"/>
  <c r="AS364" i="1" s="1"/>
  <c r="N365" i="1"/>
  <c r="AJ365" i="1" s="1"/>
  <c r="T365" i="1"/>
  <c r="AM365" i="1"/>
  <c r="AH365" i="1"/>
  <c r="N366" i="1"/>
  <c r="AJ366" i="1"/>
  <c r="T366" i="1"/>
  <c r="AN366" i="1"/>
  <c r="AH366" i="1"/>
  <c r="AK366" i="1"/>
  <c r="N367" i="1"/>
  <c r="AJ367" i="1"/>
  <c r="T367" i="1"/>
  <c r="AM367" i="1"/>
  <c r="AN367" i="1"/>
  <c r="AH367" i="1"/>
  <c r="N368" i="1"/>
  <c r="AJ368" i="1"/>
  <c r="AK368" i="1"/>
  <c r="AR368" i="1"/>
  <c r="N369" i="1"/>
  <c r="AJ369" i="1"/>
  <c r="AN369" i="1"/>
  <c r="AS369" i="1" s="1"/>
  <c r="N370" i="1"/>
  <c r="AJ370" i="1"/>
  <c r="AK370" i="1"/>
  <c r="AR370" i="1" s="1"/>
  <c r="N371" i="1"/>
  <c r="AJ371" i="1" s="1"/>
  <c r="AN371" i="1"/>
  <c r="N372" i="1"/>
  <c r="AJ372" i="1"/>
  <c r="AK372" i="1"/>
  <c r="AR372" i="1"/>
  <c r="N373" i="1"/>
  <c r="AJ373" i="1"/>
  <c r="N374" i="1"/>
  <c r="AJ374" i="1"/>
  <c r="AK374" i="1"/>
  <c r="AM374" i="1"/>
  <c r="N375" i="1"/>
  <c r="AJ375" i="1"/>
  <c r="N376" i="1"/>
  <c r="AJ376" i="1"/>
  <c r="AK376" i="1"/>
  <c r="N377" i="1"/>
  <c r="AJ377" i="1" s="1"/>
  <c r="AK377" i="1"/>
  <c r="AM377" i="1"/>
  <c r="N378" i="1"/>
  <c r="AJ378" i="1" s="1"/>
  <c r="AM378" i="1"/>
  <c r="AN378" i="1"/>
  <c r="AK378" i="1"/>
  <c r="AR378" i="1" s="1"/>
  <c r="N379" i="1"/>
  <c r="AJ379" i="1"/>
  <c r="AM379" i="1"/>
  <c r="N380" i="1"/>
  <c r="AJ380" i="1" s="1"/>
  <c r="T380" i="1"/>
  <c r="AH380" i="1"/>
  <c r="N381" i="1"/>
  <c r="AJ381" i="1" s="1"/>
  <c r="T381" i="1"/>
  <c r="AM381" i="1"/>
  <c r="AH381" i="1"/>
  <c r="N382" i="1"/>
  <c r="AJ382" i="1"/>
  <c r="T382" i="1"/>
  <c r="AN382" i="1"/>
  <c r="AH382" i="1"/>
  <c r="AJ383" i="1"/>
  <c r="N384" i="1"/>
  <c r="AJ384" i="1" s="1"/>
  <c r="S384" i="1"/>
  <c r="T384" i="1"/>
  <c r="AP384" i="1"/>
  <c r="AR384" i="1"/>
  <c r="AG384" i="1"/>
  <c r="AH384" i="1"/>
  <c r="N385" i="1"/>
  <c r="AJ385" i="1" s="1"/>
  <c r="S385" i="1"/>
  <c r="AO385" i="1" s="1"/>
  <c r="T385" i="1"/>
  <c r="AN385" i="1"/>
  <c r="AG385" i="1"/>
  <c r="AH385" i="1"/>
  <c r="N386" i="1"/>
  <c r="AJ386" i="1" s="1"/>
  <c r="S386" i="1"/>
  <c r="D43" i="29" s="1"/>
  <c r="D43" i="30" s="1"/>
  <c r="T386" i="1"/>
  <c r="AG386" i="1"/>
  <c r="AH386" i="1"/>
  <c r="AP386" i="1" s="1"/>
  <c r="N387" i="1"/>
  <c r="AJ387" i="1"/>
  <c r="S387" i="1"/>
  <c r="T387" i="1"/>
  <c r="AG387" i="1"/>
  <c r="AH387" i="1"/>
  <c r="N388" i="1"/>
  <c r="AJ388" i="1"/>
  <c r="S388" i="1"/>
  <c r="T388" i="1"/>
  <c r="AP388" i="1" s="1"/>
  <c r="AG388" i="1"/>
  <c r="AH388" i="1"/>
  <c r="N389" i="1"/>
  <c r="AJ389" i="1" s="1"/>
  <c r="S389" i="1"/>
  <c r="T389" i="1"/>
  <c r="AG389" i="1"/>
  <c r="AH389" i="1"/>
  <c r="N390" i="1"/>
  <c r="AJ390" i="1" s="1"/>
  <c r="S390" i="1"/>
  <c r="T390" i="1"/>
  <c r="AG390" i="1"/>
  <c r="AH390" i="1"/>
  <c r="N391" i="1"/>
  <c r="AJ391" i="1" s="1"/>
  <c r="S391" i="1"/>
  <c r="T391" i="1"/>
  <c r="AG391" i="1"/>
  <c r="AH391" i="1"/>
  <c r="N392" i="1"/>
  <c r="AJ392" i="1" s="1"/>
  <c r="S392" i="1"/>
  <c r="T392" i="1"/>
  <c r="AP392" i="1"/>
  <c r="AG392" i="1"/>
  <c r="AH392" i="1"/>
  <c r="N393" i="1"/>
  <c r="AJ393" i="1"/>
  <c r="S393" i="1"/>
  <c r="T393" i="1"/>
  <c r="AN393" i="1"/>
  <c r="AG393" i="1"/>
  <c r="AH393" i="1"/>
  <c r="N394" i="1"/>
  <c r="AJ394" i="1" s="1"/>
  <c r="S394" i="1"/>
  <c r="T394" i="1"/>
  <c r="AG394" i="1"/>
  <c r="AH394" i="1"/>
  <c r="N395" i="1"/>
  <c r="AJ395" i="1" s="1"/>
  <c r="S395" i="1"/>
  <c r="AO395" i="1" s="1"/>
  <c r="T395" i="1"/>
  <c r="AP395" i="1" s="1"/>
  <c r="AT395" i="1" s="1"/>
  <c r="AM395" i="1"/>
  <c r="AG395" i="1"/>
  <c r="AH395" i="1"/>
  <c r="N396" i="1"/>
  <c r="AJ396" i="1"/>
  <c r="S396" i="1"/>
  <c r="T396" i="1"/>
  <c r="AG396" i="1"/>
  <c r="AH396" i="1"/>
  <c r="N397" i="1"/>
  <c r="AJ397" i="1"/>
  <c r="S397" i="1"/>
  <c r="T397" i="1"/>
  <c r="AM397" i="1"/>
  <c r="AG397" i="1"/>
  <c r="AH397" i="1"/>
  <c r="N398" i="1"/>
  <c r="AJ398" i="1" s="1"/>
  <c r="S398" i="1"/>
  <c r="T398" i="1"/>
  <c r="AR398" i="1"/>
  <c r="AG398" i="1"/>
  <c r="AH398" i="1"/>
  <c r="N399" i="1"/>
  <c r="AJ399" i="1"/>
  <c r="S399" i="1"/>
  <c r="T399" i="1"/>
  <c r="AP399" i="1" s="1"/>
  <c r="AG399" i="1"/>
  <c r="AH399" i="1"/>
  <c r="N400" i="1"/>
  <c r="AJ400" i="1" s="1"/>
  <c r="S400" i="1"/>
  <c r="T400" i="1"/>
  <c r="AR400" i="1"/>
  <c r="AG400" i="1"/>
  <c r="AH400" i="1"/>
  <c r="N401" i="1"/>
  <c r="AJ401" i="1"/>
  <c r="S401" i="1"/>
  <c r="AO401" i="1"/>
  <c r="T401" i="1"/>
  <c r="AP401" i="1"/>
  <c r="AG401" i="1"/>
  <c r="AH401" i="1"/>
  <c r="AJ402" i="1"/>
  <c r="AN402" i="1"/>
  <c r="AJ403" i="1"/>
  <c r="AM403" i="1"/>
  <c r="AN403" i="1"/>
  <c r="AJ404" i="1"/>
  <c r="AN404" i="1"/>
  <c r="AJ405" i="1"/>
  <c r="AM405" i="1"/>
  <c r="AJ406" i="1"/>
  <c r="AJ407" i="1"/>
  <c r="AM407" i="1"/>
  <c r="AN407" i="1"/>
  <c r="N408" i="1"/>
  <c r="AJ408" i="1" s="1"/>
  <c r="AJ409" i="1"/>
  <c r="AM409" i="1"/>
  <c r="N410" i="1"/>
  <c r="AJ410" i="1" s="1"/>
  <c r="S410" i="1"/>
  <c r="T410" i="1"/>
  <c r="AG410" i="1"/>
  <c r="AH410" i="1"/>
  <c r="AP410" i="1" s="1"/>
  <c r="N411" i="1"/>
  <c r="AJ411" i="1"/>
  <c r="S411" i="1"/>
  <c r="T411" i="1"/>
  <c r="AP411" i="1" s="1"/>
  <c r="AG411" i="1"/>
  <c r="AH411" i="1"/>
  <c r="N412" i="1"/>
  <c r="AJ412" i="1" s="1"/>
  <c r="S412" i="1"/>
  <c r="T412" i="1"/>
  <c r="AN412" i="1"/>
  <c r="AG412" i="1"/>
  <c r="AH412" i="1"/>
  <c r="N413" i="1"/>
  <c r="AJ413" i="1"/>
  <c r="S413" i="1"/>
  <c r="T413" i="1"/>
  <c r="AN413" i="1"/>
  <c r="AG413" i="1"/>
  <c r="AH413" i="1"/>
  <c r="N414" i="1"/>
  <c r="AJ414" i="1" s="1"/>
  <c r="S414" i="1"/>
  <c r="T414" i="1"/>
  <c r="AP414" i="1"/>
  <c r="AG414" i="1"/>
  <c r="AH414" i="1"/>
  <c r="N415" i="1"/>
  <c r="AN415" i="1"/>
  <c r="AJ415" i="1"/>
  <c r="N416" i="1"/>
  <c r="AJ416" i="1" s="1"/>
  <c r="T416" i="1"/>
  <c r="AH416" i="1"/>
  <c r="N417" i="1"/>
  <c r="AJ417" i="1" s="1"/>
  <c r="S417" i="1"/>
  <c r="AO417" i="1" s="1"/>
  <c r="T417" i="1"/>
  <c r="AP417" i="1" s="1"/>
  <c r="AT417" i="1" s="1"/>
  <c r="AM417" i="1"/>
  <c r="AG417" i="1"/>
  <c r="AH417" i="1"/>
  <c r="N418" i="1"/>
  <c r="AJ418" i="1"/>
  <c r="S418" i="1"/>
  <c r="AO418" i="1"/>
  <c r="T418" i="1"/>
  <c r="AN418" i="1"/>
  <c r="AG418" i="1"/>
  <c r="AH418" i="1"/>
  <c r="N419" i="1"/>
  <c r="AJ419" i="1"/>
  <c r="S419" i="1"/>
  <c r="T419" i="1"/>
  <c r="AG419" i="1"/>
  <c r="AH419" i="1"/>
  <c r="N420" i="1"/>
  <c r="AJ420" i="1"/>
  <c r="S420" i="1"/>
  <c r="T420" i="1"/>
  <c r="AG420" i="1"/>
  <c r="AH420" i="1"/>
  <c r="N421" i="1"/>
  <c r="AJ421" i="1"/>
  <c r="S421" i="1"/>
  <c r="T421" i="1"/>
  <c r="AN421" i="1"/>
  <c r="AG421" i="1"/>
  <c r="AH421" i="1"/>
  <c r="N422" i="1"/>
  <c r="AJ422" i="1" s="1"/>
  <c r="S422" i="1"/>
  <c r="T422" i="1"/>
  <c r="AG422" i="1"/>
  <c r="AH422" i="1"/>
  <c r="N423" i="1"/>
  <c r="AJ423" i="1" s="1"/>
  <c r="S423" i="1"/>
  <c r="AO423" i="1" s="1"/>
  <c r="T423" i="1"/>
  <c r="AP423" i="1"/>
  <c r="AG423" i="1"/>
  <c r="AH423" i="1"/>
  <c r="N424" i="1"/>
  <c r="AJ424" i="1"/>
  <c r="S424" i="1"/>
  <c r="T424" i="1"/>
  <c r="AG424" i="1"/>
  <c r="AH424" i="1"/>
  <c r="AP424" i="1" s="1"/>
  <c r="N425" i="1"/>
  <c r="AJ425" i="1"/>
  <c r="S425" i="1"/>
  <c r="T425" i="1"/>
  <c r="AM425" i="1"/>
  <c r="AG425" i="1"/>
  <c r="AH425" i="1"/>
  <c r="N426" i="1"/>
  <c r="AJ426" i="1" s="1"/>
  <c r="S426" i="1"/>
  <c r="T426" i="1"/>
  <c r="AN426" i="1"/>
  <c r="AG426" i="1"/>
  <c r="AH426" i="1"/>
  <c r="N427" i="1"/>
  <c r="AJ427" i="1"/>
  <c r="S427" i="1"/>
  <c r="T427" i="1"/>
  <c r="AG427" i="1"/>
  <c r="AH427" i="1"/>
  <c r="N428" i="1"/>
  <c r="AJ428" i="1"/>
  <c r="S428" i="1"/>
  <c r="T428" i="1"/>
  <c r="AN428" i="1"/>
  <c r="AG428" i="1"/>
  <c r="AH428" i="1"/>
  <c r="N429" i="1"/>
  <c r="AJ429" i="1" s="1"/>
  <c r="S429" i="1"/>
  <c r="AO429" i="1"/>
  <c r="T429" i="1"/>
  <c r="AN429" i="1"/>
  <c r="AG429" i="1"/>
  <c r="AH429" i="1"/>
  <c r="N430" i="1"/>
  <c r="AJ430" i="1" s="1"/>
  <c r="S430" i="1"/>
  <c r="AO430" i="1" s="1"/>
  <c r="T430" i="1"/>
  <c r="AP430" i="1" s="1"/>
  <c r="AG430" i="1"/>
  <c r="AH430" i="1"/>
  <c r="N431" i="1"/>
  <c r="AJ431" i="1" s="1"/>
  <c r="S431" i="1"/>
  <c r="T431" i="1"/>
  <c r="AN431" i="1"/>
  <c r="AG431" i="1"/>
  <c r="AH431" i="1"/>
  <c r="N432" i="1"/>
  <c r="AJ432" i="1"/>
  <c r="S432" i="1"/>
  <c r="AO432" i="1"/>
  <c r="T432" i="1"/>
  <c r="AG432" i="1"/>
  <c r="AH432" i="1"/>
  <c r="N433" i="1"/>
  <c r="AJ433" i="1" s="1"/>
  <c r="S433" i="1"/>
  <c r="T433" i="1"/>
  <c r="AP433" i="1"/>
  <c r="AG433" i="1"/>
  <c r="AH433" i="1"/>
  <c r="N434" i="1"/>
  <c r="AJ434" i="1"/>
  <c r="S434" i="1"/>
  <c r="T434" i="1"/>
  <c r="AG434" i="1"/>
  <c r="AO434" i="1" s="1"/>
  <c r="AH434" i="1"/>
  <c r="AN434" i="1"/>
  <c r="N435" i="1"/>
  <c r="AJ435" i="1"/>
  <c r="S435" i="1"/>
  <c r="AO435" i="1"/>
  <c r="T435" i="1"/>
  <c r="AP435" i="1"/>
  <c r="AG435" i="1"/>
  <c r="AH435" i="1"/>
  <c r="N436" i="1"/>
  <c r="AJ436" i="1"/>
  <c r="S436" i="1"/>
  <c r="T436" i="1"/>
  <c r="AP436" i="1"/>
  <c r="AN436" i="1"/>
  <c r="AG436" i="1"/>
  <c r="AO436" i="1" s="1"/>
  <c r="AH436" i="1"/>
  <c r="N437" i="1"/>
  <c r="AJ437" i="1" s="1"/>
  <c r="S437" i="1"/>
  <c r="T437" i="1"/>
  <c r="AP437" i="1"/>
  <c r="AN437" i="1"/>
  <c r="AG437" i="1"/>
  <c r="AX437" i="1" s="1"/>
  <c r="AH437" i="1"/>
  <c r="N438" i="1"/>
  <c r="AJ438" i="1" s="1"/>
  <c r="S438" i="1"/>
  <c r="AO438" i="1"/>
  <c r="T438" i="1"/>
  <c r="AG438" i="1"/>
  <c r="AH438" i="1"/>
  <c r="N439" i="1"/>
  <c r="AJ439" i="1"/>
  <c r="S439" i="1"/>
  <c r="T439" i="1"/>
  <c r="AN439" i="1"/>
  <c r="AG439" i="1"/>
  <c r="AH439" i="1"/>
  <c r="N440" i="1"/>
  <c r="AJ440" i="1" s="1"/>
  <c r="S440" i="1"/>
  <c r="T440" i="1"/>
  <c r="AG440" i="1"/>
  <c r="AH440" i="1"/>
  <c r="N441" i="1"/>
  <c r="AJ441" i="1" s="1"/>
  <c r="S441" i="1"/>
  <c r="AO441" i="1"/>
  <c r="T441" i="1"/>
  <c r="AP441" i="1" s="1"/>
  <c r="AM441" i="1"/>
  <c r="AG441" i="1"/>
  <c r="AX441" i="1"/>
  <c r="AH441" i="1"/>
  <c r="N442" i="1"/>
  <c r="AJ442" i="1" s="1"/>
  <c r="S442" i="1"/>
  <c r="AO442" i="1" s="1"/>
  <c r="T442" i="1"/>
  <c r="AP442" i="1"/>
  <c r="AN442" i="1"/>
  <c r="AG442" i="1"/>
  <c r="AH442" i="1"/>
  <c r="N443" i="1"/>
  <c r="AJ443" i="1" s="1"/>
  <c r="S443" i="1"/>
  <c r="T443" i="1"/>
  <c r="AP443" i="1"/>
  <c r="AM443" i="1"/>
  <c r="AG443" i="1"/>
  <c r="AH443" i="1"/>
  <c r="N444" i="1"/>
  <c r="AJ444" i="1" s="1"/>
  <c r="S444" i="1"/>
  <c r="T444" i="1"/>
  <c r="AN444" i="1"/>
  <c r="AG444" i="1"/>
  <c r="AH444" i="1"/>
  <c r="N445" i="1"/>
  <c r="AJ445" i="1" s="1"/>
  <c r="S445" i="1"/>
  <c r="AO445" i="1" s="1"/>
  <c r="T445" i="1"/>
  <c r="AP445" i="1"/>
  <c r="AG445" i="1"/>
  <c r="AH445" i="1"/>
  <c r="N446" i="1"/>
  <c r="AJ446" i="1"/>
  <c r="S446" i="1"/>
  <c r="T446" i="1"/>
  <c r="AG446" i="1"/>
  <c r="AH446" i="1"/>
  <c r="AP446" i="1" s="1"/>
  <c r="N447" i="1"/>
  <c r="AJ447" i="1"/>
  <c r="S447" i="1"/>
  <c r="AO447" i="1" s="1"/>
  <c r="T447" i="1"/>
  <c r="AM447" i="1"/>
  <c r="AG447" i="1"/>
  <c r="AH447" i="1"/>
  <c r="N448" i="1"/>
  <c r="AJ448" i="1"/>
  <c r="S448" i="1"/>
  <c r="AO448" i="1" s="1"/>
  <c r="T448" i="1"/>
  <c r="AP448" i="1"/>
  <c r="AN448" i="1"/>
  <c r="AG448" i="1"/>
  <c r="AH448" i="1"/>
  <c r="N449" i="1"/>
  <c r="AJ449" i="1"/>
  <c r="S449" i="1"/>
  <c r="T449" i="1"/>
  <c r="AG449" i="1"/>
  <c r="AH449" i="1"/>
  <c r="AP449" i="1" s="1"/>
  <c r="N450" i="1"/>
  <c r="AJ450" i="1"/>
  <c r="S450" i="1"/>
  <c r="AO450" i="1" s="1"/>
  <c r="T450" i="1"/>
  <c r="AG450" i="1"/>
  <c r="AH450" i="1"/>
  <c r="N451" i="1"/>
  <c r="AJ451" i="1" s="1"/>
  <c r="S451" i="1"/>
  <c r="T451" i="1"/>
  <c r="AG451" i="1"/>
  <c r="AH451" i="1"/>
  <c r="N452" i="1"/>
  <c r="AJ452" i="1"/>
  <c r="S452" i="1"/>
  <c r="AO452" i="1"/>
  <c r="T452" i="1"/>
  <c r="AG452" i="1"/>
  <c r="AH452" i="1"/>
  <c r="N453" i="1"/>
  <c r="AJ453" i="1" s="1"/>
  <c r="S453" i="1"/>
  <c r="T453" i="1"/>
  <c r="AP453" i="1"/>
  <c r="AG453" i="1"/>
  <c r="AH453" i="1"/>
  <c r="N454" i="1"/>
  <c r="AJ454" i="1"/>
  <c r="S454" i="1"/>
  <c r="T454" i="1"/>
  <c r="AP454" i="1" s="1"/>
  <c r="AN454" i="1"/>
  <c r="AG454" i="1"/>
  <c r="AH454" i="1"/>
  <c r="N455" i="1"/>
  <c r="AJ455" i="1"/>
  <c r="S455" i="1"/>
  <c r="T455" i="1"/>
  <c r="AM455" i="1"/>
  <c r="AG455" i="1"/>
  <c r="AH455" i="1"/>
  <c r="N456" i="1"/>
  <c r="AJ456" i="1" s="1"/>
  <c r="S456" i="1"/>
  <c r="T456" i="1"/>
  <c r="AN456" i="1"/>
  <c r="AG456" i="1"/>
  <c r="AH456" i="1"/>
  <c r="N457" i="1"/>
  <c r="AJ457" i="1"/>
  <c r="S457" i="1"/>
  <c r="AO457" i="1"/>
  <c r="T457" i="1"/>
  <c r="AN457" i="1"/>
  <c r="AG457" i="1"/>
  <c r="AH457" i="1"/>
  <c r="N458" i="1"/>
  <c r="AJ458" i="1"/>
  <c r="S458" i="1"/>
  <c r="T458" i="1"/>
  <c r="AG458" i="1"/>
  <c r="AH458" i="1"/>
  <c r="N459" i="1"/>
  <c r="AJ459" i="1"/>
  <c r="S459" i="1"/>
  <c r="T459" i="1"/>
  <c r="AP459" i="1" s="1"/>
  <c r="AN459" i="1"/>
  <c r="AG459" i="1"/>
  <c r="AH459" i="1"/>
  <c r="N460" i="1"/>
  <c r="AJ460" i="1"/>
  <c r="S460" i="1"/>
  <c r="T460" i="1"/>
  <c r="AG460" i="1"/>
  <c r="AH460" i="1"/>
  <c r="N461" i="1"/>
  <c r="AJ461" i="1" s="1"/>
  <c r="S461" i="1"/>
  <c r="T461" i="1"/>
  <c r="AM461" i="1"/>
  <c r="AG461" i="1"/>
  <c r="AH461" i="1"/>
  <c r="N462" i="1"/>
  <c r="AJ462" i="1"/>
  <c r="S462" i="1"/>
  <c r="T462" i="1"/>
  <c r="AN462" i="1"/>
  <c r="AG462" i="1"/>
  <c r="AH462" i="1"/>
  <c r="N463" i="1"/>
  <c r="AJ463" i="1"/>
  <c r="S463" i="1"/>
  <c r="T463" i="1"/>
  <c r="AG463" i="1"/>
  <c r="AH463" i="1"/>
  <c r="N464" i="1"/>
  <c r="AJ464" i="1" s="1"/>
  <c r="S464" i="1"/>
  <c r="AO464" i="1"/>
  <c r="T464" i="1"/>
  <c r="AN464" i="1"/>
  <c r="AG464" i="1"/>
  <c r="AH464" i="1"/>
  <c r="N465" i="1"/>
  <c r="AJ465" i="1" s="1"/>
  <c r="S465" i="1"/>
  <c r="T465" i="1"/>
  <c r="AP465" i="1" s="1"/>
  <c r="AM465" i="1"/>
  <c r="AG465" i="1"/>
  <c r="AO465" i="1" s="1"/>
  <c r="AH465" i="1"/>
  <c r="N466" i="1"/>
  <c r="AJ466" i="1" s="1"/>
  <c r="S466" i="1"/>
  <c r="T466" i="1"/>
  <c r="AG466" i="1"/>
  <c r="AH466" i="1"/>
  <c r="N467" i="1"/>
  <c r="AJ467" i="1" s="1"/>
  <c r="S467" i="1"/>
  <c r="T467" i="1"/>
  <c r="AM467" i="1"/>
  <c r="AG467" i="1"/>
  <c r="AH467" i="1"/>
  <c r="N468" i="1"/>
  <c r="AJ468" i="1"/>
  <c r="S468" i="1"/>
  <c r="T468" i="1"/>
  <c r="AN468" i="1"/>
  <c r="AG468" i="1"/>
  <c r="AH468" i="1"/>
  <c r="N469" i="1"/>
  <c r="AJ469" i="1" s="1"/>
  <c r="S469" i="1"/>
  <c r="T469" i="1"/>
  <c r="AN469" i="1"/>
  <c r="AG469" i="1"/>
  <c r="AH469" i="1"/>
  <c r="N470" i="1"/>
  <c r="AJ470" i="1" s="1"/>
  <c r="S470" i="1"/>
  <c r="T470" i="1"/>
  <c r="AG470" i="1"/>
  <c r="J56" i="29" s="1"/>
  <c r="J56" i="30" s="1"/>
  <c r="AH470" i="1"/>
  <c r="N471" i="1"/>
  <c r="AJ471" i="1"/>
  <c r="S471" i="1"/>
  <c r="T471" i="1"/>
  <c r="AP471" i="1"/>
  <c r="AN471" i="1"/>
  <c r="AG471" i="1"/>
  <c r="AH471" i="1"/>
  <c r="N472" i="1"/>
  <c r="AJ472" i="1"/>
  <c r="S472" i="1"/>
  <c r="T472" i="1"/>
  <c r="AP472" i="1"/>
  <c r="AG472" i="1"/>
  <c r="AH472" i="1"/>
  <c r="N473" i="1"/>
  <c r="AJ473" i="1"/>
  <c r="S473" i="1"/>
  <c r="T473" i="1"/>
  <c r="AM473" i="1"/>
  <c r="AG473" i="1"/>
  <c r="AH473" i="1"/>
  <c r="N474" i="1"/>
  <c r="AJ474" i="1" s="1"/>
  <c r="S474" i="1"/>
  <c r="T474" i="1"/>
  <c r="AN474" i="1"/>
  <c r="AG474" i="1"/>
  <c r="AH474" i="1"/>
  <c r="N475" i="1"/>
  <c r="AJ475" i="1"/>
  <c r="S475" i="1"/>
  <c r="T475" i="1"/>
  <c r="AP475" i="1" s="1"/>
  <c r="AG475" i="1"/>
  <c r="AH475" i="1"/>
  <c r="N476" i="1"/>
  <c r="AJ476" i="1" s="1"/>
  <c r="S476" i="1"/>
  <c r="AO476" i="1" s="1"/>
  <c r="T476" i="1"/>
  <c r="AG476" i="1"/>
  <c r="AH476" i="1"/>
  <c r="N477" i="1"/>
  <c r="AJ477" i="1"/>
  <c r="S477" i="1"/>
  <c r="AO477" i="1" s="1"/>
  <c r="T477" i="1"/>
  <c r="AP477" i="1"/>
  <c r="AM477" i="1"/>
  <c r="AG477" i="1"/>
  <c r="AH477" i="1"/>
  <c r="N478" i="1"/>
  <c r="AJ478" i="1"/>
  <c r="S478" i="1"/>
  <c r="T478" i="1"/>
  <c r="AG478" i="1"/>
  <c r="AH478" i="1"/>
  <c r="N479" i="1"/>
  <c r="AJ479" i="1" s="1"/>
  <c r="S479" i="1"/>
  <c r="T479" i="1"/>
  <c r="AM479" i="1"/>
  <c r="AG479" i="1"/>
  <c r="AH479" i="1"/>
  <c r="N480" i="1"/>
  <c r="AJ480" i="1"/>
  <c r="S480" i="1"/>
  <c r="AO480" i="1"/>
  <c r="T480" i="1"/>
  <c r="AN480" i="1"/>
  <c r="AG480" i="1"/>
  <c r="AH480" i="1"/>
  <c r="N481" i="1"/>
  <c r="AJ481" i="1"/>
  <c r="S481" i="1"/>
  <c r="T481" i="1"/>
  <c r="AP481" i="1" s="1"/>
  <c r="AN481" i="1"/>
  <c r="AG481" i="1"/>
  <c r="AH481" i="1"/>
  <c r="N482" i="1"/>
  <c r="AJ482" i="1"/>
  <c r="S482" i="1"/>
  <c r="AO482" i="1"/>
  <c r="T482" i="1"/>
  <c r="AG482" i="1"/>
  <c r="AH482" i="1"/>
  <c r="N483" i="1"/>
  <c r="AJ483" i="1" s="1"/>
  <c r="S483" i="1"/>
  <c r="T483" i="1"/>
  <c r="AP483" i="1"/>
  <c r="AN483" i="1"/>
  <c r="AG483" i="1"/>
  <c r="AH483" i="1"/>
  <c r="N484" i="1"/>
  <c r="AJ484" i="1" s="1"/>
  <c r="S484" i="1"/>
  <c r="T484" i="1"/>
  <c r="AG484" i="1"/>
  <c r="AH484" i="1"/>
  <c r="N485" i="1"/>
  <c r="AJ485" i="1" s="1"/>
  <c r="S485" i="1"/>
  <c r="T485" i="1"/>
  <c r="AM485" i="1"/>
  <c r="AG485" i="1"/>
  <c r="AH485" i="1"/>
  <c r="N486" i="1"/>
  <c r="AJ486" i="1"/>
  <c r="S486" i="1"/>
  <c r="AO486" i="1"/>
  <c r="T486" i="1"/>
  <c r="AN486" i="1"/>
  <c r="AG486" i="1"/>
  <c r="AH486" i="1"/>
  <c r="N487" i="1"/>
  <c r="AJ487" i="1"/>
  <c r="S487" i="1"/>
  <c r="T487" i="1"/>
  <c r="AG487" i="1"/>
  <c r="AH487" i="1"/>
  <c r="N488" i="1"/>
  <c r="AJ488" i="1"/>
  <c r="S488" i="1"/>
  <c r="T488" i="1"/>
  <c r="AP488" i="1" s="1"/>
  <c r="AN488" i="1"/>
  <c r="AG488" i="1"/>
  <c r="AH488" i="1"/>
  <c r="N489" i="1"/>
  <c r="AJ489" i="1"/>
  <c r="S489" i="1"/>
  <c r="T489" i="1"/>
  <c r="AP489" i="1"/>
  <c r="AN489" i="1"/>
  <c r="AG489" i="1"/>
  <c r="AO489" i="1" s="1"/>
  <c r="AH489" i="1"/>
  <c r="N490" i="1"/>
  <c r="AJ490" i="1" s="1"/>
  <c r="S490" i="1"/>
  <c r="T490" i="1"/>
  <c r="AG490" i="1"/>
  <c r="AH490" i="1"/>
  <c r="N491" i="1"/>
  <c r="AJ491" i="1" s="1"/>
  <c r="S491" i="1"/>
  <c r="T491" i="1"/>
  <c r="AN491" i="1"/>
  <c r="AG491" i="1"/>
  <c r="AH491" i="1"/>
  <c r="N492" i="1"/>
  <c r="AJ492" i="1"/>
  <c r="S492" i="1"/>
  <c r="T492" i="1"/>
  <c r="AG492" i="1"/>
  <c r="AH492" i="1"/>
  <c r="N493" i="1"/>
  <c r="AJ493" i="1"/>
  <c r="S493" i="1"/>
  <c r="T493" i="1"/>
  <c r="AG493" i="1"/>
  <c r="AO493" i="1" s="1"/>
  <c r="AH493" i="1"/>
  <c r="N494" i="1"/>
  <c r="AJ494" i="1" s="1"/>
  <c r="S494" i="1"/>
  <c r="AO494" i="1" s="1"/>
  <c r="T494" i="1"/>
  <c r="AP494" i="1" s="1"/>
  <c r="AN494" i="1"/>
  <c r="AG494" i="1"/>
  <c r="AH494" i="1"/>
  <c r="N495" i="1"/>
  <c r="AJ495" i="1"/>
  <c r="S495" i="1"/>
  <c r="T495" i="1"/>
  <c r="AG495" i="1"/>
  <c r="AH495" i="1"/>
  <c r="N496" i="1"/>
  <c r="AJ496" i="1"/>
  <c r="S496" i="1"/>
  <c r="AO496" i="1"/>
  <c r="T496" i="1"/>
  <c r="AG496" i="1"/>
  <c r="AH496" i="1"/>
  <c r="AP496" i="1" s="1"/>
  <c r="N497" i="1"/>
  <c r="AJ497" i="1"/>
  <c r="S497" i="1"/>
  <c r="T497" i="1"/>
  <c r="AP497" i="1" s="1"/>
  <c r="AG497" i="1"/>
  <c r="AH497" i="1"/>
  <c r="N498" i="1"/>
  <c r="AJ498" i="1" s="1"/>
  <c r="S498" i="1"/>
  <c r="AO498" i="1" s="1"/>
  <c r="T498" i="1"/>
  <c r="AG498" i="1"/>
  <c r="AH498" i="1"/>
  <c r="N499" i="1"/>
  <c r="AJ499" i="1"/>
  <c r="S499" i="1"/>
  <c r="T499" i="1"/>
  <c r="AP499" i="1" s="1"/>
  <c r="AG499" i="1"/>
  <c r="AH499" i="1"/>
  <c r="N500" i="1"/>
  <c r="AJ500" i="1" s="1"/>
  <c r="S500" i="1"/>
  <c r="AO500" i="1" s="1"/>
  <c r="T500" i="1"/>
  <c r="AG500" i="1"/>
  <c r="AH500" i="1"/>
  <c r="N501" i="1"/>
  <c r="AJ501" i="1"/>
  <c r="S501" i="1"/>
  <c r="T501" i="1"/>
  <c r="AM501" i="1"/>
  <c r="AG501" i="1"/>
  <c r="AH501" i="1"/>
  <c r="N502" i="1"/>
  <c r="AJ502" i="1" s="1"/>
  <c r="S502" i="1"/>
  <c r="T502" i="1"/>
  <c r="AN502" i="1"/>
  <c r="AS502" i="1" s="1"/>
  <c r="AG502" i="1"/>
  <c r="AH502" i="1"/>
  <c r="N503" i="1"/>
  <c r="AJ503" i="1"/>
  <c r="S503" i="1"/>
  <c r="AO503" i="1"/>
  <c r="T503" i="1"/>
  <c r="AM503" i="1"/>
  <c r="AG503" i="1"/>
  <c r="AH503" i="1"/>
  <c r="N504" i="1"/>
  <c r="AJ504" i="1"/>
  <c r="S504" i="1"/>
  <c r="T504" i="1"/>
  <c r="AP504" i="1" s="1"/>
  <c r="AN504" i="1"/>
  <c r="AG504" i="1"/>
  <c r="AH504" i="1"/>
  <c r="N505" i="1"/>
  <c r="AJ505" i="1"/>
  <c r="S505" i="1"/>
  <c r="T505" i="1"/>
  <c r="AP505" i="1"/>
  <c r="AN505" i="1"/>
  <c r="AG505" i="1"/>
  <c r="AO505" i="1" s="1"/>
  <c r="AH505" i="1"/>
  <c r="N506" i="1"/>
  <c r="AJ506" i="1" s="1"/>
  <c r="S506" i="1"/>
  <c r="T506" i="1"/>
  <c r="AG506" i="1"/>
  <c r="AH506" i="1"/>
  <c r="N507" i="1"/>
  <c r="AJ507" i="1" s="1"/>
  <c r="S507" i="1"/>
  <c r="D61" i="29" s="1"/>
  <c r="T507" i="1"/>
  <c r="AN507" i="1"/>
  <c r="AG507" i="1"/>
  <c r="AH507" i="1"/>
  <c r="N508" i="1"/>
  <c r="AJ508" i="1"/>
  <c r="S508" i="1"/>
  <c r="T508" i="1"/>
  <c r="D74" i="29" s="1"/>
  <c r="D74" i="30" s="1"/>
  <c r="AG508" i="1"/>
  <c r="AH508" i="1"/>
  <c r="N509" i="1"/>
  <c r="AJ509" i="1"/>
  <c r="S509" i="1"/>
  <c r="AO509" i="1"/>
  <c r="T509" i="1"/>
  <c r="AM509" i="1"/>
  <c r="AG509" i="1"/>
  <c r="AH509" i="1"/>
  <c r="N510" i="1"/>
  <c r="AJ510" i="1"/>
  <c r="S510" i="1"/>
  <c r="AO510" i="1"/>
  <c r="T510" i="1"/>
  <c r="AP510" i="1"/>
  <c r="AG510" i="1"/>
  <c r="AH510" i="1"/>
  <c r="N511" i="1"/>
  <c r="AJ511" i="1"/>
  <c r="S511" i="1"/>
  <c r="AO511" i="1"/>
  <c r="T511" i="1"/>
  <c r="AM511" i="1"/>
  <c r="AS511" i="1" s="1"/>
  <c r="AG511" i="1"/>
  <c r="AH511" i="1"/>
  <c r="N512" i="1"/>
  <c r="AJ512" i="1"/>
  <c r="S512" i="1"/>
  <c r="T512" i="1"/>
  <c r="AP512" i="1" s="1"/>
  <c r="AR512" i="1"/>
  <c r="AG512" i="1"/>
  <c r="AH512" i="1"/>
  <c r="N513" i="1"/>
  <c r="AJ513" i="1"/>
  <c r="S513" i="1"/>
  <c r="T513" i="1"/>
  <c r="AG513" i="1"/>
  <c r="AO513" i="1" s="1"/>
  <c r="AH513" i="1"/>
  <c r="N514" i="1"/>
  <c r="AJ514" i="1" s="1"/>
  <c r="S514" i="1"/>
  <c r="T514" i="1"/>
  <c r="AG514" i="1"/>
  <c r="AH514" i="1"/>
  <c r="N515" i="1"/>
  <c r="AJ515" i="1" s="1"/>
  <c r="S515" i="1"/>
  <c r="AO515" i="1" s="1"/>
  <c r="T515" i="1"/>
  <c r="AG515" i="1"/>
  <c r="AH515" i="1"/>
  <c r="N516" i="1"/>
  <c r="AJ516" i="1"/>
  <c r="S516" i="1"/>
  <c r="T516" i="1"/>
  <c r="AP516" i="1" s="1"/>
  <c r="AG516" i="1"/>
  <c r="AH516" i="1"/>
  <c r="N517" i="1"/>
  <c r="AJ517" i="1" s="1"/>
  <c r="S517" i="1"/>
  <c r="T517" i="1"/>
  <c r="AM517" i="1"/>
  <c r="AG517" i="1"/>
  <c r="AH517" i="1"/>
  <c r="N518" i="1"/>
  <c r="AJ518" i="1"/>
  <c r="S518" i="1"/>
  <c r="T518" i="1"/>
  <c r="AN518" i="1"/>
  <c r="AG518" i="1"/>
  <c r="AH518" i="1"/>
  <c r="N519" i="1"/>
  <c r="AJ519" i="1" s="1"/>
  <c r="S519" i="1"/>
  <c r="AO519" i="1" s="1"/>
  <c r="T519" i="1"/>
  <c r="AG519" i="1"/>
  <c r="AH519" i="1"/>
  <c r="N520" i="1"/>
  <c r="AJ520" i="1"/>
  <c r="S520" i="1"/>
  <c r="T520" i="1"/>
  <c r="AG520" i="1"/>
  <c r="AH520" i="1"/>
  <c r="N521" i="1"/>
  <c r="AJ521" i="1"/>
  <c r="S521" i="1"/>
  <c r="T521" i="1"/>
  <c r="AP521" i="1"/>
  <c r="AN521" i="1"/>
  <c r="AG521" i="1"/>
  <c r="AO521" i="1" s="1"/>
  <c r="AT521" i="1" s="1"/>
  <c r="AH521" i="1"/>
  <c r="N522" i="1"/>
  <c r="AJ522" i="1" s="1"/>
  <c r="S522" i="1"/>
  <c r="T522" i="1"/>
  <c r="AG522" i="1"/>
  <c r="AH522" i="1"/>
  <c r="AP522" i="1" s="1"/>
  <c r="N523" i="1"/>
  <c r="AJ523" i="1"/>
  <c r="S523" i="1"/>
  <c r="T523" i="1"/>
  <c r="AN523" i="1"/>
  <c r="AG523" i="1"/>
  <c r="AH523" i="1"/>
  <c r="N524" i="1"/>
  <c r="AJ524" i="1" s="1"/>
  <c r="S524" i="1"/>
  <c r="AO524" i="1" s="1"/>
  <c r="T524" i="1"/>
  <c r="AP524" i="1" s="1"/>
  <c r="AG524" i="1"/>
  <c r="AH524" i="1"/>
  <c r="N525" i="1"/>
  <c r="AJ525" i="1" s="1"/>
  <c r="S525" i="1"/>
  <c r="T525" i="1"/>
  <c r="AG525" i="1"/>
  <c r="AH525" i="1"/>
  <c r="N526" i="1"/>
  <c r="AJ526" i="1" s="1"/>
  <c r="S526" i="1"/>
  <c r="T526" i="1"/>
  <c r="AN526" i="1"/>
  <c r="AG526" i="1"/>
  <c r="AH526" i="1"/>
  <c r="N527" i="1"/>
  <c r="AJ527" i="1" s="1"/>
  <c r="S527" i="1"/>
  <c r="T527" i="1"/>
  <c r="AG527" i="1"/>
  <c r="AH527" i="1"/>
  <c r="N528" i="1"/>
  <c r="AJ528" i="1" s="1"/>
  <c r="S528" i="1"/>
  <c r="T528" i="1"/>
  <c r="AP528" i="1"/>
  <c r="AN528" i="1"/>
  <c r="AG528" i="1"/>
  <c r="AH528" i="1"/>
  <c r="N529" i="1"/>
  <c r="AJ529" i="1" s="1"/>
  <c r="S529" i="1"/>
  <c r="T529" i="1"/>
  <c r="AN529" i="1"/>
  <c r="AG529" i="1"/>
  <c r="AH529" i="1"/>
  <c r="N530" i="1"/>
  <c r="AJ530" i="1"/>
  <c r="S530" i="1"/>
  <c r="T530" i="1"/>
  <c r="AG530" i="1"/>
  <c r="AO530" i="1" s="1"/>
  <c r="AH530" i="1"/>
  <c r="N531" i="1"/>
  <c r="AJ531" i="1" s="1"/>
  <c r="S531" i="1"/>
  <c r="T531" i="1"/>
  <c r="AG531" i="1"/>
  <c r="AH531" i="1"/>
  <c r="N532" i="1"/>
  <c r="AJ532" i="1" s="1"/>
  <c r="S532" i="1"/>
  <c r="AO532" i="1" s="1"/>
  <c r="T532" i="1"/>
  <c r="AG532" i="1"/>
  <c r="AH532" i="1"/>
  <c r="N533" i="1"/>
  <c r="AJ533" i="1" s="1"/>
  <c r="S533" i="1"/>
  <c r="T533" i="1"/>
  <c r="AP533" i="1"/>
  <c r="AM533" i="1"/>
  <c r="AG533" i="1"/>
  <c r="AH533" i="1"/>
  <c r="N534" i="1"/>
  <c r="AJ534" i="1" s="1"/>
  <c r="S534" i="1"/>
  <c r="T534" i="1"/>
  <c r="AG534" i="1"/>
  <c r="AH534" i="1"/>
  <c r="N535" i="1"/>
  <c r="AJ535" i="1" s="1"/>
  <c r="S535" i="1"/>
  <c r="T535" i="1"/>
  <c r="AM535" i="1"/>
  <c r="AG535" i="1"/>
  <c r="AH535" i="1"/>
  <c r="N536" i="1"/>
  <c r="AJ536" i="1"/>
  <c r="S536" i="1"/>
  <c r="AO536" i="1"/>
  <c r="T536" i="1"/>
  <c r="AN536" i="1"/>
  <c r="AG536" i="1"/>
  <c r="AH536" i="1"/>
  <c r="N537" i="1"/>
  <c r="AJ537" i="1"/>
  <c r="S537" i="1"/>
  <c r="T537" i="1"/>
  <c r="AP537" i="1" s="1"/>
  <c r="AN537" i="1"/>
  <c r="AG537" i="1"/>
  <c r="AH537" i="1"/>
  <c r="N538" i="1"/>
  <c r="AJ538" i="1"/>
  <c r="S538" i="1"/>
  <c r="AO538" i="1"/>
  <c r="T538" i="1"/>
  <c r="AG538" i="1"/>
  <c r="AH538" i="1"/>
  <c r="N539" i="1"/>
  <c r="AJ539" i="1" s="1"/>
  <c r="S539" i="1"/>
  <c r="AO539" i="1" s="1"/>
  <c r="T539" i="1"/>
  <c r="AN539" i="1"/>
  <c r="AG539" i="1"/>
  <c r="AH539" i="1"/>
  <c r="N540" i="1"/>
  <c r="AJ540" i="1" s="1"/>
  <c r="S540" i="1"/>
  <c r="T540" i="1"/>
  <c r="AG540" i="1"/>
  <c r="AH540" i="1"/>
  <c r="N541" i="1"/>
  <c r="AJ541" i="1" s="1"/>
  <c r="S541" i="1"/>
  <c r="T541" i="1"/>
  <c r="AM541" i="1"/>
  <c r="AG541" i="1"/>
  <c r="AH541" i="1"/>
  <c r="N542" i="1"/>
  <c r="AJ542" i="1"/>
  <c r="S542" i="1"/>
  <c r="AO542" i="1"/>
  <c r="T542" i="1"/>
  <c r="AN542" i="1"/>
  <c r="AG542" i="1"/>
  <c r="AH542" i="1"/>
  <c r="N543" i="1"/>
  <c r="AJ543" i="1"/>
  <c r="S543" i="1"/>
  <c r="T543" i="1"/>
  <c r="AM543" i="1"/>
  <c r="AG543" i="1"/>
  <c r="AH543" i="1"/>
  <c r="N544" i="1"/>
  <c r="AJ544" i="1" s="1"/>
  <c r="S544" i="1"/>
  <c r="AO544" i="1" s="1"/>
  <c r="T544" i="1"/>
  <c r="AG544" i="1"/>
  <c r="AH544" i="1"/>
  <c r="N545" i="1"/>
  <c r="AJ545" i="1"/>
  <c r="S545" i="1"/>
  <c r="T545" i="1"/>
  <c r="AP545" i="1" s="1"/>
  <c r="AG545" i="1"/>
  <c r="AH545" i="1"/>
  <c r="N546" i="1"/>
  <c r="AJ546" i="1" s="1"/>
  <c r="S546" i="1"/>
  <c r="T546" i="1"/>
  <c r="AR546" i="1"/>
  <c r="AG546" i="1"/>
  <c r="AH546" i="1"/>
  <c r="N547" i="1"/>
  <c r="AJ547" i="1"/>
  <c r="S547" i="1"/>
  <c r="T547" i="1"/>
  <c r="AN547" i="1"/>
  <c r="AG547" i="1"/>
  <c r="AH547" i="1"/>
  <c r="N548" i="1"/>
  <c r="AJ548" i="1" s="1"/>
  <c r="S548" i="1"/>
  <c r="T548" i="1"/>
  <c r="AP548" i="1"/>
  <c r="AG548" i="1"/>
  <c r="AH548" i="1"/>
  <c r="N549" i="1"/>
  <c r="AJ549" i="1"/>
  <c r="S549" i="1"/>
  <c r="AO549" i="1"/>
  <c r="T549" i="1"/>
  <c r="AM549" i="1"/>
  <c r="AG549" i="1"/>
  <c r="AH549" i="1"/>
  <c r="N550" i="1"/>
  <c r="AJ550" i="1"/>
  <c r="S550" i="1"/>
  <c r="T550" i="1"/>
  <c r="AP550" i="1"/>
  <c r="AN550" i="1"/>
  <c r="AG550" i="1"/>
  <c r="AO550" i="1" s="1"/>
  <c r="AH550" i="1"/>
  <c r="A551" i="1"/>
  <c r="N551" i="1" s="1"/>
  <c r="AJ551" i="1" s="1"/>
  <c r="S551" i="1"/>
  <c r="AO551" i="1"/>
  <c r="T551" i="1"/>
  <c r="AG551" i="1"/>
  <c r="AH551" i="1"/>
  <c r="S552" i="1"/>
  <c r="T552" i="1"/>
  <c r="AN552" i="1"/>
  <c r="AG552" i="1"/>
  <c r="AH552" i="1"/>
  <c r="S553" i="1"/>
  <c r="T553" i="1"/>
  <c r="AP553" i="1" s="1"/>
  <c r="AN553" i="1"/>
  <c r="AG553" i="1"/>
  <c r="AH553" i="1"/>
  <c r="N554" i="1"/>
  <c r="AJ554" i="1"/>
  <c r="S554" i="1"/>
  <c r="AO554" i="1"/>
  <c r="T554" i="1"/>
  <c r="AN554" i="1"/>
  <c r="AG554" i="1"/>
  <c r="AH554" i="1"/>
  <c r="N555" i="1"/>
  <c r="AJ555" i="1"/>
  <c r="S555" i="1"/>
  <c r="T555" i="1"/>
  <c r="AP555" i="1"/>
  <c r="AM555" i="1"/>
  <c r="AG555" i="1"/>
  <c r="AO555" i="1" s="1"/>
  <c r="AH555" i="1"/>
  <c r="N556" i="1"/>
  <c r="AJ556" i="1" s="1"/>
  <c r="S556" i="1"/>
  <c r="AO556" i="1" s="1"/>
  <c r="T556" i="1"/>
  <c r="AP556" i="1" s="1"/>
  <c r="AN556" i="1"/>
  <c r="AG556" i="1"/>
  <c r="AH556" i="1"/>
  <c r="A557" i="1"/>
  <c r="N557" i="1"/>
  <c r="AJ557" i="1" s="1"/>
  <c r="S557" i="1"/>
  <c r="T557" i="1"/>
  <c r="AG557" i="1"/>
  <c r="AH557" i="1"/>
  <c r="AP557" i="1" s="1"/>
  <c r="S558" i="1"/>
  <c r="T558" i="1"/>
  <c r="AN558" i="1"/>
  <c r="AG558" i="1"/>
  <c r="AH558" i="1"/>
  <c r="S559" i="1"/>
  <c r="T559" i="1"/>
  <c r="AP559" i="1"/>
  <c r="AN559" i="1"/>
  <c r="AG559" i="1"/>
  <c r="AH559" i="1"/>
  <c r="N560" i="1"/>
  <c r="AJ560" i="1" s="1"/>
  <c r="S560" i="1"/>
  <c r="T560" i="1"/>
  <c r="AP560" i="1"/>
  <c r="AG560" i="1"/>
  <c r="AH560" i="1"/>
  <c r="N561" i="1"/>
  <c r="AJ561" i="1"/>
  <c r="S561" i="1"/>
  <c r="T561" i="1"/>
  <c r="AG561" i="1"/>
  <c r="AO561" i="1" s="1"/>
  <c r="AH561" i="1"/>
  <c r="AM561" i="1"/>
  <c r="A562" i="1"/>
  <c r="A563" i="1"/>
  <c r="S562" i="1"/>
  <c r="AO562" i="1"/>
  <c r="T562" i="1"/>
  <c r="AP562" i="1"/>
  <c r="AG562" i="1"/>
  <c r="AH562" i="1"/>
  <c r="S563" i="1"/>
  <c r="T563" i="1"/>
  <c r="AM563" i="1"/>
  <c r="AG563" i="1"/>
  <c r="AH563" i="1"/>
  <c r="S564" i="1"/>
  <c r="T564" i="1"/>
  <c r="AG564" i="1"/>
  <c r="AH564" i="1"/>
  <c r="N565" i="1"/>
  <c r="AJ565" i="1"/>
  <c r="S565" i="1"/>
  <c r="AO565" i="1"/>
  <c r="T565" i="1"/>
  <c r="AN565" i="1"/>
  <c r="AG565" i="1"/>
  <c r="AH565" i="1"/>
  <c r="N566" i="1"/>
  <c r="AJ566" i="1"/>
  <c r="T566" i="1"/>
  <c r="AP566" i="1"/>
  <c r="AN566" i="1"/>
  <c r="N567" i="1"/>
  <c r="AJ567" i="1" s="1"/>
  <c r="T567" i="1"/>
  <c r="AM567" i="1"/>
  <c r="AN567" i="1"/>
  <c r="N568" i="1"/>
  <c r="AJ568" i="1" s="1"/>
  <c r="T568" i="1"/>
  <c r="AP568" i="1" s="1"/>
  <c r="AN568" i="1"/>
  <c r="N569" i="1"/>
  <c r="AJ569" i="1"/>
  <c r="AM569" i="1"/>
  <c r="AN569" i="1"/>
  <c r="N570" i="1"/>
  <c r="AJ570" i="1"/>
  <c r="AN570" i="1"/>
  <c r="N571" i="1"/>
  <c r="AJ571" i="1" s="1"/>
  <c r="T571" i="1"/>
  <c r="AP571" i="1" s="1"/>
  <c r="AN571" i="1"/>
  <c r="N572" i="1"/>
  <c r="AJ572" i="1"/>
  <c r="N573" i="1"/>
  <c r="AJ573" i="1"/>
  <c r="AM573" i="1"/>
  <c r="N574" i="1"/>
  <c r="AJ574" i="1" s="1"/>
  <c r="AN574" i="1"/>
  <c r="N575" i="1"/>
  <c r="AJ575" i="1"/>
  <c r="N576" i="1"/>
  <c r="AJ576" i="1"/>
  <c r="T576" i="1"/>
  <c r="AH576" i="1"/>
  <c r="N577" i="1"/>
  <c r="AJ577" i="1"/>
  <c r="T577" i="1"/>
  <c r="AM577" i="1"/>
  <c r="AH577" i="1"/>
  <c r="AP577" i="1" s="1"/>
  <c r="N578" i="1"/>
  <c r="AJ578" i="1"/>
  <c r="T578" i="1"/>
  <c r="AP578" i="1"/>
  <c r="AN578" i="1"/>
  <c r="AH578" i="1"/>
  <c r="N579" i="1"/>
  <c r="AJ579" i="1"/>
  <c r="AM579" i="1"/>
  <c r="N580" i="1"/>
  <c r="AJ580" i="1" s="1"/>
  <c r="AN580" i="1"/>
  <c r="N581" i="1"/>
  <c r="AJ581" i="1"/>
  <c r="AN581" i="1"/>
  <c r="N582" i="1"/>
  <c r="AJ582" i="1" s="1"/>
  <c r="N583" i="1"/>
  <c r="AJ583" i="1" s="1"/>
  <c r="AN583" i="1"/>
  <c r="N584" i="1"/>
  <c r="AJ584" i="1"/>
  <c r="N585" i="1"/>
  <c r="AJ585" i="1"/>
  <c r="N586" i="1"/>
  <c r="AJ586" i="1"/>
  <c r="AN586" i="1"/>
  <c r="N587" i="1"/>
  <c r="AJ587" i="1" s="1"/>
  <c r="D104" i="29"/>
  <c r="D104" i="30" s="1"/>
  <c r="AM587" i="1"/>
  <c r="J104" i="29"/>
  <c r="J104" i="30" s="1"/>
  <c r="N588" i="1"/>
  <c r="AJ588" i="1"/>
  <c r="S588" i="1"/>
  <c r="T588" i="1"/>
  <c r="AP588" i="1"/>
  <c r="AN588" i="1"/>
  <c r="AG588" i="1"/>
  <c r="AO588" i="1" s="1"/>
  <c r="AH588" i="1"/>
  <c r="N589" i="1"/>
  <c r="AJ589" i="1" s="1"/>
  <c r="S589" i="1"/>
  <c r="T589" i="1"/>
  <c r="AM589" i="1"/>
  <c r="AG589" i="1"/>
  <c r="AH589" i="1"/>
  <c r="N590" i="1"/>
  <c r="AJ590" i="1"/>
  <c r="S590" i="1"/>
  <c r="T590" i="1"/>
  <c r="AR590" i="1"/>
  <c r="AN590" i="1"/>
  <c r="AG590" i="1"/>
  <c r="AH590" i="1"/>
  <c r="N591" i="1"/>
  <c r="AJ591" i="1"/>
  <c r="S591" i="1"/>
  <c r="T591" i="1"/>
  <c r="AP591" i="1" s="1"/>
  <c r="AT591" i="1" s="1"/>
  <c r="AG591" i="1"/>
  <c r="AH591" i="1"/>
  <c r="N592" i="1"/>
  <c r="AJ592" i="1"/>
  <c r="S592" i="1"/>
  <c r="AO592" i="1"/>
  <c r="T592" i="1"/>
  <c r="AN592" i="1"/>
  <c r="AS592" i="1" s="1"/>
  <c r="AG592" i="1"/>
  <c r="AH592" i="1"/>
  <c r="N593" i="1"/>
  <c r="AJ593" i="1"/>
  <c r="S593" i="1"/>
  <c r="T593" i="1"/>
  <c r="AP593" i="1" s="1"/>
  <c r="AM593" i="1"/>
  <c r="AG593" i="1"/>
  <c r="AH593" i="1"/>
  <c r="N594" i="1"/>
  <c r="AJ594" i="1"/>
  <c r="S594" i="1"/>
  <c r="AO594" i="1"/>
  <c r="T594" i="1"/>
  <c r="AN594" i="1"/>
  <c r="AG594" i="1"/>
  <c r="AH594" i="1"/>
  <c r="N595" i="1"/>
  <c r="AJ595" i="1"/>
  <c r="S595" i="1"/>
  <c r="T595" i="1"/>
  <c r="AP595" i="1"/>
  <c r="AM595" i="1"/>
  <c r="AG595" i="1"/>
  <c r="AO595" i="1" s="1"/>
  <c r="AT595" i="1" s="1"/>
  <c r="AH595" i="1"/>
  <c r="N596" i="1"/>
  <c r="AJ596" i="1" s="1"/>
  <c r="S596" i="1"/>
  <c r="T596" i="1"/>
  <c r="AP596" i="1" s="1"/>
  <c r="AN596" i="1"/>
  <c r="AG596" i="1"/>
  <c r="AH596" i="1"/>
  <c r="N597" i="1"/>
  <c r="AJ597" i="1" s="1"/>
  <c r="S597" i="1"/>
  <c r="T597" i="1"/>
  <c r="AP597" i="1"/>
  <c r="AN597" i="1"/>
  <c r="AG597" i="1"/>
  <c r="AH597" i="1"/>
  <c r="N598" i="1"/>
  <c r="AJ598" i="1" s="1"/>
  <c r="S598" i="1"/>
  <c r="T598" i="1"/>
  <c r="AG598" i="1"/>
  <c r="AH598" i="1"/>
  <c r="N599" i="1"/>
  <c r="AJ599" i="1" s="1"/>
  <c r="S599" i="1"/>
  <c r="AO599" i="1" s="1"/>
  <c r="T599" i="1"/>
  <c r="AP599" i="1" s="1"/>
  <c r="AG599" i="1"/>
  <c r="AH599" i="1"/>
  <c r="N600" i="1"/>
  <c r="AJ600" i="1" s="1"/>
  <c r="S600" i="1"/>
  <c r="T600" i="1"/>
  <c r="AR600" i="1"/>
  <c r="AG600" i="1"/>
  <c r="AH600" i="1"/>
  <c r="AJ601" i="1"/>
  <c r="N602" i="1"/>
  <c r="AJ602" i="1" s="1"/>
  <c r="S602" i="1"/>
  <c r="AO602" i="1" s="1"/>
  <c r="T602" i="1"/>
  <c r="AM602" i="1"/>
  <c r="AG602" i="1"/>
  <c r="AH602" i="1"/>
  <c r="N603" i="1"/>
  <c r="AJ603" i="1"/>
  <c r="S603" i="1"/>
  <c r="T603" i="1"/>
  <c r="AP603" i="1" s="1"/>
  <c r="AM603" i="1"/>
  <c r="AN603" i="1"/>
  <c r="AG603" i="1"/>
  <c r="AH603" i="1"/>
  <c r="N604" i="1"/>
  <c r="AJ604" i="1" s="1"/>
  <c r="AN604" i="1"/>
  <c r="N605" i="1"/>
  <c r="AJ605" i="1"/>
  <c r="S605" i="1"/>
  <c r="T605" i="1"/>
  <c r="AM605" i="1"/>
  <c r="AG605" i="1"/>
  <c r="AH605" i="1"/>
  <c r="N606" i="1"/>
  <c r="AJ606" i="1" s="1"/>
  <c r="S606" i="1"/>
  <c r="T606" i="1"/>
  <c r="AR606" i="1"/>
  <c r="AG606" i="1"/>
  <c r="AH606" i="1"/>
  <c r="N607" i="1"/>
  <c r="AJ607" i="1"/>
  <c r="S607" i="1"/>
  <c r="AO607" i="1"/>
  <c r="T607" i="1"/>
  <c r="AM607" i="1"/>
  <c r="AG607" i="1"/>
  <c r="AH607" i="1"/>
  <c r="N608" i="1"/>
  <c r="AJ608" i="1"/>
  <c r="AN608" i="1"/>
  <c r="N609" i="1"/>
  <c r="AJ609" i="1" s="1"/>
  <c r="S609" i="1"/>
  <c r="T609" i="1"/>
  <c r="AM609" i="1"/>
  <c r="AG609" i="1"/>
  <c r="AH609" i="1"/>
  <c r="N610" i="1"/>
  <c r="AJ610" i="1"/>
  <c r="S610" i="1"/>
  <c r="T610" i="1"/>
  <c r="AR610" i="1"/>
  <c r="AN610" i="1"/>
  <c r="AG610" i="1"/>
  <c r="AH610" i="1"/>
  <c r="N611" i="1"/>
  <c r="AJ611" i="1"/>
  <c r="S611" i="1"/>
  <c r="T611" i="1"/>
  <c r="AM611" i="1"/>
  <c r="AG611" i="1"/>
  <c r="AH611" i="1"/>
  <c r="N612" i="1"/>
  <c r="AJ612" i="1" s="1"/>
  <c r="S612" i="1"/>
  <c r="T612" i="1"/>
  <c r="AN612" i="1"/>
  <c r="AG612" i="1"/>
  <c r="AH612" i="1"/>
  <c r="N613" i="1"/>
  <c r="AJ613" i="1"/>
  <c r="S613" i="1"/>
  <c r="T613" i="1"/>
  <c r="AM613" i="1"/>
  <c r="AG613" i="1"/>
  <c r="AH613" i="1"/>
  <c r="N614" i="1"/>
  <c r="AJ614" i="1" s="1"/>
  <c r="S614" i="1"/>
  <c r="AO614" i="1" s="1"/>
  <c r="T614" i="1"/>
  <c r="D24" i="29" s="1"/>
  <c r="AN614" i="1"/>
  <c r="AG614" i="1"/>
  <c r="AH614" i="1"/>
  <c r="N615" i="1"/>
  <c r="AJ615" i="1" s="1"/>
  <c r="S615" i="1"/>
  <c r="T615" i="1"/>
  <c r="AP615" i="1"/>
  <c r="AM615" i="1"/>
  <c r="AG615" i="1"/>
  <c r="AH615" i="1"/>
  <c r="N616" i="1"/>
  <c r="AJ616" i="1" s="1"/>
  <c r="S616" i="1"/>
  <c r="AO616" i="1" s="1"/>
  <c r="AT616" i="1" s="1"/>
  <c r="T616" i="1"/>
  <c r="AN616" i="1"/>
  <c r="AG616" i="1"/>
  <c r="AH616" i="1"/>
  <c r="N617" i="1"/>
  <c r="AJ617" i="1" s="1"/>
  <c r="S617" i="1"/>
  <c r="AO617" i="1" s="1"/>
  <c r="T617" i="1"/>
  <c r="AP617" i="1" s="1"/>
  <c r="AG617" i="1"/>
  <c r="AH617" i="1"/>
  <c r="N618" i="1"/>
  <c r="AJ618" i="1" s="1"/>
  <c r="S618" i="1"/>
  <c r="T618" i="1"/>
  <c r="AG618" i="1"/>
  <c r="AH618" i="1"/>
  <c r="N619" i="1"/>
  <c r="AJ619" i="1" s="1"/>
  <c r="S619" i="1"/>
  <c r="AO619" i="1" s="1"/>
  <c r="AT619" i="1" s="1"/>
  <c r="T619" i="1"/>
  <c r="AP619" i="1" s="1"/>
  <c r="AG619" i="1"/>
  <c r="AH619" i="1"/>
  <c r="N620" i="1"/>
  <c r="AJ620" i="1" s="1"/>
  <c r="S620" i="1"/>
  <c r="T620" i="1"/>
  <c r="AM620" i="1"/>
  <c r="AG620" i="1"/>
  <c r="AH620" i="1"/>
  <c r="N621" i="1"/>
  <c r="AJ621" i="1"/>
  <c r="S621" i="1"/>
  <c r="AO621" i="1"/>
  <c r="T621" i="1"/>
  <c r="AG621" i="1"/>
  <c r="AH621" i="1"/>
  <c r="N622" i="1"/>
  <c r="AJ622" i="1" s="1"/>
  <c r="S622" i="1"/>
  <c r="T622" i="1"/>
  <c r="AG622" i="1"/>
  <c r="AG829" i="1" s="1"/>
  <c r="AH622" i="1"/>
  <c r="N623" i="1"/>
  <c r="AJ623" i="1"/>
  <c r="S623" i="1"/>
  <c r="T623" i="1"/>
  <c r="AP623" i="1" s="1"/>
  <c r="AG623" i="1"/>
  <c r="AH623" i="1"/>
  <c r="A624" i="1"/>
  <c r="N624" i="1" s="1"/>
  <c r="AJ624" i="1" s="1"/>
  <c r="S624" i="1"/>
  <c r="T624" i="1"/>
  <c r="AG624" i="1"/>
  <c r="AH624" i="1"/>
  <c r="N625" i="1"/>
  <c r="AJ625" i="1"/>
  <c r="S625" i="1"/>
  <c r="T625" i="1"/>
  <c r="AR625" i="1"/>
  <c r="AM625" i="1"/>
  <c r="AG625" i="1"/>
  <c r="AH625" i="1"/>
  <c r="N626" i="1"/>
  <c r="AJ626" i="1"/>
  <c r="S626" i="1"/>
  <c r="AO626" i="1"/>
  <c r="T626" i="1"/>
  <c r="AG626" i="1"/>
  <c r="AH626" i="1"/>
  <c r="N627" i="1"/>
  <c r="AJ627" i="1"/>
  <c r="S627" i="1"/>
  <c r="T627" i="1"/>
  <c r="AP627" i="1" s="1"/>
  <c r="AM627" i="1"/>
  <c r="AG627" i="1"/>
  <c r="AH627" i="1"/>
  <c r="N628" i="1"/>
  <c r="AJ628" i="1"/>
  <c r="S628" i="1"/>
  <c r="AO628" i="1"/>
  <c r="T628" i="1"/>
  <c r="AG628" i="1"/>
  <c r="AH628" i="1"/>
  <c r="N629" i="1"/>
  <c r="AJ629" i="1" s="1"/>
  <c r="S629" i="1"/>
  <c r="AO629" i="1" s="1"/>
  <c r="T629" i="1"/>
  <c r="AM629" i="1"/>
  <c r="AG629" i="1"/>
  <c r="AH629" i="1"/>
  <c r="N630" i="1"/>
  <c r="AJ630" i="1"/>
  <c r="S630" i="1"/>
  <c r="T630" i="1"/>
  <c r="AG630" i="1"/>
  <c r="AH630" i="1"/>
  <c r="N631" i="1"/>
  <c r="AJ631" i="1"/>
  <c r="S631" i="1"/>
  <c r="T631" i="1"/>
  <c r="AM631" i="1"/>
  <c r="AG631" i="1"/>
  <c r="AH631" i="1"/>
  <c r="N632" i="1"/>
  <c r="AJ632" i="1" s="1"/>
  <c r="S632" i="1"/>
  <c r="AO632" i="1" s="1"/>
  <c r="T632" i="1"/>
  <c r="AN632" i="1"/>
  <c r="AG632" i="1"/>
  <c r="AH632" i="1"/>
  <c r="N633" i="1"/>
  <c r="AJ633" i="1" s="1"/>
  <c r="S633" i="1"/>
  <c r="T633" i="1"/>
  <c r="AG633" i="1"/>
  <c r="AH633" i="1"/>
  <c r="AP633" i="1" s="1"/>
  <c r="N634" i="1"/>
  <c r="AJ634" i="1"/>
  <c r="S634" i="1"/>
  <c r="T634" i="1"/>
  <c r="AP634" i="1"/>
  <c r="AR634" i="1"/>
  <c r="AG634" i="1"/>
  <c r="AO634" i="1" s="1"/>
  <c r="AH634" i="1"/>
  <c r="N635" i="1"/>
  <c r="AJ635" i="1" s="1"/>
  <c r="S635" i="1"/>
  <c r="AO635" i="1" s="1"/>
  <c r="T635" i="1"/>
  <c r="AP635" i="1" s="1"/>
  <c r="AR635" i="1"/>
  <c r="AG635" i="1"/>
  <c r="AH635" i="1"/>
  <c r="N636" i="1"/>
  <c r="AJ636" i="1"/>
  <c r="S636" i="1"/>
  <c r="T636" i="1"/>
  <c r="AG636" i="1"/>
  <c r="AH636" i="1"/>
  <c r="N637" i="1"/>
  <c r="AJ637" i="1"/>
  <c r="S637" i="1"/>
  <c r="AO637" i="1"/>
  <c r="T637" i="1"/>
  <c r="AG637" i="1"/>
  <c r="AH637" i="1"/>
  <c r="N638" i="1"/>
  <c r="AJ638" i="1" s="1"/>
  <c r="S638" i="1"/>
  <c r="T638" i="1"/>
  <c r="AP638" i="1"/>
  <c r="AG638" i="1"/>
  <c r="AH638" i="1"/>
  <c r="N639" i="1"/>
  <c r="AJ639" i="1"/>
  <c r="S639" i="1"/>
  <c r="AO639" i="1"/>
  <c r="T639" i="1"/>
  <c r="AP639" i="1"/>
  <c r="AT639" i="1" s="1"/>
  <c r="AG639" i="1"/>
  <c r="AH639" i="1"/>
  <c r="AN639" i="1"/>
  <c r="N640" i="1"/>
  <c r="AJ640" i="1" s="1"/>
  <c r="AN640" i="1"/>
  <c r="N641" i="1"/>
  <c r="AJ641" i="1"/>
  <c r="S641" i="1"/>
  <c r="T641" i="1"/>
  <c r="AP641" i="1" s="1"/>
  <c r="AM641" i="1"/>
  <c r="AG641" i="1"/>
  <c r="AH641" i="1"/>
  <c r="N642" i="1"/>
  <c r="AJ642" i="1"/>
  <c r="S642" i="1"/>
  <c r="T642" i="1"/>
  <c r="AR642" i="1"/>
  <c r="AN642" i="1"/>
  <c r="AG642" i="1"/>
  <c r="AO642" i="1" s="1"/>
  <c r="AH642" i="1"/>
  <c r="N643" i="1"/>
  <c r="AJ643" i="1" s="1"/>
  <c r="S643" i="1"/>
  <c r="AO643" i="1" s="1"/>
  <c r="T643" i="1"/>
  <c r="AM643" i="1"/>
  <c r="AG643" i="1"/>
  <c r="AH643" i="1"/>
  <c r="N644" i="1"/>
  <c r="AJ644" i="1" s="1"/>
  <c r="S644" i="1"/>
  <c r="AO644" i="1" s="1"/>
  <c r="T644" i="1"/>
  <c r="AP644" i="1" s="1"/>
  <c r="AG644" i="1"/>
  <c r="AH644" i="1"/>
  <c r="N645" i="1"/>
  <c r="AJ645" i="1" s="1"/>
  <c r="S645" i="1"/>
  <c r="T645" i="1"/>
  <c r="AG645" i="1"/>
  <c r="AH645" i="1"/>
  <c r="AN645" i="1"/>
  <c r="N646" i="1"/>
  <c r="AJ646" i="1"/>
  <c r="S646" i="1"/>
  <c r="T646" i="1"/>
  <c r="AR646" i="1"/>
  <c r="AG646" i="1"/>
  <c r="AH646" i="1"/>
  <c r="N647" i="1"/>
  <c r="AJ647" i="1" s="1"/>
  <c r="S647" i="1"/>
  <c r="T647" i="1"/>
  <c r="AP647" i="1" s="1"/>
  <c r="AG647" i="1"/>
  <c r="J20" i="29" s="1"/>
  <c r="AH647" i="1"/>
  <c r="AN647" i="1"/>
  <c r="N648" i="1"/>
  <c r="AJ648" i="1"/>
  <c r="S648" i="1"/>
  <c r="T648" i="1"/>
  <c r="AP648" i="1"/>
  <c r="AR648" i="1"/>
  <c r="AG648" i="1"/>
  <c r="AO648" i="1" s="1"/>
  <c r="AH648" i="1"/>
  <c r="N649" i="1"/>
  <c r="AJ649" i="1" s="1"/>
  <c r="S649" i="1"/>
  <c r="T649" i="1"/>
  <c r="AP649" i="1"/>
  <c r="AM649" i="1"/>
  <c r="AG649" i="1"/>
  <c r="AH649" i="1"/>
  <c r="N650" i="1"/>
  <c r="AJ650" i="1" s="1"/>
  <c r="S650" i="1"/>
  <c r="T650" i="1"/>
  <c r="AN650" i="1"/>
  <c r="AG650" i="1"/>
  <c r="AH650" i="1"/>
  <c r="N651" i="1"/>
  <c r="AJ651" i="1"/>
  <c r="S651" i="1"/>
  <c r="T651" i="1"/>
  <c r="AM651" i="1"/>
  <c r="AG651" i="1"/>
  <c r="AH651" i="1"/>
  <c r="N652" i="1"/>
  <c r="AJ652" i="1" s="1"/>
  <c r="S652" i="1"/>
  <c r="T652" i="1"/>
  <c r="AN652" i="1"/>
  <c r="AG652" i="1"/>
  <c r="AH652" i="1"/>
  <c r="N653" i="1"/>
  <c r="AJ653" i="1"/>
  <c r="S653" i="1"/>
  <c r="AO653" i="1"/>
  <c r="AT653" i="1" s="1"/>
  <c r="T653" i="1"/>
  <c r="AG653" i="1"/>
  <c r="AH653" i="1"/>
  <c r="AP653" i="1" s="1"/>
  <c r="N654" i="1"/>
  <c r="AJ654" i="1"/>
  <c r="S654" i="1"/>
  <c r="T654" i="1"/>
  <c r="AM654" i="1"/>
  <c r="AG654" i="1"/>
  <c r="AH654" i="1"/>
  <c r="N655" i="1"/>
  <c r="AJ655" i="1" s="1"/>
  <c r="S655" i="1"/>
  <c r="AO655" i="1" s="1"/>
  <c r="T655" i="1"/>
  <c r="AN655" i="1"/>
  <c r="AG655" i="1"/>
  <c r="AH655" i="1"/>
  <c r="N656" i="1"/>
  <c r="AJ656" i="1" s="1"/>
  <c r="S656" i="1"/>
  <c r="AO656" i="1" s="1"/>
  <c r="T656" i="1"/>
  <c r="AP656" i="1" s="1"/>
  <c r="AG656" i="1"/>
  <c r="AH656" i="1"/>
  <c r="N657" i="1"/>
  <c r="AJ657" i="1" s="1"/>
  <c r="S657" i="1"/>
  <c r="T657" i="1"/>
  <c r="AP657" i="1"/>
  <c r="AM657" i="1"/>
  <c r="AG657" i="1"/>
  <c r="AH657" i="1"/>
  <c r="N658" i="1"/>
  <c r="AJ658" i="1" s="1"/>
  <c r="S658" i="1"/>
  <c r="T658" i="1"/>
  <c r="AN658" i="1"/>
  <c r="AS658" i="1" s="1"/>
  <c r="AG658" i="1"/>
  <c r="AH658" i="1"/>
  <c r="N659" i="1"/>
  <c r="AJ659" i="1"/>
  <c r="S659" i="1"/>
  <c r="AO659" i="1"/>
  <c r="T659" i="1"/>
  <c r="AM659" i="1"/>
  <c r="AG659" i="1"/>
  <c r="AH659" i="1"/>
  <c r="N660" i="1"/>
  <c r="AJ660" i="1"/>
  <c r="S660" i="1"/>
  <c r="T660" i="1"/>
  <c r="AP660" i="1"/>
  <c r="AN660" i="1"/>
  <c r="AG660" i="1"/>
  <c r="AO660" i="1" s="1"/>
  <c r="AH660" i="1"/>
  <c r="N661" i="1"/>
  <c r="AJ661" i="1" s="1"/>
  <c r="S661" i="1"/>
  <c r="T661" i="1"/>
  <c r="AP661" i="1"/>
  <c r="AG661" i="1"/>
  <c r="AH661" i="1"/>
  <c r="N662" i="1"/>
  <c r="AJ662" i="1"/>
  <c r="S662" i="1"/>
  <c r="AO662" i="1"/>
  <c r="T662" i="1"/>
  <c r="AP662" i="1"/>
  <c r="AG662" i="1"/>
  <c r="AH662" i="1"/>
  <c r="N663" i="1"/>
  <c r="AJ663" i="1"/>
  <c r="S663" i="1"/>
  <c r="T663" i="1"/>
  <c r="AP663" i="1" s="1"/>
  <c r="AN663" i="1"/>
  <c r="AG663" i="1"/>
  <c r="AH663" i="1"/>
  <c r="N664" i="1"/>
  <c r="AJ664" i="1"/>
  <c r="S664" i="1"/>
  <c r="AO664" i="1"/>
  <c r="T664" i="1"/>
  <c r="AR664" i="1"/>
  <c r="AG664" i="1"/>
  <c r="AH664" i="1"/>
  <c r="N665" i="1"/>
  <c r="AJ665" i="1"/>
  <c r="S665" i="1"/>
  <c r="AO665" i="1"/>
  <c r="T665" i="1"/>
  <c r="AP665" i="1"/>
  <c r="AG665" i="1"/>
  <c r="AH665" i="1"/>
  <c r="N666" i="1"/>
  <c r="AJ666" i="1"/>
  <c r="S666" i="1"/>
  <c r="T666" i="1"/>
  <c r="AP666" i="1" s="1"/>
  <c r="AN666" i="1"/>
  <c r="AG666" i="1"/>
  <c r="AH666" i="1"/>
  <c r="N667" i="1"/>
  <c r="AJ667" i="1"/>
  <c r="AM667" i="1"/>
  <c r="AN667" i="1"/>
  <c r="N668" i="1"/>
  <c r="AJ668" i="1"/>
  <c r="S668" i="1"/>
  <c r="AO668" i="1"/>
  <c r="T668" i="1"/>
  <c r="AN668" i="1"/>
  <c r="AG668" i="1"/>
  <c r="AH668" i="1"/>
  <c r="N669" i="1"/>
  <c r="AJ669" i="1"/>
  <c r="S669" i="1"/>
  <c r="T669" i="1"/>
  <c r="AP669" i="1" s="1"/>
  <c r="AN669" i="1"/>
  <c r="AG669" i="1"/>
  <c r="AH669" i="1"/>
  <c r="N670" i="1"/>
  <c r="AJ670" i="1"/>
  <c r="S670" i="1"/>
  <c r="T670" i="1"/>
  <c r="AP670" i="1" s="1"/>
  <c r="AR670" i="1"/>
  <c r="AG670" i="1"/>
  <c r="AH670" i="1"/>
  <c r="N671" i="1"/>
  <c r="AJ671" i="1"/>
  <c r="S671" i="1"/>
  <c r="T671" i="1"/>
  <c r="AP671" i="1" s="1"/>
  <c r="AN671" i="1"/>
  <c r="AG671" i="1"/>
  <c r="AH671" i="1"/>
  <c r="N672" i="1"/>
  <c r="AJ672" i="1"/>
  <c r="S672" i="1"/>
  <c r="T672" i="1"/>
  <c r="AG672" i="1"/>
  <c r="AO672" i="1" s="1"/>
  <c r="AH672" i="1"/>
  <c r="N673" i="1"/>
  <c r="AJ673" i="1" s="1"/>
  <c r="S673" i="1"/>
  <c r="AO673" i="1" s="1"/>
  <c r="T673" i="1"/>
  <c r="AN673" i="1"/>
  <c r="AG673" i="1"/>
  <c r="AH673" i="1"/>
  <c r="N674" i="1"/>
  <c r="AJ674" i="1" s="1"/>
  <c r="S674" i="1"/>
  <c r="T674" i="1"/>
  <c r="AG674" i="1"/>
  <c r="AH674" i="1"/>
  <c r="N675" i="1"/>
  <c r="AJ675" i="1"/>
  <c r="S675" i="1"/>
  <c r="AO675" i="1"/>
  <c r="AT675" i="1" s="1"/>
  <c r="T675" i="1"/>
  <c r="AG675" i="1"/>
  <c r="AH675" i="1"/>
  <c r="AP675" i="1" s="1"/>
  <c r="N676" i="1"/>
  <c r="AJ676" i="1"/>
  <c r="S676" i="1"/>
  <c r="T676" i="1"/>
  <c r="AP676" i="1" s="1"/>
  <c r="AN676" i="1"/>
  <c r="AG676" i="1"/>
  <c r="AH676" i="1"/>
  <c r="N677" i="1"/>
  <c r="AJ677" i="1"/>
  <c r="S677" i="1"/>
  <c r="T677" i="1"/>
  <c r="AG677" i="1"/>
  <c r="AH677" i="1"/>
  <c r="N678" i="1"/>
  <c r="AJ678" i="1"/>
  <c r="S678" i="1"/>
  <c r="AO678" i="1"/>
  <c r="T678" i="1"/>
  <c r="AN678" i="1"/>
  <c r="AG678" i="1"/>
  <c r="AH678" i="1"/>
  <c r="N679" i="1"/>
  <c r="AJ679" i="1"/>
  <c r="S679" i="1"/>
  <c r="T679" i="1"/>
  <c r="AP679" i="1" s="1"/>
  <c r="AN679" i="1"/>
  <c r="AG679" i="1"/>
  <c r="AH679" i="1"/>
  <c r="N680" i="1"/>
  <c r="AJ680" i="1"/>
  <c r="S680" i="1"/>
  <c r="T680" i="1"/>
  <c r="AG680" i="1"/>
  <c r="AO680" i="1" s="1"/>
  <c r="AH680" i="1"/>
  <c r="N681" i="1"/>
  <c r="AJ681" i="1" s="1"/>
  <c r="S681" i="1"/>
  <c r="AO681" i="1" s="1"/>
  <c r="T681" i="1"/>
  <c r="AP681" i="1" s="1"/>
  <c r="AT681" i="1" s="1"/>
  <c r="AN681" i="1"/>
  <c r="AG681" i="1"/>
  <c r="AH681" i="1"/>
  <c r="N682" i="1"/>
  <c r="AJ682" i="1"/>
  <c r="S682" i="1"/>
  <c r="T682" i="1"/>
  <c r="AG682" i="1"/>
  <c r="AH682" i="1"/>
  <c r="N683" i="1"/>
  <c r="AJ683" i="1"/>
  <c r="S683" i="1"/>
  <c r="AO683" i="1"/>
  <c r="T683" i="1"/>
  <c r="AM683" i="1"/>
  <c r="AG683" i="1"/>
  <c r="AH683" i="1"/>
  <c r="N684" i="1"/>
  <c r="AJ684" i="1"/>
  <c r="S684" i="1"/>
  <c r="T684" i="1"/>
  <c r="AP684" i="1"/>
  <c r="AR684" i="1"/>
  <c r="AG684" i="1"/>
  <c r="AO684" i="1" s="1"/>
  <c r="AH684" i="1"/>
  <c r="N685" i="1"/>
  <c r="AJ685" i="1" s="1"/>
  <c r="S685" i="1"/>
  <c r="T685" i="1"/>
  <c r="AP685" i="1"/>
  <c r="AM685" i="1"/>
  <c r="AG685" i="1"/>
  <c r="AH685" i="1"/>
  <c r="N686" i="1"/>
  <c r="AJ686" i="1" s="1"/>
  <c r="S686" i="1"/>
  <c r="AO686" i="1" s="1"/>
  <c r="T686" i="1"/>
  <c r="AG686" i="1"/>
  <c r="AH686" i="1"/>
  <c r="N687" i="1"/>
  <c r="AJ687" i="1"/>
  <c r="S687" i="1"/>
  <c r="AO687" i="1"/>
  <c r="T687" i="1"/>
  <c r="AN687" i="1"/>
  <c r="AG687" i="1"/>
  <c r="AH687" i="1"/>
  <c r="N688" i="1"/>
  <c r="AJ688" i="1"/>
  <c r="S688" i="1"/>
  <c r="T688" i="1"/>
  <c r="AP688" i="1" s="1"/>
  <c r="AG688" i="1"/>
  <c r="AH688" i="1"/>
  <c r="N689" i="1"/>
  <c r="AJ689" i="1" s="1"/>
  <c r="S689" i="1"/>
  <c r="AO689" i="1" s="1"/>
  <c r="T689" i="1"/>
  <c r="AP689" i="1" s="1"/>
  <c r="AG689" i="1"/>
  <c r="AH689" i="1"/>
  <c r="N690" i="1"/>
  <c r="AJ690" i="1" s="1"/>
  <c r="S690" i="1"/>
  <c r="T690" i="1"/>
  <c r="AP690" i="1"/>
  <c r="AM690" i="1"/>
  <c r="AG690" i="1"/>
  <c r="AH690" i="1"/>
  <c r="N691" i="1"/>
  <c r="AJ691" i="1" s="1"/>
  <c r="S691" i="1"/>
  <c r="T691" i="1"/>
  <c r="AG691" i="1"/>
  <c r="AH691" i="1"/>
  <c r="N692" i="1"/>
  <c r="AJ692" i="1" s="1"/>
  <c r="S692" i="1"/>
  <c r="AO692" i="1" s="1"/>
  <c r="T692" i="1"/>
  <c r="AN692" i="1"/>
  <c r="AG692" i="1"/>
  <c r="AH692" i="1"/>
  <c r="N693" i="1"/>
  <c r="AJ693" i="1" s="1"/>
  <c r="S693" i="1"/>
  <c r="T693" i="1"/>
  <c r="AG693" i="1"/>
  <c r="AH693" i="1"/>
  <c r="N694" i="1"/>
  <c r="AJ694" i="1"/>
  <c r="S694" i="1"/>
  <c r="T694" i="1"/>
  <c r="AP694" i="1" s="1"/>
  <c r="AR694" i="1"/>
  <c r="AG694" i="1"/>
  <c r="AH694" i="1"/>
  <c r="N695" i="1"/>
  <c r="AJ695" i="1"/>
  <c r="S695" i="1"/>
  <c r="T695" i="1"/>
  <c r="AP695" i="1"/>
  <c r="AN695" i="1"/>
  <c r="AG695" i="1"/>
  <c r="AO695" i="1" s="1"/>
  <c r="AT695" i="1" s="1"/>
  <c r="AH695" i="1"/>
  <c r="N696" i="1"/>
  <c r="AJ696" i="1" s="1"/>
  <c r="S696" i="1"/>
  <c r="T696" i="1"/>
  <c r="AG696" i="1"/>
  <c r="AH696" i="1"/>
  <c r="N697" i="1"/>
  <c r="AJ697" i="1" s="1"/>
  <c r="S697" i="1"/>
  <c r="AO697" i="1" s="1"/>
  <c r="T697" i="1"/>
  <c r="AP697" i="1" s="1"/>
  <c r="AG697" i="1"/>
  <c r="AH697" i="1"/>
  <c r="N698" i="1"/>
  <c r="AJ698" i="1" s="1"/>
  <c r="S698" i="1"/>
  <c r="T698" i="1"/>
  <c r="AP698" i="1"/>
  <c r="AR698" i="1"/>
  <c r="AG698" i="1"/>
  <c r="AH698" i="1"/>
  <c r="N699" i="1"/>
  <c r="AJ699" i="1" s="1"/>
  <c r="S699" i="1"/>
  <c r="T699" i="1"/>
  <c r="AM699" i="1"/>
  <c r="AG699" i="1"/>
  <c r="AH699" i="1"/>
  <c r="N700" i="1"/>
  <c r="AJ700" i="1"/>
  <c r="S700" i="1"/>
  <c r="AO700" i="1"/>
  <c r="T700" i="1"/>
  <c r="AN700" i="1"/>
  <c r="AG700" i="1"/>
  <c r="AH700" i="1"/>
  <c r="N701" i="1"/>
  <c r="AJ701" i="1"/>
  <c r="S701" i="1"/>
  <c r="AO701" i="1"/>
  <c r="T701" i="1"/>
  <c r="AM701" i="1"/>
  <c r="AG701" i="1"/>
  <c r="AH701" i="1"/>
  <c r="N702" i="1"/>
  <c r="AJ702" i="1"/>
  <c r="S702" i="1"/>
  <c r="T702" i="1"/>
  <c r="AP702" i="1" s="1"/>
  <c r="AN702" i="1"/>
  <c r="AS702" i="1" s="1"/>
  <c r="AG702" i="1"/>
  <c r="AH702" i="1"/>
  <c r="N703" i="1"/>
  <c r="AJ703" i="1"/>
  <c r="S703" i="1"/>
  <c r="T703" i="1"/>
  <c r="AM703" i="1"/>
  <c r="AS703" i="1" s="1"/>
  <c r="AG703" i="1"/>
  <c r="AH703" i="1"/>
  <c r="N704" i="1"/>
  <c r="AJ704" i="1" s="1"/>
  <c r="N705" i="1"/>
  <c r="AJ705" i="1" s="1"/>
  <c r="AM705" i="1"/>
  <c r="N706" i="1"/>
  <c r="AJ706" i="1"/>
  <c r="N707" i="1"/>
  <c r="AJ707" i="1"/>
  <c r="N708" i="1"/>
  <c r="AJ708" i="1"/>
  <c r="N709" i="1"/>
  <c r="AJ709" i="1"/>
  <c r="N710" i="1"/>
  <c r="AJ710" i="1"/>
  <c r="N711" i="1"/>
  <c r="AJ711" i="1"/>
  <c r="AM711" i="1"/>
  <c r="N712" i="1"/>
  <c r="AJ712" i="1" s="1"/>
  <c r="N713" i="1"/>
  <c r="AJ713" i="1" s="1"/>
  <c r="AM713" i="1"/>
  <c r="AS713" i="1" s="1"/>
  <c r="N714" i="1"/>
  <c r="AJ714" i="1"/>
  <c r="AR714" i="1"/>
  <c r="AN714" i="1"/>
  <c r="N715" i="1"/>
  <c r="AJ715" i="1"/>
  <c r="N716" i="1"/>
  <c r="AJ716" i="1"/>
  <c r="S716" i="1"/>
  <c r="T716" i="1"/>
  <c r="AP716" i="1" s="1"/>
  <c r="AR716" i="1"/>
  <c r="AG716" i="1"/>
  <c r="AH716" i="1"/>
  <c r="N717" i="1"/>
  <c r="AJ717" i="1"/>
  <c r="S717" i="1"/>
  <c r="T717" i="1"/>
  <c r="AG717" i="1"/>
  <c r="AO717" i="1" s="1"/>
  <c r="AH717" i="1"/>
  <c r="N718" i="1"/>
  <c r="AJ718" i="1" s="1"/>
  <c r="S718" i="1"/>
  <c r="T718" i="1"/>
  <c r="AG718" i="1"/>
  <c r="AH718" i="1"/>
  <c r="AP718" i="1" s="1"/>
  <c r="N719" i="1"/>
  <c r="AJ719" i="1"/>
  <c r="S719" i="1"/>
  <c r="AO719" i="1"/>
  <c r="T719" i="1"/>
  <c r="AG719" i="1"/>
  <c r="AH719" i="1"/>
  <c r="N720" i="1"/>
  <c r="AJ720" i="1" s="1"/>
  <c r="S720" i="1"/>
  <c r="T720" i="1"/>
  <c r="AP720" i="1"/>
  <c r="AG720" i="1"/>
  <c r="AH720" i="1"/>
  <c r="N721" i="1"/>
  <c r="AJ721" i="1"/>
  <c r="S721" i="1"/>
  <c r="T721" i="1"/>
  <c r="AN721" i="1"/>
  <c r="AG721" i="1"/>
  <c r="AH721" i="1"/>
  <c r="N722" i="1"/>
  <c r="AJ722" i="1" s="1"/>
  <c r="S722" i="1"/>
  <c r="T722" i="1"/>
  <c r="AN722" i="1"/>
  <c r="AG722" i="1"/>
  <c r="AH722" i="1"/>
  <c r="N723" i="1"/>
  <c r="AJ723" i="1" s="1"/>
  <c r="S723" i="1"/>
  <c r="T723" i="1"/>
  <c r="AM723" i="1"/>
  <c r="AS723" i="1" s="1"/>
  <c r="AG723" i="1"/>
  <c r="AH723" i="1"/>
  <c r="N724" i="1"/>
  <c r="AJ724" i="1"/>
  <c r="S724" i="1"/>
  <c r="T724" i="1"/>
  <c r="AP724" i="1" s="1"/>
  <c r="AG724" i="1"/>
  <c r="AH724" i="1"/>
  <c r="N725" i="1"/>
  <c r="AJ725" i="1" s="1"/>
  <c r="S725" i="1"/>
  <c r="T725" i="1"/>
  <c r="AP725" i="1"/>
  <c r="AM725" i="1"/>
  <c r="AG725" i="1"/>
  <c r="AH725" i="1"/>
  <c r="N726" i="1"/>
  <c r="AJ726" i="1" s="1"/>
  <c r="S726" i="1"/>
  <c r="AO726" i="1" s="1"/>
  <c r="T726" i="1"/>
  <c r="AG726" i="1"/>
  <c r="AH726" i="1"/>
  <c r="N727" i="1"/>
  <c r="AJ727" i="1" s="1"/>
  <c r="S727" i="1"/>
  <c r="T727" i="1"/>
  <c r="AG727" i="1"/>
  <c r="AH727" i="1"/>
  <c r="N728" i="1"/>
  <c r="S728" i="1"/>
  <c r="T728" i="1"/>
  <c r="AP728" i="1"/>
  <c r="AR728" i="1"/>
  <c r="AG728" i="1"/>
  <c r="AO728" i="1" s="1"/>
  <c r="AH728" i="1"/>
  <c r="AJ728" i="1"/>
  <c r="N729" i="1"/>
  <c r="AJ729" i="1"/>
  <c r="S729" i="1"/>
  <c r="T729" i="1"/>
  <c r="AP729" i="1"/>
  <c r="AR729" i="1"/>
  <c r="AG729" i="1"/>
  <c r="AO729" i="1" s="1"/>
  <c r="AH729" i="1"/>
  <c r="N730" i="1"/>
  <c r="AJ730" i="1" s="1"/>
  <c r="S730" i="1"/>
  <c r="AO730" i="1" s="1"/>
  <c r="T730" i="1"/>
  <c r="AP730" i="1" s="1"/>
  <c r="AM730" i="1"/>
  <c r="AG730" i="1"/>
  <c r="AH730" i="1"/>
  <c r="N731" i="1"/>
  <c r="AJ731" i="1"/>
  <c r="S731" i="1"/>
  <c r="AO731" i="1"/>
  <c r="T731" i="1"/>
  <c r="AG731" i="1"/>
  <c r="AH731" i="1"/>
  <c r="N732" i="1"/>
  <c r="AJ732" i="1" s="1"/>
  <c r="S732" i="1"/>
  <c r="T732" i="1"/>
  <c r="AP732" i="1"/>
  <c r="AG732" i="1"/>
  <c r="AH732" i="1"/>
  <c r="N733" i="1"/>
  <c r="AJ733" i="1"/>
  <c r="S733" i="1"/>
  <c r="T733" i="1"/>
  <c r="AG733" i="1"/>
  <c r="AH733" i="1"/>
  <c r="N734" i="1"/>
  <c r="AJ734" i="1" s="1"/>
  <c r="S734" i="1"/>
  <c r="T734" i="1"/>
  <c r="AP734" i="1"/>
  <c r="AN734" i="1"/>
  <c r="AG734" i="1"/>
  <c r="AH734" i="1"/>
  <c r="N735" i="1"/>
  <c r="AJ735" i="1" s="1"/>
  <c r="S735" i="1"/>
  <c r="T735" i="1"/>
  <c r="AG735" i="1"/>
  <c r="AH735" i="1"/>
  <c r="N736" i="1"/>
  <c r="AJ736" i="1" s="1"/>
  <c r="S736" i="1"/>
  <c r="AO736" i="1" s="1"/>
  <c r="T736" i="1"/>
  <c r="AG736" i="1"/>
  <c r="AH736" i="1"/>
  <c r="N737" i="1"/>
  <c r="AJ737" i="1" s="1"/>
  <c r="S737" i="1"/>
  <c r="T737" i="1"/>
  <c r="AG737" i="1"/>
  <c r="AH737" i="1"/>
  <c r="N738" i="1"/>
  <c r="AJ738" i="1" s="1"/>
  <c r="S738" i="1"/>
  <c r="T738" i="1"/>
  <c r="AM738" i="1"/>
  <c r="AG738" i="1"/>
  <c r="AH738" i="1"/>
  <c r="N739" i="1"/>
  <c r="AJ739" i="1" s="1"/>
  <c r="S739" i="1"/>
  <c r="AO739" i="1" s="1"/>
  <c r="T739" i="1"/>
  <c r="AP739" i="1" s="1"/>
  <c r="AT739" i="1" s="1"/>
  <c r="AG739" i="1"/>
  <c r="O23" i="36"/>
  <c r="AH739" i="1"/>
  <c r="N740" i="1"/>
  <c r="AJ740" i="1" s="1"/>
  <c r="S740" i="1"/>
  <c r="AO740" i="1" s="1"/>
  <c r="T740" i="1"/>
  <c r="AP740" i="1" s="1"/>
  <c r="AG740" i="1"/>
  <c r="AH740" i="1"/>
  <c r="N741" i="1"/>
  <c r="AJ741" i="1" s="1"/>
  <c r="S741" i="1"/>
  <c r="AO741" i="1" s="1"/>
  <c r="T741" i="1"/>
  <c r="AM741" i="1"/>
  <c r="AG741" i="1"/>
  <c r="AH741" i="1"/>
  <c r="N742" i="1"/>
  <c r="AJ742" i="1" s="1"/>
  <c r="S742" i="1"/>
  <c r="AO742" i="1" s="1"/>
  <c r="T742" i="1"/>
  <c r="AG742" i="1"/>
  <c r="AH742" i="1"/>
  <c r="N743" i="1"/>
  <c r="S743" i="1"/>
  <c r="T743" i="1"/>
  <c r="AG743" i="1"/>
  <c r="AH743" i="1"/>
  <c r="AJ743" i="1"/>
  <c r="N744" i="1"/>
  <c r="AJ744" i="1"/>
  <c r="S744" i="1"/>
  <c r="T744" i="1"/>
  <c r="AR744" i="1"/>
  <c r="AG744" i="1"/>
  <c r="AH744" i="1"/>
  <c r="N745" i="1"/>
  <c r="AJ745" i="1" s="1"/>
  <c r="S745" i="1"/>
  <c r="AO745" i="1" s="1"/>
  <c r="T745" i="1"/>
  <c r="AN745" i="1"/>
  <c r="AG745" i="1"/>
  <c r="AH745" i="1"/>
  <c r="N746" i="1"/>
  <c r="AJ746" i="1" s="1"/>
  <c r="S746" i="1"/>
  <c r="T746" i="1"/>
  <c r="AP746" i="1"/>
  <c r="AG746" i="1"/>
  <c r="AH746" i="1"/>
  <c r="N747" i="1"/>
  <c r="AJ747" i="1"/>
  <c r="S747" i="1"/>
  <c r="T747" i="1"/>
  <c r="AP747" i="1" s="1"/>
  <c r="AR747" i="1"/>
  <c r="AG747" i="1"/>
  <c r="AH747" i="1"/>
  <c r="N748" i="1"/>
  <c r="AJ748" i="1"/>
  <c r="S748" i="1"/>
  <c r="AO748" i="1"/>
  <c r="T748" i="1"/>
  <c r="AR748" i="1"/>
  <c r="AG748" i="1"/>
  <c r="AH748" i="1"/>
  <c r="N749" i="1"/>
  <c r="AJ749" i="1"/>
  <c r="S749" i="1"/>
  <c r="T749" i="1"/>
  <c r="AP749" i="1" s="1"/>
  <c r="AM749" i="1"/>
  <c r="AG749" i="1"/>
  <c r="AH749" i="1"/>
  <c r="N750" i="1"/>
  <c r="AJ750" i="1"/>
  <c r="S750" i="1"/>
  <c r="T750" i="1"/>
  <c r="AG750" i="1"/>
  <c r="AH750" i="1"/>
  <c r="N751" i="1"/>
  <c r="AJ751" i="1"/>
  <c r="S751" i="1"/>
  <c r="AO751" i="1"/>
  <c r="T751" i="1"/>
  <c r="AM751" i="1"/>
  <c r="AG751" i="1"/>
  <c r="AH751" i="1"/>
  <c r="N752" i="1"/>
  <c r="AJ752" i="1"/>
  <c r="S752" i="1"/>
  <c r="T752" i="1"/>
  <c r="AP752" i="1"/>
  <c r="AR752" i="1"/>
  <c r="AG752" i="1"/>
  <c r="AO752" i="1" s="1"/>
  <c r="AH752" i="1"/>
  <c r="N753" i="1"/>
  <c r="AJ753" i="1" s="1"/>
  <c r="S753" i="1"/>
  <c r="AO753" i="1" s="1"/>
  <c r="T753" i="1"/>
  <c r="AP753" i="1" s="1"/>
  <c r="AM753" i="1"/>
  <c r="AG753" i="1"/>
  <c r="AH753" i="1"/>
  <c r="N754" i="1"/>
  <c r="AJ754" i="1"/>
  <c r="S754" i="1"/>
  <c r="T754" i="1"/>
  <c r="AG754" i="1"/>
  <c r="AO754" i="1" s="1"/>
  <c r="AH754" i="1"/>
  <c r="N755" i="1"/>
  <c r="AJ755" i="1" s="1"/>
  <c r="S755" i="1"/>
  <c r="AO755" i="1" s="1"/>
  <c r="AT755" i="1" s="1"/>
  <c r="T755" i="1"/>
  <c r="AP755" i="1" s="1"/>
  <c r="AG755" i="1"/>
  <c r="AH755" i="1"/>
  <c r="N756" i="1"/>
  <c r="AJ756" i="1" s="1"/>
  <c r="S756" i="1"/>
  <c r="T756" i="1"/>
  <c r="AR756" i="1"/>
  <c r="AG756" i="1"/>
  <c r="AH756" i="1"/>
  <c r="AM756" i="1"/>
  <c r="N757" i="1"/>
  <c r="AJ757" i="1" s="1"/>
  <c r="S757" i="1"/>
  <c r="AO757" i="1" s="1"/>
  <c r="T757" i="1"/>
  <c r="AG757" i="1"/>
  <c r="AH757" i="1"/>
  <c r="N758" i="1"/>
  <c r="AJ758" i="1"/>
  <c r="S758" i="1"/>
  <c r="T758" i="1"/>
  <c r="AP758" i="1" s="1"/>
  <c r="AM758" i="1"/>
  <c r="AG758" i="1"/>
  <c r="AH758" i="1"/>
  <c r="N759" i="1"/>
  <c r="AJ759" i="1"/>
  <c r="S759" i="1"/>
  <c r="T759" i="1"/>
  <c r="AM759" i="1"/>
  <c r="AG759" i="1"/>
  <c r="AH759" i="1"/>
  <c r="N760" i="1"/>
  <c r="AJ760" i="1" s="1"/>
  <c r="S760" i="1"/>
  <c r="AO760" i="1" s="1"/>
  <c r="T760" i="1"/>
  <c r="AR760" i="1"/>
  <c r="AN760" i="1"/>
  <c r="AG760" i="1"/>
  <c r="AH760" i="1"/>
  <c r="N761" i="1"/>
  <c r="AJ761" i="1"/>
  <c r="S761" i="1"/>
  <c r="T761" i="1"/>
  <c r="AG761" i="1"/>
  <c r="AH761" i="1"/>
  <c r="N762" i="1"/>
  <c r="AJ762" i="1"/>
  <c r="S762" i="1"/>
  <c r="T762" i="1"/>
  <c r="AN762" i="1"/>
  <c r="AG762" i="1"/>
  <c r="AH762" i="1"/>
  <c r="N763" i="1"/>
  <c r="AJ763" i="1" s="1"/>
  <c r="S763" i="1"/>
  <c r="T763" i="1"/>
  <c r="AG763" i="1"/>
  <c r="AH763" i="1"/>
  <c r="J72" i="29"/>
  <c r="N764" i="1"/>
  <c r="AJ764" i="1"/>
  <c r="S764" i="1"/>
  <c r="T764" i="1"/>
  <c r="AR764" i="1"/>
  <c r="AM764" i="1"/>
  <c r="AG764" i="1"/>
  <c r="AO764" i="1" s="1"/>
  <c r="AH764" i="1"/>
  <c r="N765" i="1"/>
  <c r="AJ765" i="1" s="1"/>
  <c r="S765" i="1"/>
  <c r="T765" i="1"/>
  <c r="AP765" i="1"/>
  <c r="AN765" i="1"/>
  <c r="AG765" i="1"/>
  <c r="AH765" i="1"/>
  <c r="N766" i="1"/>
  <c r="AJ766" i="1" s="1"/>
  <c r="S766" i="1"/>
  <c r="T766" i="1"/>
  <c r="AG766" i="1"/>
  <c r="AH766" i="1"/>
  <c r="AP766" i="1" s="1"/>
  <c r="N767" i="1"/>
  <c r="AJ767" i="1"/>
  <c r="S767" i="1"/>
  <c r="AO767" i="1"/>
  <c r="T767" i="1"/>
  <c r="AM767" i="1"/>
  <c r="AG767" i="1"/>
  <c r="AH767" i="1"/>
  <c r="N768" i="1"/>
  <c r="AJ768" i="1"/>
  <c r="S768" i="1"/>
  <c r="T768" i="1"/>
  <c r="AP768" i="1"/>
  <c r="AN768" i="1"/>
  <c r="AG768" i="1"/>
  <c r="AO768" i="1" s="1"/>
  <c r="AT768" i="1" s="1"/>
  <c r="AH768" i="1"/>
  <c r="N769" i="1"/>
  <c r="AJ769" i="1" s="1"/>
  <c r="S769" i="1"/>
  <c r="AO769" i="1" s="1"/>
  <c r="T769" i="1"/>
  <c r="AP769" i="1" s="1"/>
  <c r="AM769" i="1"/>
  <c r="AG769" i="1"/>
  <c r="AH769" i="1"/>
  <c r="N770" i="1"/>
  <c r="AJ770" i="1"/>
  <c r="S770" i="1"/>
  <c r="T770" i="1"/>
  <c r="AP770" i="1" s="1"/>
  <c r="AN770" i="1"/>
  <c r="AG770" i="1"/>
  <c r="AH770" i="1"/>
  <c r="N771" i="1"/>
  <c r="AJ771" i="1"/>
  <c r="S771" i="1"/>
  <c r="AO771" i="1"/>
  <c r="T771" i="1"/>
  <c r="AP771" i="1"/>
  <c r="AG771" i="1"/>
  <c r="AH771" i="1"/>
  <c r="N772" i="1"/>
  <c r="AJ772" i="1"/>
  <c r="S772" i="1"/>
  <c r="T772" i="1"/>
  <c r="AR772" i="1"/>
  <c r="AG772" i="1"/>
  <c r="AH772" i="1"/>
  <c r="N773" i="1"/>
  <c r="AJ773" i="1" s="1"/>
  <c r="S773" i="1"/>
  <c r="T773" i="1"/>
  <c r="AN773" i="1"/>
  <c r="AG773" i="1"/>
  <c r="AH773" i="1"/>
  <c r="N774" i="1"/>
  <c r="AJ774" i="1"/>
  <c r="S774" i="1"/>
  <c r="AO774" i="1"/>
  <c r="T774" i="1"/>
  <c r="AR774" i="1"/>
  <c r="AG774" i="1"/>
  <c r="AH774" i="1"/>
  <c r="N775" i="1"/>
  <c r="AJ775" i="1"/>
  <c r="S775" i="1"/>
  <c r="T775" i="1"/>
  <c r="AP775" i="1" s="1"/>
  <c r="AM775" i="1"/>
  <c r="AG775" i="1"/>
  <c r="AH775" i="1"/>
  <c r="N776" i="1"/>
  <c r="AJ776" i="1"/>
  <c r="S776" i="1"/>
  <c r="T776" i="1"/>
  <c r="AR776" i="1"/>
  <c r="AN776" i="1"/>
  <c r="AG776" i="1"/>
  <c r="AO776" i="1" s="1"/>
  <c r="AH776" i="1"/>
  <c r="N777" i="1"/>
  <c r="AJ777" i="1" s="1"/>
  <c r="S777" i="1"/>
  <c r="AO777" i="1" s="1"/>
  <c r="T777" i="1"/>
  <c r="AP777" i="1" s="1"/>
  <c r="AR777" i="1"/>
  <c r="AG777" i="1"/>
  <c r="AH777" i="1"/>
  <c r="N778" i="1"/>
  <c r="AJ778" i="1"/>
  <c r="S778" i="1"/>
  <c r="T778" i="1"/>
  <c r="AG778" i="1"/>
  <c r="AO778" i="1" s="1"/>
  <c r="AH778" i="1"/>
  <c r="N779" i="1"/>
  <c r="AJ779" i="1" s="1"/>
  <c r="S779" i="1"/>
  <c r="T779" i="1"/>
  <c r="AR779" i="1"/>
  <c r="AM779" i="1"/>
  <c r="AS779" i="1" s="1"/>
  <c r="AG779" i="1"/>
  <c r="AH779" i="1"/>
  <c r="AP779" i="1" s="1"/>
  <c r="N780" i="1"/>
  <c r="AJ780" i="1"/>
  <c r="S780" i="1"/>
  <c r="T780" i="1"/>
  <c r="AP780" i="1" s="1"/>
  <c r="AN780" i="1"/>
  <c r="AG780" i="1"/>
  <c r="AH780" i="1"/>
  <c r="N781" i="1"/>
  <c r="AJ781" i="1"/>
  <c r="S781" i="1"/>
  <c r="T781" i="1"/>
  <c r="AP781" i="1" s="1"/>
  <c r="AR781" i="1"/>
  <c r="AM781" i="1"/>
  <c r="AG781" i="1"/>
  <c r="AH781" i="1"/>
  <c r="N782" i="1"/>
  <c r="AJ782" i="1" s="1"/>
  <c r="S782" i="1"/>
  <c r="T782" i="1"/>
  <c r="AR782" i="1"/>
  <c r="AN782" i="1"/>
  <c r="AG782" i="1"/>
  <c r="AH782" i="1"/>
  <c r="AP782" i="1" s="1"/>
  <c r="N783" i="1"/>
  <c r="AJ783" i="1"/>
  <c r="S783" i="1"/>
  <c r="T783" i="1"/>
  <c r="AN783" i="1"/>
  <c r="AG783" i="1"/>
  <c r="AH783" i="1"/>
  <c r="N784" i="1"/>
  <c r="AJ784" i="1" s="1"/>
  <c r="S784" i="1"/>
  <c r="T784" i="1"/>
  <c r="AR784" i="1"/>
  <c r="AG784" i="1"/>
  <c r="AH784" i="1"/>
  <c r="N785" i="1"/>
  <c r="AJ785" i="1"/>
  <c r="S785" i="1"/>
  <c r="T785" i="1"/>
  <c r="AR785" i="1"/>
  <c r="AN785" i="1"/>
  <c r="AS785" i="1" s="1"/>
  <c r="AG785" i="1"/>
  <c r="AH785" i="1"/>
  <c r="N786" i="1"/>
  <c r="AJ786" i="1"/>
  <c r="S786" i="1"/>
  <c r="AO786" i="1"/>
  <c r="T786" i="1"/>
  <c r="AR786" i="1"/>
  <c r="AG786" i="1"/>
  <c r="AH786" i="1"/>
  <c r="N787" i="1"/>
  <c r="AJ787" i="1"/>
  <c r="S787" i="1"/>
  <c r="T787" i="1"/>
  <c r="AP787" i="1" s="1"/>
  <c r="AM787" i="1"/>
  <c r="AG787" i="1"/>
  <c r="AH787" i="1"/>
  <c r="N788" i="1"/>
  <c r="AJ788" i="1"/>
  <c r="S788" i="1"/>
  <c r="AO788" i="1"/>
  <c r="T788" i="1"/>
  <c r="AN788" i="1"/>
  <c r="AG788" i="1"/>
  <c r="AH788" i="1"/>
  <c r="N789" i="1"/>
  <c r="AJ789" i="1"/>
  <c r="S789" i="1"/>
  <c r="AO789" i="1"/>
  <c r="T789" i="1"/>
  <c r="AR789" i="1"/>
  <c r="AM789" i="1"/>
  <c r="AG789" i="1"/>
  <c r="AH789" i="1"/>
  <c r="AP789" i="1" s="1"/>
  <c r="N790" i="1"/>
  <c r="AJ790" i="1"/>
  <c r="S790" i="1"/>
  <c r="T790" i="1"/>
  <c r="AP790" i="1" s="1"/>
  <c r="AN790" i="1"/>
  <c r="AG790" i="1"/>
  <c r="AH790" i="1"/>
  <c r="N791" i="1"/>
  <c r="S791" i="1"/>
  <c r="T791" i="1"/>
  <c r="AN791" i="1"/>
  <c r="AG791" i="1"/>
  <c r="AH791" i="1"/>
  <c r="AP791" i="1" s="1"/>
  <c r="AJ791" i="1"/>
  <c r="N792" i="1"/>
  <c r="AJ792" i="1"/>
  <c r="S792" i="1"/>
  <c r="T792" i="1"/>
  <c r="AM792" i="1"/>
  <c r="AG792" i="1"/>
  <c r="AH792" i="1"/>
  <c r="N793" i="1"/>
  <c r="AJ793" i="1" s="1"/>
  <c r="S793" i="1"/>
  <c r="T793" i="1"/>
  <c r="AR793" i="1"/>
  <c r="AN793" i="1"/>
  <c r="AG793" i="1"/>
  <c r="AH793" i="1"/>
  <c r="N794" i="1"/>
  <c r="AJ794" i="1" s="1"/>
  <c r="S794" i="1"/>
  <c r="T794" i="1"/>
  <c r="AM794" i="1"/>
  <c r="AG794" i="1"/>
  <c r="AH794" i="1"/>
  <c r="N795" i="1"/>
  <c r="AJ795" i="1" s="1"/>
  <c r="S795" i="1"/>
  <c r="T795" i="1"/>
  <c r="AP795" i="1"/>
  <c r="AM795" i="1"/>
  <c r="AG795" i="1"/>
  <c r="AH795" i="1"/>
  <c r="N796" i="1"/>
  <c r="AJ796" i="1" s="1"/>
  <c r="S796" i="1"/>
  <c r="AO796" i="1" s="1"/>
  <c r="T796" i="1"/>
  <c r="AR796" i="1"/>
  <c r="AN796" i="1"/>
  <c r="AG796" i="1"/>
  <c r="AH796" i="1"/>
  <c r="N797" i="1"/>
  <c r="AJ797" i="1"/>
  <c r="S797" i="1"/>
  <c r="AO797" i="1"/>
  <c r="T797" i="1"/>
  <c r="AM797" i="1"/>
  <c r="AG797" i="1"/>
  <c r="AH797" i="1"/>
  <c r="N798" i="1"/>
  <c r="AJ798" i="1"/>
  <c r="S798" i="1"/>
  <c r="T798" i="1"/>
  <c r="AP798" i="1" s="1"/>
  <c r="AN798" i="1"/>
  <c r="AG798" i="1"/>
  <c r="AH798" i="1"/>
  <c r="N799" i="1"/>
  <c r="AJ799" i="1"/>
  <c r="S799" i="1"/>
  <c r="T799" i="1"/>
  <c r="AR799" i="1"/>
  <c r="AN799" i="1"/>
  <c r="AG799" i="1"/>
  <c r="AO799" i="1" s="1"/>
  <c r="AH799" i="1"/>
  <c r="N800" i="1"/>
  <c r="AJ800" i="1" s="1"/>
  <c r="S800" i="1"/>
  <c r="T800" i="1"/>
  <c r="AR800" i="1"/>
  <c r="AG800" i="1"/>
  <c r="AH800" i="1"/>
  <c r="N801" i="1"/>
  <c r="AJ801" i="1" s="1"/>
  <c r="S801" i="1"/>
  <c r="AO801" i="1" s="1"/>
  <c r="T801" i="1"/>
  <c r="AG801" i="1"/>
  <c r="AH801" i="1"/>
  <c r="J93" i="29" s="1"/>
  <c r="N802" i="1"/>
  <c r="AJ802" i="1"/>
  <c r="S802" i="1"/>
  <c r="T802" i="1"/>
  <c r="AM802" i="1"/>
  <c r="AG802" i="1"/>
  <c r="AH802" i="1"/>
  <c r="N803" i="1"/>
  <c r="AJ803" i="1"/>
  <c r="S803" i="1"/>
  <c r="T803" i="1"/>
  <c r="AM803" i="1"/>
  <c r="AG803" i="1"/>
  <c r="AH803" i="1"/>
  <c r="N804" i="1"/>
  <c r="AJ804" i="1" s="1"/>
  <c r="S804" i="1"/>
  <c r="D94" i="29" s="1"/>
  <c r="D94" i="30" s="1"/>
  <c r="T804" i="1"/>
  <c r="AR804" i="1"/>
  <c r="AN804" i="1"/>
  <c r="AG804" i="1"/>
  <c r="J94" i="29" s="1"/>
  <c r="J94" i="30" s="1"/>
  <c r="AH804" i="1"/>
  <c r="N805" i="1"/>
  <c r="AJ805" i="1" s="1"/>
  <c r="S805" i="1"/>
  <c r="T805" i="1"/>
  <c r="AR805" i="1"/>
  <c r="AM805" i="1"/>
  <c r="AG805" i="1"/>
  <c r="AH805" i="1"/>
  <c r="N806" i="1"/>
  <c r="AJ806" i="1" s="1"/>
  <c r="S806" i="1"/>
  <c r="T806" i="1"/>
  <c r="AP806" i="1"/>
  <c r="AN806" i="1"/>
  <c r="AG806" i="1"/>
  <c r="AH806" i="1"/>
  <c r="N807" i="1"/>
  <c r="AJ807" i="1" s="1"/>
  <c r="S807" i="1"/>
  <c r="AO807" i="1" s="1"/>
  <c r="T807" i="1"/>
  <c r="AG807" i="1"/>
  <c r="AH807" i="1"/>
  <c r="N808" i="1"/>
  <c r="AJ808" i="1"/>
  <c r="S808" i="1"/>
  <c r="T808" i="1"/>
  <c r="AR808" i="1"/>
  <c r="AN808" i="1"/>
  <c r="AG808" i="1"/>
  <c r="AO808" i="1" s="1"/>
  <c r="AH808" i="1"/>
  <c r="N809" i="1"/>
  <c r="AJ809" i="1" s="1"/>
  <c r="S809" i="1"/>
  <c r="T809" i="1"/>
  <c r="AG809" i="1"/>
  <c r="AH809" i="1"/>
  <c r="N810" i="1"/>
  <c r="AJ810" i="1" s="1"/>
  <c r="S810" i="1"/>
  <c r="AO810" i="1" s="1"/>
  <c r="T810" i="1"/>
  <c r="AM810" i="1"/>
  <c r="AG810" i="1"/>
  <c r="AH810" i="1"/>
  <c r="N811" i="1"/>
  <c r="AJ811" i="1" s="1"/>
  <c r="S811" i="1"/>
  <c r="AO811" i="1" s="1"/>
  <c r="T811" i="1"/>
  <c r="AP811" i="1" s="1"/>
  <c r="AM811" i="1"/>
  <c r="AS811" i="1" s="1"/>
  <c r="AG811" i="1"/>
  <c r="AH811" i="1"/>
  <c r="N812" i="1"/>
  <c r="AJ812" i="1"/>
  <c r="S812" i="1"/>
  <c r="AO812" i="1"/>
  <c r="T812" i="1"/>
  <c r="AR812" i="1"/>
  <c r="AN812" i="1"/>
  <c r="AG812" i="1"/>
  <c r="AH812" i="1"/>
  <c r="AP812" i="1" s="1"/>
  <c r="AT812" i="1" s="1"/>
  <c r="N813" i="1"/>
  <c r="AJ813" i="1"/>
  <c r="S813" i="1"/>
  <c r="T813" i="1"/>
  <c r="AP813" i="1" s="1"/>
  <c r="AM813" i="1"/>
  <c r="AG813" i="1"/>
  <c r="AH813" i="1"/>
  <c r="N814" i="1"/>
  <c r="AJ814" i="1"/>
  <c r="S814" i="1"/>
  <c r="T814" i="1"/>
  <c r="AP814" i="1" s="1"/>
  <c r="AR814" i="1"/>
  <c r="AN814" i="1"/>
  <c r="AG814" i="1"/>
  <c r="AH814" i="1"/>
  <c r="N815" i="1"/>
  <c r="AJ815" i="1" s="1"/>
  <c r="S815" i="1"/>
  <c r="T815" i="1"/>
  <c r="AG815" i="1"/>
  <c r="AH815" i="1"/>
  <c r="AP815" i="1" s="1"/>
  <c r="N816" i="1"/>
  <c r="AJ816" i="1"/>
  <c r="S816" i="1"/>
  <c r="AO816" i="1"/>
  <c r="T816" i="1"/>
  <c r="AG816" i="1"/>
  <c r="AH816" i="1"/>
  <c r="N817" i="1"/>
  <c r="AJ817" i="1" s="1"/>
  <c r="S817" i="1"/>
  <c r="T817" i="1"/>
  <c r="AN817" i="1"/>
  <c r="AG817" i="1"/>
  <c r="AH817" i="1"/>
  <c r="N818" i="1"/>
  <c r="AJ818" i="1"/>
  <c r="S818" i="1"/>
  <c r="T818" i="1"/>
  <c r="AP818" i="1"/>
  <c r="AR818" i="1"/>
  <c r="AG818" i="1"/>
  <c r="AH818" i="1"/>
  <c r="N819" i="1"/>
  <c r="AJ819" i="1"/>
  <c r="S819" i="1"/>
  <c r="T819" i="1"/>
  <c r="AP819" i="1"/>
  <c r="AM819" i="1"/>
  <c r="AS819" i="1" s="1"/>
  <c r="AG819" i="1"/>
  <c r="AH819" i="1"/>
  <c r="N820" i="1"/>
  <c r="AJ820" i="1" s="1"/>
  <c r="S820" i="1"/>
  <c r="T820" i="1"/>
  <c r="AP820" i="1" s="1"/>
  <c r="AR820" i="1"/>
  <c r="AN820" i="1"/>
  <c r="AS820" i="1" s="1"/>
  <c r="AG820" i="1"/>
  <c r="AH820" i="1"/>
  <c r="N821" i="1"/>
  <c r="AJ821" i="1"/>
  <c r="S821" i="1"/>
  <c r="AO821" i="1" s="1"/>
  <c r="T821" i="1"/>
  <c r="AR821" i="1"/>
  <c r="AM821" i="1"/>
  <c r="AG821" i="1"/>
  <c r="AH821" i="1"/>
  <c r="AP821" i="1" s="1"/>
  <c r="N822" i="1"/>
  <c r="AJ822" i="1" s="1"/>
  <c r="S822" i="1"/>
  <c r="T822" i="1"/>
  <c r="AM822" i="1"/>
  <c r="AN822" i="1"/>
  <c r="AG822" i="1"/>
  <c r="AH822" i="1"/>
  <c r="N823" i="1"/>
  <c r="AJ823" i="1" s="1"/>
  <c r="S823" i="1"/>
  <c r="T823" i="1"/>
  <c r="AG823" i="1"/>
  <c r="AH823" i="1"/>
  <c r="J99" i="29" s="1"/>
  <c r="J99" i="30" s="1"/>
  <c r="N824" i="1"/>
  <c r="AJ824" i="1" s="1"/>
  <c r="S824" i="1"/>
  <c r="T824" i="1"/>
  <c r="AR824" i="1"/>
  <c r="AG824" i="1"/>
  <c r="AH824" i="1"/>
  <c r="N825" i="1"/>
  <c r="AJ825" i="1"/>
  <c r="S825" i="1"/>
  <c r="T825" i="1"/>
  <c r="AG825" i="1"/>
  <c r="AH825" i="1"/>
  <c r="J100" i="29" s="1"/>
  <c r="N826" i="1"/>
  <c r="AJ826" i="1"/>
  <c r="S826" i="1"/>
  <c r="T826" i="1"/>
  <c r="AM826" i="1"/>
  <c r="AG826" i="1"/>
  <c r="AH826" i="1"/>
  <c r="N827" i="1"/>
  <c r="AJ827" i="1"/>
  <c r="S827" i="1"/>
  <c r="AO827" i="1"/>
  <c r="T827" i="1"/>
  <c r="AM827" i="1"/>
  <c r="AG827" i="1"/>
  <c r="AH827" i="1"/>
  <c r="N828" i="1"/>
  <c r="AJ828" i="1"/>
  <c r="S828" i="1"/>
  <c r="T828" i="1"/>
  <c r="D101" i="29" s="1"/>
  <c r="AR828" i="1"/>
  <c r="AN828" i="1"/>
  <c r="AG828" i="1"/>
  <c r="AH828" i="1"/>
  <c r="O829" i="1"/>
  <c r="P829" i="1"/>
  <c r="AC829" i="1"/>
  <c r="AD829" i="1"/>
  <c r="AD890" i="1"/>
  <c r="AJ829" i="1"/>
  <c r="AJ831" i="1"/>
  <c r="N832" i="1"/>
  <c r="AJ832" i="1"/>
  <c r="AM832" i="1"/>
  <c r="N833" i="1"/>
  <c r="AJ833" i="1"/>
  <c r="AK833" i="1"/>
  <c r="AR833" i="1" s="1"/>
  <c r="N834" i="1"/>
  <c r="AJ834" i="1" s="1"/>
  <c r="AM834" i="1"/>
  <c r="N835" i="1"/>
  <c r="AJ835" i="1" s="1"/>
  <c r="T835" i="1"/>
  <c r="AL835" i="1"/>
  <c r="AN835" i="1"/>
  <c r="AS835" i="1" s="1"/>
  <c r="AH835" i="1"/>
  <c r="N836" i="1"/>
  <c r="AJ836" i="1"/>
  <c r="T836" i="1"/>
  <c r="AL836" i="1"/>
  <c r="AR836" i="1" s="1"/>
  <c r="AM836" i="1"/>
  <c r="AH836" i="1"/>
  <c r="N837" i="1"/>
  <c r="AJ837" i="1" s="1"/>
  <c r="AN837" i="1"/>
  <c r="N838" i="1"/>
  <c r="AJ838" i="1" s="1"/>
  <c r="AM838" i="1"/>
  <c r="AN838" i="1"/>
  <c r="N839" i="1"/>
  <c r="AJ839" i="1" s="1"/>
  <c r="AN839" i="1"/>
  <c r="N840" i="1"/>
  <c r="AJ840" i="1"/>
  <c r="AM840" i="1"/>
  <c r="N841" i="1"/>
  <c r="AJ841" i="1"/>
  <c r="AN841" i="1"/>
  <c r="AS841" i="1" s="1"/>
  <c r="N842" i="1"/>
  <c r="AJ842" i="1" s="1"/>
  <c r="T842" i="1"/>
  <c r="AM842" i="1"/>
  <c r="AS842" i="1" s="1"/>
  <c r="AH842" i="1"/>
  <c r="N843" i="1"/>
  <c r="AJ843" i="1"/>
  <c r="T843" i="1"/>
  <c r="AL843" i="1"/>
  <c r="AR843" i="1" s="1"/>
  <c r="AN843" i="1"/>
  <c r="AH843" i="1"/>
  <c r="N844" i="1"/>
  <c r="AJ844" i="1" s="1"/>
  <c r="T844" i="1"/>
  <c r="AL844" i="1"/>
  <c r="AM844" i="1"/>
  <c r="AH844" i="1"/>
  <c r="N845" i="1"/>
  <c r="T845" i="1"/>
  <c r="AP845" i="1"/>
  <c r="AT845" i="1" s="1"/>
  <c r="AN845" i="1"/>
  <c r="AH845" i="1"/>
  <c r="AJ845" i="1"/>
  <c r="N846" i="1"/>
  <c r="AJ846" i="1" s="1"/>
  <c r="AM846" i="1"/>
  <c r="AN846" i="1"/>
  <c r="N847" i="1"/>
  <c r="AJ847" i="1" s="1"/>
  <c r="T847" i="1"/>
  <c r="AP847" i="1"/>
  <c r="AN847" i="1"/>
  <c r="AS847" i="1" s="1"/>
  <c r="AL847" i="1"/>
  <c r="N848" i="1"/>
  <c r="AJ848" i="1"/>
  <c r="T848" i="1"/>
  <c r="AP848" i="1" s="1"/>
  <c r="AL848" i="1"/>
  <c r="AR848" i="1"/>
  <c r="AM848" i="1"/>
  <c r="AS848" i="1" s="1"/>
  <c r="AN848" i="1"/>
  <c r="AH848" i="1"/>
  <c r="N849" i="1"/>
  <c r="AJ849" i="1"/>
  <c r="S849" i="1"/>
  <c r="AO849" i="1" s="1"/>
  <c r="T849" i="1"/>
  <c r="AN849" i="1"/>
  <c r="AG849" i="1"/>
  <c r="AH849" i="1"/>
  <c r="N850" i="1"/>
  <c r="AJ850" i="1"/>
  <c r="S850" i="1"/>
  <c r="T850" i="1"/>
  <c r="AM850" i="1"/>
  <c r="AN850" i="1"/>
  <c r="AG850" i="1"/>
  <c r="AH850" i="1"/>
  <c r="AP850" i="1" s="1"/>
  <c r="N851" i="1"/>
  <c r="AJ851" i="1" s="1"/>
  <c r="S851" i="1"/>
  <c r="T851" i="1"/>
  <c r="AR851" i="1"/>
  <c r="AN851" i="1"/>
  <c r="AG851" i="1"/>
  <c r="AH851" i="1"/>
  <c r="AP851" i="1" s="1"/>
  <c r="N852" i="1"/>
  <c r="AJ852" i="1" s="1"/>
  <c r="S852" i="1"/>
  <c r="T852" i="1"/>
  <c r="AP852" i="1" s="1"/>
  <c r="AM852" i="1"/>
  <c r="AN852" i="1"/>
  <c r="AG852" i="1"/>
  <c r="AH852" i="1"/>
  <c r="N853" i="1"/>
  <c r="AJ853" i="1"/>
  <c r="S853" i="1"/>
  <c r="T853" i="1"/>
  <c r="AR853" i="1"/>
  <c r="AG853" i="1"/>
  <c r="AH853" i="1"/>
  <c r="AN853" i="1"/>
  <c r="N854" i="1"/>
  <c r="AJ854" i="1"/>
  <c r="S854" i="1"/>
  <c r="AO854" i="1" s="1"/>
  <c r="T854" i="1"/>
  <c r="AM854" i="1"/>
  <c r="AS854" i="1" s="1"/>
  <c r="AN854" i="1"/>
  <c r="AG854" i="1"/>
  <c r="AH854" i="1"/>
  <c r="N855" i="1"/>
  <c r="AJ855" i="1" s="1"/>
  <c r="S855" i="1"/>
  <c r="T855" i="1"/>
  <c r="AP855" i="1" s="1"/>
  <c r="AN855" i="1"/>
  <c r="AG855" i="1"/>
  <c r="AH855" i="1"/>
  <c r="N856" i="1"/>
  <c r="AJ856" i="1" s="1"/>
  <c r="S856" i="1"/>
  <c r="T856" i="1"/>
  <c r="AM856" i="1"/>
  <c r="AN856" i="1"/>
  <c r="AG856" i="1"/>
  <c r="AO856" i="1" s="1"/>
  <c r="AH856" i="1"/>
  <c r="N857" i="1"/>
  <c r="AJ857" i="1" s="1"/>
  <c r="S857" i="1"/>
  <c r="T857" i="1"/>
  <c r="AR857" i="1"/>
  <c r="AN857" i="1"/>
  <c r="AG857" i="1"/>
  <c r="AO857" i="1" s="1"/>
  <c r="AH857" i="1"/>
  <c r="N858" i="1"/>
  <c r="AJ858" i="1"/>
  <c r="AM858" i="1"/>
  <c r="AN858" i="1"/>
  <c r="N859" i="1"/>
  <c r="AJ859" i="1"/>
  <c r="AK859" i="1"/>
  <c r="AR859" i="1" s="1"/>
  <c r="AN859" i="1"/>
  <c r="AS859" i="1" s="1"/>
  <c r="N860" i="1"/>
  <c r="AJ860" i="1"/>
  <c r="AM860" i="1"/>
  <c r="AN860" i="1"/>
  <c r="N861" i="1"/>
  <c r="AJ861" i="1"/>
  <c r="AN861" i="1"/>
  <c r="AS861" i="1" s="1"/>
  <c r="AK861" i="1"/>
  <c r="N862" i="1"/>
  <c r="AJ862" i="1"/>
  <c r="AM862" i="1"/>
  <c r="AS862" i="1" s="1"/>
  <c r="AN862" i="1"/>
  <c r="N863" i="1"/>
  <c r="AJ863" i="1" s="1"/>
  <c r="AK863" i="1"/>
  <c r="AR863" i="1"/>
  <c r="AN863" i="1"/>
  <c r="AS863" i="1" s="1"/>
  <c r="N864" i="1"/>
  <c r="AJ864" i="1" s="1"/>
  <c r="AM864" i="1"/>
  <c r="AN864" i="1"/>
  <c r="N865" i="1"/>
  <c r="AJ865" i="1" s="1"/>
  <c r="AK865" i="1"/>
  <c r="AN865" i="1"/>
  <c r="N866" i="1"/>
  <c r="AJ866" i="1" s="1"/>
  <c r="AN866" i="1"/>
  <c r="N867" i="1"/>
  <c r="AJ867" i="1" s="1"/>
  <c r="AN867" i="1"/>
  <c r="N868" i="1"/>
  <c r="AJ868" i="1"/>
  <c r="T868" i="1"/>
  <c r="AP868" i="1" s="1"/>
  <c r="AT868" i="1" s="1"/>
  <c r="AM868" i="1"/>
  <c r="AN868" i="1"/>
  <c r="AH868" i="1"/>
  <c r="N869" i="1"/>
  <c r="AJ869" i="1"/>
  <c r="T869" i="1"/>
  <c r="AP869" i="1" s="1"/>
  <c r="AT869" i="1" s="1"/>
  <c r="AL869" i="1"/>
  <c r="AR869" i="1" s="1"/>
  <c r="AH869" i="1"/>
  <c r="AN869" i="1"/>
  <c r="N870" i="1"/>
  <c r="AJ870" i="1" s="1"/>
  <c r="T870" i="1"/>
  <c r="AM870" i="1"/>
  <c r="AS870" i="1" s="1"/>
  <c r="AN870" i="1"/>
  <c r="AH870" i="1"/>
  <c r="N871" i="1"/>
  <c r="AJ871" i="1"/>
  <c r="T871" i="1"/>
  <c r="AP871" i="1" s="1"/>
  <c r="AT871" i="1" s="1"/>
  <c r="AL871" i="1"/>
  <c r="AR871" i="1"/>
  <c r="AN871" i="1"/>
  <c r="AH871" i="1"/>
  <c r="N872" i="1"/>
  <c r="AJ872" i="1"/>
  <c r="T872" i="1"/>
  <c r="AP872" i="1" s="1"/>
  <c r="AL872" i="1"/>
  <c r="AM872" i="1"/>
  <c r="AS872" i="1" s="1"/>
  <c r="AN872" i="1"/>
  <c r="AH872" i="1"/>
  <c r="N873" i="1"/>
  <c r="AJ873" i="1"/>
  <c r="T873" i="1"/>
  <c r="AP873" i="1" s="1"/>
  <c r="AL873" i="1"/>
  <c r="AR873" i="1"/>
  <c r="AN873" i="1"/>
  <c r="AS873" i="1" s="1"/>
  <c r="N874" i="1"/>
  <c r="AJ874" i="1"/>
  <c r="T874" i="1"/>
  <c r="AL874" i="1"/>
  <c r="AR874" i="1" s="1"/>
  <c r="AM874" i="1"/>
  <c r="AN874" i="1"/>
  <c r="AH874" i="1"/>
  <c r="N875" i="1"/>
  <c r="AJ875" i="1" s="1"/>
  <c r="T875" i="1"/>
  <c r="AL875" i="1"/>
  <c r="AR875" i="1" s="1"/>
  <c r="AN875" i="1"/>
  <c r="AH875" i="1"/>
  <c r="N876" i="1"/>
  <c r="AJ876" i="1"/>
  <c r="S876" i="1"/>
  <c r="AO876" i="1" s="1"/>
  <c r="AT876" i="1" s="1"/>
  <c r="T876" i="1"/>
  <c r="AM876" i="1"/>
  <c r="AN876" i="1"/>
  <c r="AG876" i="1"/>
  <c r="AH876" i="1"/>
  <c r="N877" i="1"/>
  <c r="AJ877" i="1" s="1"/>
  <c r="S877" i="1"/>
  <c r="T877" i="1"/>
  <c r="AR877" i="1"/>
  <c r="AN877" i="1"/>
  <c r="AG877" i="1"/>
  <c r="AO877" i="1" s="1"/>
  <c r="AH877" i="1"/>
  <c r="N878" i="1"/>
  <c r="AJ878" i="1" s="1"/>
  <c r="S878" i="1"/>
  <c r="T878" i="1"/>
  <c r="AM878" i="1"/>
  <c r="AN878" i="1"/>
  <c r="AG878" i="1"/>
  <c r="AO878" i="1" s="1"/>
  <c r="AT878" i="1" s="1"/>
  <c r="AH878" i="1"/>
  <c r="N879" i="1"/>
  <c r="AJ879" i="1"/>
  <c r="S879" i="1"/>
  <c r="AO879" i="1" s="1"/>
  <c r="T879" i="1"/>
  <c r="AP879" i="1"/>
  <c r="AN879" i="1"/>
  <c r="AS879" i="1" s="1"/>
  <c r="AG879" i="1"/>
  <c r="AH879" i="1"/>
  <c r="N880" i="1"/>
  <c r="AJ880" i="1"/>
  <c r="S880" i="1"/>
  <c r="T880" i="1"/>
  <c r="AM880" i="1"/>
  <c r="AS880" i="1" s="1"/>
  <c r="AN880" i="1"/>
  <c r="AG880" i="1"/>
  <c r="AH880" i="1"/>
  <c r="AP880" i="1" s="1"/>
  <c r="AT880" i="1" s="1"/>
  <c r="N881" i="1"/>
  <c r="AJ881" i="1" s="1"/>
  <c r="S881" i="1"/>
  <c r="T881" i="1"/>
  <c r="AP881" i="1"/>
  <c r="AT881" i="1" s="1"/>
  <c r="AN881" i="1"/>
  <c r="AG881" i="1"/>
  <c r="AH881" i="1"/>
  <c r="N882" i="1"/>
  <c r="AJ882" i="1" s="1"/>
  <c r="S882" i="1"/>
  <c r="T882" i="1"/>
  <c r="AM882" i="1"/>
  <c r="AS882" i="1" s="1"/>
  <c r="AN882" i="1"/>
  <c r="AG882" i="1"/>
  <c r="AH882" i="1"/>
  <c r="N883" i="1"/>
  <c r="AJ883" i="1" s="1"/>
  <c r="S883" i="1"/>
  <c r="T883" i="1"/>
  <c r="AR883" i="1"/>
  <c r="AN883" i="1"/>
  <c r="AG883" i="1"/>
  <c r="AH883" i="1"/>
  <c r="N884" i="1"/>
  <c r="AJ884" i="1" s="1"/>
  <c r="AM884" i="1"/>
  <c r="AN884" i="1"/>
  <c r="N885" i="1"/>
  <c r="AJ885" i="1" s="1"/>
  <c r="T885" i="1"/>
  <c r="AN885" i="1"/>
  <c r="AH885" i="1"/>
  <c r="J92" i="4" s="1"/>
  <c r="N886" i="1"/>
  <c r="AJ886" i="1" s="1"/>
  <c r="T886" i="1"/>
  <c r="AP886" i="1"/>
  <c r="AT886" i="1" s="1"/>
  <c r="AL886" i="1"/>
  <c r="AR886" i="1" s="1"/>
  <c r="AM886" i="1"/>
  <c r="AN886" i="1"/>
  <c r="AS886" i="1" s="1"/>
  <c r="AH886" i="1"/>
  <c r="N887" i="1"/>
  <c r="AJ887" i="1"/>
  <c r="AK887" i="1"/>
  <c r="AR887" i="1" s="1"/>
  <c r="AN887" i="1"/>
  <c r="O888" i="1"/>
  <c r="P888" i="1"/>
  <c r="Q888" i="1"/>
  <c r="R894" i="1" s="1"/>
  <c r="R4" i="1" s="1"/>
  <c r="R888" i="1"/>
  <c r="AC888" i="1"/>
  <c r="AD888" i="1"/>
  <c r="AE888" i="1"/>
  <c r="AF894" i="1" s="1"/>
  <c r="AF4" i="1" s="1"/>
  <c r="AF888" i="1"/>
  <c r="AJ888" i="1"/>
  <c r="AJ890" i="1"/>
  <c r="P898" i="1"/>
  <c r="P899" i="1"/>
  <c r="AD898" i="1"/>
  <c r="AD899" i="1"/>
  <c r="P901" i="1"/>
  <c r="V901" i="1"/>
  <c r="AC901" i="1"/>
  <c r="AK901" i="1" s="1"/>
  <c r="Z901" i="1"/>
  <c r="AG901" i="1"/>
  <c r="AO901" i="1"/>
  <c r="AD901" i="1"/>
  <c r="AH901" i="1"/>
  <c r="P902" i="1"/>
  <c r="V902" i="1"/>
  <c r="AC902" i="1" s="1"/>
  <c r="AK902" i="1" s="1"/>
  <c r="Z902" i="1"/>
  <c r="AG902" i="1"/>
  <c r="AO902" i="1" s="1"/>
  <c r="AD902" i="1"/>
  <c r="AH902" i="1"/>
  <c r="P904" i="1"/>
  <c r="T904" i="1"/>
  <c r="T905" i="1"/>
  <c r="V904" i="1"/>
  <c r="AC904" i="1"/>
  <c r="AK904" i="1" s="1"/>
  <c r="Z904" i="1"/>
  <c r="AG904" i="1"/>
  <c r="AO904" i="1"/>
  <c r="AD904" i="1"/>
  <c r="P905" i="1"/>
  <c r="V905" i="1"/>
  <c r="AC905" i="1"/>
  <c r="AK905" i="1" s="1"/>
  <c r="Z905" i="1"/>
  <c r="AG905" i="1"/>
  <c r="AO905" i="1"/>
  <c r="AD905" i="1"/>
  <c r="AH905" i="1"/>
  <c r="P907" i="1"/>
  <c r="V907" i="1"/>
  <c r="AC907" i="1" s="1"/>
  <c r="AK907" i="1" s="1"/>
  <c r="Z907" i="1"/>
  <c r="AD907" i="1"/>
  <c r="AG907" i="1"/>
  <c r="AO907" i="1" s="1"/>
  <c r="AH907" i="1"/>
  <c r="P908" i="1"/>
  <c r="V908" i="1"/>
  <c r="AC908" i="1" s="1"/>
  <c r="AK908" i="1" s="1"/>
  <c r="Z908" i="1"/>
  <c r="AG908" i="1" s="1"/>
  <c r="AO908" i="1" s="1"/>
  <c r="AD908" i="1"/>
  <c r="AH908" i="1"/>
  <c r="V910" i="1"/>
  <c r="AC910" i="1" s="1"/>
  <c r="AK910" i="1" s="1"/>
  <c r="Z910" i="1"/>
  <c r="AG910" i="1"/>
  <c r="AO910" i="1"/>
  <c r="P911" i="1"/>
  <c r="V911" i="1"/>
  <c r="AC911" i="1" s="1"/>
  <c r="AK911" i="1" s="1"/>
  <c r="Z911" i="1"/>
  <c r="AG911" i="1"/>
  <c r="AO911" i="1" s="1"/>
  <c r="K23" i="4"/>
  <c r="G61" i="4"/>
  <c r="H10" i="4"/>
  <c r="M9" i="4"/>
  <c r="M60" i="4"/>
  <c r="J60" i="4"/>
  <c r="E61" i="4"/>
  <c r="E104" i="4"/>
  <c r="E30" i="4"/>
  <c r="E12" i="4"/>
  <c r="H60" i="8"/>
  <c r="N9" i="4"/>
  <c r="N60" i="4"/>
  <c r="K60" i="4"/>
  <c r="G10" i="29"/>
  <c r="H10" i="29" s="1"/>
  <c r="J10" i="29" s="1"/>
  <c r="K10" i="29" s="1"/>
  <c r="M10" i="29" s="1"/>
  <c r="N10" i="29" s="1"/>
  <c r="AL845" i="1"/>
  <c r="AR845" i="1" s="1"/>
  <c r="AR787" i="1"/>
  <c r="AR783" i="1"/>
  <c r="AR768" i="1"/>
  <c r="P894" i="27"/>
  <c r="P4" i="27"/>
  <c r="AR692" i="1"/>
  <c r="AR686" i="1"/>
  <c r="AR685" i="1"/>
  <c r="AR676" i="1"/>
  <c r="W905" i="1"/>
  <c r="AR822" i="1"/>
  <c r="AR792" i="1"/>
  <c r="AR739" i="1"/>
  <c r="AR732" i="1"/>
  <c r="AR706" i="1"/>
  <c r="AN173" i="1"/>
  <c r="R890" i="26"/>
  <c r="R13" i="26" s="1"/>
  <c r="R894" i="26"/>
  <c r="R4" i="26"/>
  <c r="T888" i="26"/>
  <c r="T894" i="26" s="1"/>
  <c r="T4" i="26" s="1"/>
  <c r="O890" i="26"/>
  <c r="O13" i="26" s="1"/>
  <c r="P892" i="26"/>
  <c r="P2" i="26"/>
  <c r="AL217" i="1"/>
  <c r="AL198" i="1"/>
  <c r="AR198" i="1" s="1"/>
  <c r="N551" i="26"/>
  <c r="AR720" i="1"/>
  <c r="AR702" i="1"/>
  <c r="AR700" i="1"/>
  <c r="AR678" i="1"/>
  <c r="AR677" i="1"/>
  <c r="AR660" i="1"/>
  <c r="AR630" i="1"/>
  <c r="AR629" i="1"/>
  <c r="AR628" i="1"/>
  <c r="AR624" i="1"/>
  <c r="AR614" i="1"/>
  <c r="AR612" i="1"/>
  <c r="AR611" i="1"/>
  <c r="AR596" i="1"/>
  <c r="AR586" i="1"/>
  <c r="AR582" i="1"/>
  <c r="AR573" i="1"/>
  <c r="AR536" i="1"/>
  <c r="AR526" i="1"/>
  <c r="AR525" i="1"/>
  <c r="AR494" i="1"/>
  <c r="AR460" i="1"/>
  <c r="AR442" i="1"/>
  <c r="AR418" i="1"/>
  <c r="AR396" i="1"/>
  <c r="AR394" i="1"/>
  <c r="AR242" i="1"/>
  <c r="N562" i="26"/>
  <c r="N563" i="26"/>
  <c r="AR73" i="1"/>
  <c r="AL24" i="1"/>
  <c r="AR24" i="1" s="1"/>
  <c r="S888" i="25"/>
  <c r="AR659" i="1"/>
  <c r="AR638" i="1"/>
  <c r="AL120" i="1"/>
  <c r="AL67" i="1"/>
  <c r="AR67" i="1"/>
  <c r="AL56" i="1"/>
  <c r="AR817" i="1"/>
  <c r="AR802" i="1"/>
  <c r="AR703" i="1"/>
  <c r="AR697" i="1"/>
  <c r="AR696" i="1"/>
  <c r="AR626" i="1"/>
  <c r="AR621" i="1"/>
  <c r="AR598" i="1"/>
  <c r="AR290" i="1"/>
  <c r="AL277" i="1"/>
  <c r="AR740" i="1"/>
  <c r="AR737" i="1"/>
  <c r="AR736" i="1"/>
  <c r="AR710" i="1"/>
  <c r="AR662" i="1"/>
  <c r="AR652" i="1"/>
  <c r="AR651" i="1"/>
  <c r="AR645" i="1"/>
  <c r="AR592" i="1"/>
  <c r="AR584" i="1"/>
  <c r="AR578" i="1"/>
  <c r="AR574" i="1"/>
  <c r="AR572" i="1"/>
  <c r="AR558" i="1"/>
  <c r="AR552" i="1"/>
  <c r="AR550" i="1"/>
  <c r="AR544" i="1"/>
  <c r="AR518" i="1"/>
  <c r="AR504" i="1"/>
  <c r="AL271" i="1"/>
  <c r="AR488" i="1"/>
  <c r="AR483" i="1"/>
  <c r="AR464" i="1"/>
  <c r="AR452" i="1"/>
  <c r="AR444" i="1"/>
  <c r="AR426" i="1"/>
  <c r="AR420" i="1"/>
  <c r="AR414" i="1"/>
  <c r="AR392" i="1"/>
  <c r="AL22" i="1"/>
  <c r="AR22" i="1" s="1"/>
  <c r="AL252" i="1"/>
  <c r="AR252" i="1"/>
  <c r="AL220" i="1"/>
  <c r="AR220" i="1" s="1"/>
  <c r="AL17" i="1"/>
  <c r="AL15" i="1"/>
  <c r="AR15" i="1" s="1"/>
  <c r="P894" i="20"/>
  <c r="P4" i="20"/>
  <c r="AL366" i="1"/>
  <c r="AR366" i="1" s="1"/>
  <c r="AK867" i="1"/>
  <c r="AR867" i="1" s="1"/>
  <c r="AR823" i="1"/>
  <c r="AR819" i="1"/>
  <c r="AR806" i="1"/>
  <c r="AR803" i="1"/>
  <c r="AR801" i="1"/>
  <c r="AR798" i="1"/>
  <c r="AR794" i="1"/>
  <c r="AR790" i="1"/>
  <c r="AR788" i="1"/>
  <c r="AR780" i="1"/>
  <c r="AR778" i="1"/>
  <c r="AR770" i="1"/>
  <c r="AR769" i="1"/>
  <c r="AR766" i="1"/>
  <c r="AR762" i="1"/>
  <c r="AR758" i="1"/>
  <c r="AR754" i="1"/>
  <c r="AR750" i="1"/>
  <c r="AR746" i="1"/>
  <c r="AR742" i="1"/>
  <c r="AR738" i="1"/>
  <c r="AR734" i="1"/>
  <c r="AR730" i="1"/>
  <c r="AR726" i="1"/>
  <c r="AR724" i="1"/>
  <c r="AR722" i="1"/>
  <c r="AR718" i="1"/>
  <c r="AR712" i="1"/>
  <c r="AR708" i="1"/>
  <c r="AR704" i="1"/>
  <c r="AR701" i="1"/>
  <c r="AR695" i="1"/>
  <c r="AR683" i="1"/>
  <c r="AR679" i="1"/>
  <c r="AR666" i="1"/>
  <c r="AR663" i="1"/>
  <c r="AR658" i="1"/>
  <c r="AR656" i="1"/>
  <c r="AR653" i="1"/>
  <c r="AR650" i="1"/>
  <c r="AR644" i="1"/>
  <c r="AR643" i="1"/>
  <c r="AR636" i="1"/>
  <c r="AR632" i="1"/>
  <c r="AR631" i="1"/>
  <c r="AR623" i="1"/>
  <c r="AR616" i="1"/>
  <c r="AR613" i="1"/>
  <c r="AR609" i="1"/>
  <c r="AR570" i="1"/>
  <c r="AR568" i="1"/>
  <c r="AR566" i="1"/>
  <c r="AR560" i="1"/>
  <c r="AR534" i="1"/>
  <c r="AR523" i="1"/>
  <c r="AL382" i="1"/>
  <c r="AL380" i="1"/>
  <c r="AR380" i="1"/>
  <c r="AL365" i="1"/>
  <c r="AR365" i="1" s="1"/>
  <c r="AR474" i="1"/>
  <c r="AR470" i="1"/>
  <c r="AR466" i="1"/>
  <c r="AR462" i="1"/>
  <c r="AR458" i="1"/>
  <c r="AR454" i="1"/>
  <c r="AR450" i="1"/>
  <c r="AR446" i="1"/>
  <c r="AR440" i="1"/>
  <c r="AR430" i="1"/>
  <c r="AR422" i="1"/>
  <c r="AR412" i="1"/>
  <c r="AL345" i="1"/>
  <c r="AL327" i="1"/>
  <c r="AL281" i="1"/>
  <c r="AL275" i="1"/>
  <c r="AL273" i="1"/>
  <c r="AL270" i="1"/>
  <c r="AR270" i="1" s="1"/>
  <c r="AL211" i="1"/>
  <c r="AL207" i="1"/>
  <c r="AL203" i="1"/>
  <c r="AL199" i="1"/>
  <c r="AL193" i="1"/>
  <c r="AL182" i="1"/>
  <c r="AR63" i="1"/>
  <c r="AL60" i="1"/>
  <c r="AR58" i="1"/>
  <c r="G82" i="7"/>
  <c r="G39" i="7" s="1"/>
  <c r="AL842" i="1"/>
  <c r="AR842" i="1" s="1"/>
  <c r="AN579" i="1"/>
  <c r="AN575" i="1"/>
  <c r="AN573" i="1"/>
  <c r="AM571" i="1"/>
  <c r="AL367" i="1"/>
  <c r="AR367" i="1" s="1"/>
  <c r="AR361" i="1"/>
  <c r="AR353" i="1"/>
  <c r="AK345" i="1"/>
  <c r="AR345" i="1" s="1"/>
  <c r="AR335" i="1"/>
  <c r="AL328" i="1"/>
  <c r="AK327" i="1"/>
  <c r="AR327" i="1" s="1"/>
  <c r="AL322" i="1"/>
  <c r="AR322" i="1" s="1"/>
  <c r="AK320" i="1"/>
  <c r="AK318" i="1"/>
  <c r="AR318" i="1"/>
  <c r="AK316" i="1"/>
  <c r="AR316" i="1" s="1"/>
  <c r="AR315" i="1"/>
  <c r="AK314" i="1"/>
  <c r="AR314" i="1" s="1"/>
  <c r="AR313" i="1"/>
  <c r="AK312" i="1"/>
  <c r="AR312" i="1" s="1"/>
  <c r="AK308" i="1"/>
  <c r="AK306" i="1"/>
  <c r="AR306" i="1" s="1"/>
  <c r="AK304" i="1"/>
  <c r="AR303" i="1"/>
  <c r="AK302" i="1"/>
  <c r="AR302" i="1" s="1"/>
  <c r="AK300" i="1"/>
  <c r="AR300" i="1" s="1"/>
  <c r="AK298" i="1"/>
  <c r="AR298" i="1" s="1"/>
  <c r="AK296" i="1"/>
  <c r="AR296" i="1"/>
  <c r="AK294" i="1"/>
  <c r="AR294" i="1" s="1"/>
  <c r="AK275" i="1"/>
  <c r="AK268" i="1"/>
  <c r="AR268" i="1"/>
  <c r="AL267" i="1"/>
  <c r="AR267" i="1" s="1"/>
  <c r="AL263" i="1"/>
  <c r="AR263" i="1"/>
  <c r="AL259" i="1"/>
  <c r="AR259" i="1" s="1"/>
  <c r="AL251" i="1"/>
  <c r="AR251" i="1" s="1"/>
  <c r="AK250" i="1"/>
  <c r="AR250" i="1" s="1"/>
  <c r="AK248" i="1"/>
  <c r="AR248" i="1" s="1"/>
  <c r="AR247" i="1"/>
  <c r="AK246" i="1"/>
  <c r="AR246" i="1" s="1"/>
  <c r="AK240" i="1"/>
  <c r="AR240" i="1" s="1"/>
  <c r="AL235" i="1"/>
  <c r="AL227" i="1"/>
  <c r="AL218" i="1"/>
  <c r="AL210" i="1"/>
  <c r="AL206" i="1"/>
  <c r="AL202" i="1"/>
  <c r="AK196" i="1"/>
  <c r="AR196" i="1" s="1"/>
  <c r="AR159" i="1"/>
  <c r="AL885" i="1"/>
  <c r="AR885" i="1"/>
  <c r="AR881" i="1"/>
  <c r="AR879" i="1"/>
  <c r="AL870" i="1"/>
  <c r="AR870" i="1"/>
  <c r="AL868" i="1"/>
  <c r="AR868" i="1" s="1"/>
  <c r="AR849" i="1"/>
  <c r="AK841" i="1"/>
  <c r="AR841" i="1"/>
  <c r="AK839" i="1"/>
  <c r="AR839" i="1" s="1"/>
  <c r="AK837" i="1"/>
  <c r="AR837" i="1"/>
  <c r="AR826" i="1"/>
  <c r="AR816" i="1"/>
  <c r="AR810" i="1"/>
  <c r="AR761" i="1"/>
  <c r="AR759" i="1"/>
  <c r="AR749" i="1"/>
  <c r="AR741" i="1"/>
  <c r="AR715" i="1"/>
  <c r="AR713" i="1"/>
  <c r="AR707" i="1"/>
  <c r="AR690" i="1"/>
  <c r="AR688" i="1"/>
  <c r="AR682" i="1"/>
  <c r="AR680" i="1"/>
  <c r="AR674" i="1"/>
  <c r="AR672" i="1"/>
  <c r="AR665" i="1"/>
  <c r="AR654" i="1"/>
  <c r="AR640" i="1"/>
  <c r="AR620" i="1"/>
  <c r="AR608" i="1"/>
  <c r="AR607" i="1"/>
  <c r="AR602" i="1"/>
  <c r="AR564" i="1"/>
  <c r="AR562" i="1"/>
  <c r="AR538" i="1"/>
  <c r="AR524" i="1"/>
  <c r="AR522" i="1"/>
  <c r="AR516" i="1"/>
  <c r="AR514" i="1"/>
  <c r="AR506" i="1"/>
  <c r="AR498" i="1"/>
  <c r="AR492" i="1"/>
  <c r="AR490" i="1"/>
  <c r="AR482" i="1"/>
  <c r="AR410" i="1"/>
  <c r="AR404" i="1"/>
  <c r="AK382" i="1"/>
  <c r="AL381" i="1"/>
  <c r="AR369" i="1"/>
  <c r="AK364" i="1"/>
  <c r="AR364" i="1" s="1"/>
  <c r="AK362" i="1"/>
  <c r="AR362" i="1" s="1"/>
  <c r="AK360" i="1"/>
  <c r="AK358" i="1"/>
  <c r="AR358" i="1" s="1"/>
  <c r="AK356" i="1"/>
  <c r="AK354" i="1"/>
  <c r="AK352" i="1"/>
  <c r="AR352" i="1" s="1"/>
  <c r="AK350" i="1"/>
  <c r="AK346" i="1"/>
  <c r="AR346" i="1" s="1"/>
  <c r="AL344" i="1"/>
  <c r="AR344" i="1" s="1"/>
  <c r="AR343" i="1"/>
  <c r="AK337" i="1"/>
  <c r="AK334" i="1"/>
  <c r="AR334" i="1"/>
  <c r="AK332" i="1"/>
  <c r="AR332" i="1" s="1"/>
  <c r="AL330" i="1"/>
  <c r="AK329" i="1"/>
  <c r="AK326" i="1"/>
  <c r="AR326" i="1" s="1"/>
  <c r="AK288" i="1"/>
  <c r="AR288" i="1" s="1"/>
  <c r="AL280" i="1"/>
  <c r="AR280" i="1" s="1"/>
  <c r="AL276" i="1"/>
  <c r="AR276" i="1" s="1"/>
  <c r="AL272" i="1"/>
  <c r="AR258" i="1"/>
  <c r="AK217" i="1"/>
  <c r="AK209" i="1"/>
  <c r="AR209" i="1" s="1"/>
  <c r="AK205" i="1"/>
  <c r="AR205" i="1" s="1"/>
  <c r="AK201" i="1"/>
  <c r="AR201" i="1" s="1"/>
  <c r="AR855" i="1"/>
  <c r="AR668" i="1"/>
  <c r="G76" i="7"/>
  <c r="AL282" i="1"/>
  <c r="AR282" i="1"/>
  <c r="AK281" i="1"/>
  <c r="AR281" i="1" s="1"/>
  <c r="AL278" i="1"/>
  <c r="AK277" i="1"/>
  <c r="AL274" i="1"/>
  <c r="AR274" i="1"/>
  <c r="AK273" i="1"/>
  <c r="AR273" i="1" s="1"/>
  <c r="AL265" i="1"/>
  <c r="AR265" i="1"/>
  <c r="AL261" i="1"/>
  <c r="AL257" i="1"/>
  <c r="AR257" i="1" s="1"/>
  <c r="AR253" i="1"/>
  <c r="AR243" i="1"/>
  <c r="AL237" i="1"/>
  <c r="AR237" i="1" s="1"/>
  <c r="AL233" i="1"/>
  <c r="AR233" i="1" s="1"/>
  <c r="AL225" i="1"/>
  <c r="AR225" i="1" s="1"/>
  <c r="AR221" i="1"/>
  <c r="AL216" i="1"/>
  <c r="AL212" i="1"/>
  <c r="AL208" i="1"/>
  <c r="AK207" i="1"/>
  <c r="AR207" i="1" s="1"/>
  <c r="AL204" i="1"/>
  <c r="H81" i="4"/>
  <c r="AL200" i="1"/>
  <c r="AR200" i="1" s="1"/>
  <c r="AL195" i="1"/>
  <c r="AR195" i="1" s="1"/>
  <c r="AR161" i="1"/>
  <c r="H31" i="4"/>
  <c r="H31" i="8"/>
  <c r="H34" i="8" s="1"/>
  <c r="H86" i="4"/>
  <c r="H86" i="8" s="1"/>
  <c r="N86" i="8" s="1"/>
  <c r="AK193" i="1"/>
  <c r="AK191" i="1"/>
  <c r="AL184" i="1"/>
  <c r="AR184" i="1" s="1"/>
  <c r="AL181" i="1"/>
  <c r="AK180" i="1"/>
  <c r="AR180" i="1" s="1"/>
  <c r="AK176" i="1"/>
  <c r="AL183" i="1"/>
  <c r="AK182" i="1"/>
  <c r="AL179" i="1"/>
  <c r="AK178" i="1"/>
  <c r="AL174" i="1"/>
  <c r="AR174" i="1" s="1"/>
  <c r="AR172" i="1"/>
  <c r="AS163" i="1"/>
  <c r="AK160" i="1"/>
  <c r="AS159" i="1"/>
  <c r="AR158" i="1"/>
  <c r="AS157" i="1"/>
  <c r="AR156" i="1"/>
  <c r="AS155" i="1"/>
  <c r="AR152" i="1"/>
  <c r="H78" i="4"/>
  <c r="H78" i="8"/>
  <c r="AL150" i="1"/>
  <c r="AR150" i="1" s="1"/>
  <c r="AL146" i="1"/>
  <c r="AR146" i="1"/>
  <c r="AL142" i="1"/>
  <c r="AR142" i="1" s="1"/>
  <c r="AL140" i="1"/>
  <c r="AR140" i="1" s="1"/>
  <c r="AL132" i="1"/>
  <c r="AR132" i="1" s="1"/>
  <c r="AL130" i="1"/>
  <c r="AR130" i="1" s="1"/>
  <c r="AL128" i="1"/>
  <c r="AR128" i="1" s="1"/>
  <c r="AR126" i="1"/>
  <c r="AL122" i="1"/>
  <c r="AR122" i="1" s="1"/>
  <c r="AL121" i="1"/>
  <c r="H85" i="4"/>
  <c r="H85" i="8"/>
  <c r="H80" i="4"/>
  <c r="AR87" i="1"/>
  <c r="AL66" i="1"/>
  <c r="AL64" i="1"/>
  <c r="AR62" i="1"/>
  <c r="AL61" i="1"/>
  <c r="AL59" i="1"/>
  <c r="AR59" i="1"/>
  <c r="AL57" i="1"/>
  <c r="AR101" i="1"/>
  <c r="AL26" i="1"/>
  <c r="AR26" i="1" s="1"/>
  <c r="AL19" i="1"/>
  <c r="AR19" i="1"/>
  <c r="H17" i="4"/>
  <c r="H17" i="8" s="1"/>
  <c r="N17" i="8" s="1"/>
  <c r="H13" i="4"/>
  <c r="H13" i="8"/>
  <c r="N13" i="8" s="1"/>
  <c r="AL25" i="1"/>
  <c r="AL14" i="1"/>
  <c r="P894" i="26"/>
  <c r="P4" i="26"/>
  <c r="S888" i="26"/>
  <c r="AM804" i="1"/>
  <c r="AN802" i="1"/>
  <c r="AM801" i="1"/>
  <c r="AN800" i="1"/>
  <c r="AM799" i="1"/>
  <c r="AN827" i="1"/>
  <c r="AN826" i="1"/>
  <c r="AM825" i="1"/>
  <c r="AN824" i="1"/>
  <c r="AM823" i="1"/>
  <c r="AM820" i="1"/>
  <c r="AN818" i="1"/>
  <c r="AS818" i="1" s="1"/>
  <c r="AM817" i="1"/>
  <c r="AN816" i="1"/>
  <c r="AM815" i="1"/>
  <c r="AM814" i="1"/>
  <c r="AS814" i="1" s="1"/>
  <c r="AN810" i="1"/>
  <c r="AM809" i="1"/>
  <c r="AM807" i="1"/>
  <c r="AM798" i="1"/>
  <c r="AN769" i="1"/>
  <c r="AN767" i="1"/>
  <c r="AN766" i="1"/>
  <c r="AM765" i="1"/>
  <c r="AS765" i="1" s="1"/>
  <c r="AN764" i="1"/>
  <c r="AM763" i="1"/>
  <c r="AN797" i="1"/>
  <c r="AM796" i="1"/>
  <c r="AS796" i="1" s="1"/>
  <c r="AN794" i="1"/>
  <c r="AM793" i="1"/>
  <c r="AN792" i="1"/>
  <c r="AM791" i="1"/>
  <c r="AM788" i="1"/>
  <c r="AN786" i="1"/>
  <c r="AM785" i="1"/>
  <c r="AN784" i="1"/>
  <c r="AM783" i="1"/>
  <c r="AN781" i="1"/>
  <c r="AN778" i="1"/>
  <c r="AM777" i="1"/>
  <c r="AN774" i="1"/>
  <c r="AM773" i="1"/>
  <c r="AS773" i="1" s="1"/>
  <c r="AN772" i="1"/>
  <c r="AM771" i="1"/>
  <c r="AS771" i="1" s="1"/>
  <c r="AM760" i="1"/>
  <c r="AN758" i="1"/>
  <c r="AM757" i="1"/>
  <c r="AS757" i="1" s="1"/>
  <c r="AN756" i="1"/>
  <c r="AM755" i="1"/>
  <c r="AS755" i="1" s="1"/>
  <c r="AM752" i="1"/>
  <c r="AN751" i="1"/>
  <c r="AS751" i="1" s="1"/>
  <c r="AM750" i="1"/>
  <c r="AM747" i="1"/>
  <c r="AN746" i="1"/>
  <c r="AM742" i="1"/>
  <c r="AS742" i="1" s="1"/>
  <c r="AM740" i="1"/>
  <c r="AM739" i="1"/>
  <c r="AM737" i="1"/>
  <c r="AN736" i="1"/>
  <c r="AN735" i="1"/>
  <c r="AM731" i="1"/>
  <c r="AM729" i="1"/>
  <c r="AM724" i="1"/>
  <c r="AS724" i="1" s="1"/>
  <c r="AM721" i="1"/>
  <c r="AN720" i="1"/>
  <c r="AM719" i="1"/>
  <c r="AN718" i="1"/>
  <c r="AS718" i="1" s="1"/>
  <c r="AM717" i="1"/>
  <c r="AM715" i="1"/>
  <c r="AS715" i="1" s="1"/>
  <c r="AM714" i="1"/>
  <c r="AM712" i="1"/>
  <c r="AS712" i="1" s="1"/>
  <c r="AN710" i="1"/>
  <c r="AM709" i="1"/>
  <c r="AM707" i="1"/>
  <c r="AM706" i="1"/>
  <c r="AS706" i="1" s="1"/>
  <c r="AN704" i="1"/>
  <c r="AM700" i="1"/>
  <c r="AN698" i="1"/>
  <c r="AM697" i="1"/>
  <c r="AS697" i="1" s="1"/>
  <c r="AN696" i="1"/>
  <c r="AM695" i="1"/>
  <c r="AS695" i="1" s="1"/>
  <c r="AM694" i="1"/>
  <c r="AN693" i="1"/>
  <c r="AN691" i="1"/>
  <c r="AN690" i="1"/>
  <c r="AM689" i="1"/>
  <c r="AN688" i="1"/>
  <c r="AS688" i="1" s="1"/>
  <c r="AM686" i="1"/>
  <c r="AM684" i="1"/>
  <c r="AN682" i="1"/>
  <c r="AM681" i="1"/>
  <c r="AS681" i="1" s="1"/>
  <c r="AN680" i="1"/>
  <c r="AM678" i="1"/>
  <c r="AN677" i="1"/>
  <c r="AM676" i="1"/>
  <c r="AS676" i="1" s="1"/>
  <c r="AN675" i="1"/>
  <c r="AM673" i="1"/>
  <c r="AS673" i="1"/>
  <c r="AN672" i="1"/>
  <c r="AS672" i="1" s="1"/>
  <c r="AM671" i="1"/>
  <c r="AM670" i="1"/>
  <c r="AM669" i="1"/>
  <c r="AN661" i="1"/>
  <c r="AS661" i="1" s="1"/>
  <c r="AN653" i="1"/>
  <c r="AN626" i="1"/>
  <c r="AN624" i="1"/>
  <c r="AN623" i="1"/>
  <c r="AS623" i="1" s="1"/>
  <c r="AN621" i="1"/>
  <c r="AN606" i="1"/>
  <c r="AN602" i="1"/>
  <c r="AM666" i="1"/>
  <c r="AS666" i="1" s="1"/>
  <c r="AN665" i="1"/>
  <c r="AN664" i="1"/>
  <c r="AM663" i="1"/>
  <c r="AS663" i="1"/>
  <c r="AN662" i="1"/>
  <c r="AM661" i="1"/>
  <c r="AM660" i="1"/>
  <c r="AN659" i="1"/>
  <c r="AS659" i="1" s="1"/>
  <c r="AM658" i="1"/>
  <c r="AN657" i="1"/>
  <c r="AN656" i="1"/>
  <c r="AM655" i="1"/>
  <c r="AN654" i="1"/>
  <c r="AM653" i="1"/>
  <c r="AM652" i="1"/>
  <c r="AN651" i="1"/>
  <c r="AS651" i="1" s="1"/>
  <c r="AM650" i="1"/>
  <c r="AN649" i="1"/>
  <c r="AN648" i="1"/>
  <c r="AM647" i="1"/>
  <c r="AS647" i="1" s="1"/>
  <c r="AN646" i="1"/>
  <c r="AM645" i="1"/>
  <c r="AM644" i="1"/>
  <c r="AN643" i="1"/>
  <c r="AS643" i="1" s="1"/>
  <c r="AM642" i="1"/>
  <c r="AS642" i="1" s="1"/>
  <c r="AM639" i="1"/>
  <c r="AN638" i="1"/>
  <c r="AM637" i="1"/>
  <c r="AM635" i="1"/>
  <c r="AN631" i="1"/>
  <c r="AM630" i="1"/>
  <c r="AS630" i="1" s="1"/>
  <c r="AN629" i="1"/>
  <c r="AS629" i="1" s="1"/>
  <c r="AM628" i="1"/>
  <c r="AN627" i="1"/>
  <c r="AN625" i="1"/>
  <c r="AM624" i="1"/>
  <c r="AS624" i="1" s="1"/>
  <c r="AM623" i="1"/>
  <c r="AN622" i="1"/>
  <c r="AM621" i="1"/>
  <c r="AS621" i="1" s="1"/>
  <c r="AN620" i="1"/>
  <c r="AS620" i="1" s="1"/>
  <c r="AM619" i="1"/>
  <c r="AN618" i="1"/>
  <c r="AS618" i="1" s="1"/>
  <c r="AN617" i="1"/>
  <c r="AM616" i="1"/>
  <c r="AS616" i="1" s="1"/>
  <c r="AN615" i="1"/>
  <c r="AS615" i="1" s="1"/>
  <c r="AM614" i="1"/>
  <c r="AN613" i="1"/>
  <c r="AS613" i="1" s="1"/>
  <c r="AM612" i="1"/>
  <c r="AN611" i="1"/>
  <c r="AM610" i="1"/>
  <c r="AS610" i="1" s="1"/>
  <c r="AN609" i="1"/>
  <c r="AN607" i="1"/>
  <c r="AS607" i="1" s="1"/>
  <c r="AM606" i="1"/>
  <c r="AS606" i="1" s="1"/>
  <c r="AN605" i="1"/>
  <c r="AS605" i="1" s="1"/>
  <c r="AN600" i="1"/>
  <c r="AM599" i="1"/>
  <c r="AN598" i="1"/>
  <c r="AM597" i="1"/>
  <c r="AN595" i="1"/>
  <c r="AN593" i="1"/>
  <c r="AN591" i="1"/>
  <c r="AN589" i="1"/>
  <c r="AS589" i="1" s="1"/>
  <c r="AN585" i="1"/>
  <c r="AN584" i="1"/>
  <c r="AM583" i="1"/>
  <c r="AN582" i="1"/>
  <c r="AM581" i="1"/>
  <c r="AS581" i="1" s="1"/>
  <c r="AN564" i="1"/>
  <c r="AN563" i="1"/>
  <c r="AN562" i="1"/>
  <c r="AN561" i="1"/>
  <c r="AN560" i="1"/>
  <c r="AM559" i="1"/>
  <c r="AS559" i="1"/>
  <c r="AM557" i="1"/>
  <c r="AN555" i="1"/>
  <c r="AM553" i="1"/>
  <c r="AN541" i="1"/>
  <c r="AN540" i="1"/>
  <c r="AM539" i="1"/>
  <c r="AN538" i="1"/>
  <c r="AM537" i="1"/>
  <c r="AS537" i="1" s="1"/>
  <c r="AM551" i="1"/>
  <c r="AN549" i="1"/>
  <c r="AS549" i="1"/>
  <c r="AN548" i="1"/>
  <c r="AM547" i="1"/>
  <c r="AM545" i="1"/>
  <c r="AN535" i="1"/>
  <c r="AN533" i="1"/>
  <c r="AS533" i="1" s="1"/>
  <c r="AM531" i="1"/>
  <c r="AM529" i="1"/>
  <c r="AN527" i="1"/>
  <c r="AN525" i="1"/>
  <c r="AS525" i="1" s="1"/>
  <c r="AN524" i="1"/>
  <c r="AM523" i="1"/>
  <c r="AS523" i="1"/>
  <c r="AN522" i="1"/>
  <c r="AM521" i="1"/>
  <c r="AN516" i="1"/>
  <c r="AM515" i="1"/>
  <c r="AN514" i="1"/>
  <c r="AM513" i="1"/>
  <c r="AN511" i="1"/>
  <c r="AN509" i="1"/>
  <c r="AN508" i="1"/>
  <c r="AN506" i="1"/>
  <c r="AM505" i="1"/>
  <c r="AN503" i="1"/>
  <c r="AN501" i="1"/>
  <c r="AN500" i="1"/>
  <c r="AM499" i="1"/>
  <c r="AN498" i="1"/>
  <c r="AM497" i="1"/>
  <c r="AN495" i="1"/>
  <c r="AN493" i="1"/>
  <c r="AN492" i="1"/>
  <c r="AS492" i="1" s="1"/>
  <c r="AM491" i="1"/>
  <c r="AM489" i="1"/>
  <c r="AN487" i="1"/>
  <c r="AN485" i="1"/>
  <c r="AN484" i="1"/>
  <c r="AM483" i="1"/>
  <c r="AN482" i="1"/>
  <c r="AM481" i="1"/>
  <c r="AN475" i="1"/>
  <c r="AN473" i="1"/>
  <c r="AN472" i="1"/>
  <c r="AM471" i="1"/>
  <c r="AN470" i="1"/>
  <c r="AN479" i="1"/>
  <c r="AN477" i="1"/>
  <c r="AN476" i="1"/>
  <c r="AN441" i="1"/>
  <c r="AN440" i="1"/>
  <c r="AM439" i="1"/>
  <c r="AN438" i="1"/>
  <c r="AM437" i="1"/>
  <c r="AM469" i="1"/>
  <c r="AN467" i="1"/>
  <c r="AN465" i="1"/>
  <c r="AN463" i="1"/>
  <c r="AN461" i="1"/>
  <c r="AN460" i="1"/>
  <c r="AM459" i="1"/>
  <c r="AN458" i="1"/>
  <c r="AM457" i="1"/>
  <c r="AN455" i="1"/>
  <c r="AN452" i="1"/>
  <c r="AM451" i="1"/>
  <c r="AS451" i="1" s="1"/>
  <c r="AN450" i="1"/>
  <c r="AM449" i="1"/>
  <c r="AM445" i="1"/>
  <c r="AS445" i="1" s="1"/>
  <c r="AN435" i="1"/>
  <c r="AS435" i="1" s="1"/>
  <c r="AN433" i="1"/>
  <c r="AN432" i="1"/>
  <c r="AM431" i="1"/>
  <c r="AN430" i="1"/>
  <c r="AM429" i="1"/>
  <c r="AN427" i="1"/>
  <c r="AN425" i="1"/>
  <c r="AN424" i="1"/>
  <c r="AM423" i="1"/>
  <c r="AN422" i="1"/>
  <c r="AM421" i="1"/>
  <c r="AS421" i="1" s="1"/>
  <c r="AN419" i="1"/>
  <c r="AN417" i="1"/>
  <c r="AN414" i="1"/>
  <c r="AM413" i="1"/>
  <c r="AN411" i="1"/>
  <c r="AS411" i="1" s="1"/>
  <c r="AM401" i="1"/>
  <c r="AN400" i="1"/>
  <c r="AM399" i="1"/>
  <c r="AS399" i="1" s="1"/>
  <c r="AN394" i="1"/>
  <c r="AN389" i="1"/>
  <c r="AN387" i="1"/>
  <c r="AN386" i="1"/>
  <c r="AN384" i="1"/>
  <c r="AR17" i="1"/>
  <c r="N552" i="26"/>
  <c r="AA901" i="1"/>
  <c r="AR381" i="1"/>
  <c r="AR348" i="1"/>
  <c r="AR350" i="1"/>
  <c r="AR308" i="1"/>
  <c r="AR320" i="1"/>
  <c r="N563" i="27"/>
  <c r="N552" i="20"/>
  <c r="N99" i="29"/>
  <c r="AA75" i="31"/>
  <c r="AA81" i="31"/>
  <c r="AA199" i="31"/>
  <c r="AA209" i="31"/>
  <c r="AA213" i="31"/>
  <c r="AA241" i="31"/>
  <c r="AA200" i="31"/>
  <c r="AA204" i="31"/>
  <c r="AA206" i="31"/>
  <c r="AA210" i="31"/>
  <c r="AA212" i="31"/>
  <c r="N184" i="31"/>
  <c r="A196" i="31"/>
  <c r="A197" i="31"/>
  <c r="N197" i="31"/>
  <c r="AA342" i="31"/>
  <c r="AA440" i="31"/>
  <c r="AA432" i="31"/>
  <c r="AA415" i="31"/>
  <c r="AA272" i="31"/>
  <c r="AA264" i="31"/>
  <c r="AA193" i="31"/>
  <c r="AA169" i="31"/>
  <c r="AA165" i="31"/>
  <c r="AA153" i="31"/>
  <c r="AA149" i="31"/>
  <c r="AA137" i="31"/>
  <c r="AA133" i="31"/>
  <c r="AA121" i="31"/>
  <c r="AA117" i="31"/>
  <c r="AA105" i="31"/>
  <c r="AA101" i="31"/>
  <c r="AA89" i="31"/>
  <c r="AA250" i="31"/>
  <c r="AA246" i="31"/>
  <c r="AA242" i="31"/>
  <c r="AA232" i="31"/>
  <c r="AA185" i="31"/>
  <c r="AA80" i="31"/>
  <c r="AA74" i="31"/>
  <c r="AA78" i="31"/>
  <c r="AA371" i="31"/>
  <c r="AA332" i="31"/>
  <c r="AA328" i="31"/>
  <c r="AA316" i="31"/>
  <c r="AA312" i="31"/>
  <c r="AA296" i="31"/>
  <c r="AA292" i="31"/>
  <c r="AA280" i="31"/>
  <c r="AA276" i="31"/>
  <c r="AA457" i="31"/>
  <c r="AA449" i="31"/>
  <c r="AA413" i="31"/>
  <c r="AA405" i="31"/>
  <c r="AA397" i="31"/>
  <c r="AA341" i="31"/>
  <c r="AA366" i="31"/>
  <c r="AA354" i="31"/>
  <c r="AA384" i="31"/>
  <c r="AA317" i="31"/>
  <c r="AA301" i="31"/>
  <c r="AA293" i="31"/>
  <c r="AA285" i="31"/>
  <c r="AA277" i="31"/>
  <c r="AA269" i="31"/>
  <c r="AA335" i="31"/>
  <c r="AA256" i="31"/>
  <c r="AA187" i="31"/>
  <c r="AA238" i="31"/>
  <c r="AA191" i="31"/>
  <c r="AA178" i="31"/>
  <c r="AA170" i="31"/>
  <c r="AA166" i="31"/>
  <c r="AA162" i="31"/>
  <c r="AA158" i="31"/>
  <c r="AA154" i="31"/>
  <c r="AA150" i="31"/>
  <c r="AA142" i="31"/>
  <c r="AA138" i="31"/>
  <c r="AA134" i="31"/>
  <c r="AA130" i="31"/>
  <c r="AA126" i="31"/>
  <c r="AA122" i="31"/>
  <c r="AA118" i="31"/>
  <c r="AA114" i="31"/>
  <c r="AA110" i="31"/>
  <c r="AA106" i="31"/>
  <c r="AA102" i="31"/>
  <c r="AA98" i="31"/>
  <c r="AA94" i="31"/>
  <c r="AA90" i="31"/>
  <c r="AA86" i="31"/>
  <c r="AA59" i="31"/>
  <c r="AA45" i="31"/>
  <c r="AA41" i="31"/>
  <c r="AA21" i="31"/>
  <c r="AA73" i="31"/>
  <c r="AA69" i="31"/>
  <c r="AA65" i="31"/>
  <c r="AA61" i="31"/>
  <c r="AA453" i="31"/>
  <c r="AA445" i="31"/>
  <c r="AA437" i="31"/>
  <c r="AA425" i="31"/>
  <c r="AA409" i="31"/>
  <c r="AA401" i="31"/>
  <c r="AA345" i="31"/>
  <c r="AA370" i="31"/>
  <c r="AA350" i="31"/>
  <c r="AA392" i="31"/>
  <c r="AA376" i="31"/>
  <c r="AA329" i="31"/>
  <c r="AA321" i="31"/>
  <c r="AA297" i="31"/>
  <c r="AA289" i="31"/>
  <c r="AA215" i="31"/>
  <c r="AA196" i="31"/>
  <c r="AA450" i="31"/>
  <c r="AA446" i="31"/>
  <c r="AA442" i="31"/>
  <c r="AA438" i="31"/>
  <c r="AA434" i="31"/>
  <c r="AA430" i="31"/>
  <c r="AA459" i="31"/>
  <c r="AA455" i="31"/>
  <c r="AA451" i="31"/>
  <c r="AA447" i="31"/>
  <c r="AA443" i="31"/>
  <c r="AA439" i="31"/>
  <c r="AA435" i="31"/>
  <c r="AA431" i="31"/>
  <c r="AA427" i="31"/>
  <c r="AA411" i="31"/>
  <c r="AA407" i="31"/>
  <c r="AA403" i="31"/>
  <c r="AA399" i="31"/>
  <c r="AA395" i="31"/>
  <c r="AA379" i="31"/>
  <c r="AA343" i="31"/>
  <c r="AA424" i="31"/>
  <c r="AA422" i="31"/>
  <c r="AA398" i="31"/>
  <c r="AA394" i="31"/>
  <c r="AA390" i="31"/>
  <c r="AA386" i="31"/>
  <c r="AA382" i="31"/>
  <c r="AA378" i="31"/>
  <c r="AA372" i="31"/>
  <c r="AA368" i="31"/>
  <c r="AA360" i="31"/>
  <c r="AA352" i="31"/>
  <c r="AA421" i="31"/>
  <c r="AA417" i="31"/>
  <c r="AA412" i="31"/>
  <c r="AA388" i="31"/>
  <c r="AA380" i="31"/>
  <c r="AA374" i="31"/>
  <c r="AA349" i="31"/>
  <c r="AA334" i="31"/>
  <c r="AA331" i="31"/>
  <c r="AA327" i="31"/>
  <c r="AA323" i="31"/>
  <c r="AA319" i="31"/>
  <c r="AA315" i="31"/>
  <c r="AA311" i="31"/>
  <c r="AA307" i="31"/>
  <c r="AA303" i="31"/>
  <c r="AA299" i="31"/>
  <c r="AA295" i="31"/>
  <c r="AA291" i="31"/>
  <c r="AA287" i="31"/>
  <c r="AA279" i="31"/>
  <c r="AA275" i="31"/>
  <c r="AA271" i="31"/>
  <c r="AA267" i="31"/>
  <c r="AA263" i="31"/>
  <c r="AA259" i="31"/>
  <c r="AA330" i="31"/>
  <c r="AA326" i="31"/>
  <c r="AA322" i="31"/>
  <c r="AA318" i="31"/>
  <c r="AA314" i="31"/>
  <c r="AA310" i="31"/>
  <c r="AA306" i="31"/>
  <c r="AA302" i="31"/>
  <c r="AA298" i="31"/>
  <c r="AA294" i="31"/>
  <c r="AA290" i="31"/>
  <c r="AA286" i="31"/>
  <c r="AA282" i="31"/>
  <c r="AA278" i="31"/>
  <c r="AA274" i="31"/>
  <c r="AA270" i="31"/>
  <c r="AA266" i="31"/>
  <c r="AA262" i="31"/>
  <c r="AA258" i="31"/>
  <c r="AA254" i="31"/>
  <c r="AA245" i="31"/>
  <c r="AA239" i="31"/>
  <c r="AA233" i="31"/>
  <c r="AA229" i="31"/>
  <c r="AA225" i="31"/>
  <c r="AA221" i="31"/>
  <c r="AA217" i="31"/>
  <c r="AA197" i="31"/>
  <c r="AA195" i="31"/>
  <c r="AA189" i="31"/>
  <c r="AA183" i="31"/>
  <c r="AA179" i="31"/>
  <c r="AA175" i="31"/>
  <c r="AA171" i="31"/>
  <c r="AA167" i="31"/>
  <c r="AA163" i="31"/>
  <c r="AA159" i="31"/>
  <c r="AA155" i="31"/>
  <c r="AA151" i="31"/>
  <c r="AA147" i="31"/>
  <c r="AA143" i="31"/>
  <c r="AA139" i="31"/>
  <c r="AA135" i="31"/>
  <c r="AA131" i="31"/>
  <c r="AA127" i="31"/>
  <c r="AA123" i="31"/>
  <c r="AA119" i="31"/>
  <c r="AA115" i="31"/>
  <c r="AA111" i="31"/>
  <c r="AA107" i="31"/>
  <c r="AA103" i="31"/>
  <c r="AA99" i="31"/>
  <c r="AA95" i="31"/>
  <c r="AA91" i="31"/>
  <c r="AA87" i="31"/>
  <c r="AA252" i="31"/>
  <c r="AA248" i="31"/>
  <c r="AA244" i="31"/>
  <c r="AA236" i="31"/>
  <c r="AA230" i="31"/>
  <c r="AA214" i="31"/>
  <c r="AA186" i="31"/>
  <c r="AA180" i="31"/>
  <c r="AA176" i="31"/>
  <c r="AA172" i="31"/>
  <c r="AA168" i="31"/>
  <c r="AA164" i="31"/>
  <c r="AA160" i="31"/>
  <c r="AA156" i="31"/>
  <c r="AA152" i="31"/>
  <c r="AA148" i="31"/>
  <c r="AA144" i="31"/>
  <c r="AA140" i="31"/>
  <c r="AA136" i="31"/>
  <c r="AA132" i="31"/>
  <c r="AA128" i="31"/>
  <c r="AA124" i="31"/>
  <c r="AA120" i="31"/>
  <c r="AA116" i="31"/>
  <c r="AA112" i="31"/>
  <c r="AA108" i="31"/>
  <c r="AA104" i="31"/>
  <c r="AA100" i="31"/>
  <c r="AA96" i="31"/>
  <c r="AA92" i="31"/>
  <c r="AA88" i="31"/>
  <c r="AA83" i="31"/>
  <c r="AA79" i="31"/>
  <c r="AA72" i="31"/>
  <c r="AA68" i="31"/>
  <c r="AA64" i="31"/>
  <c r="AA60" i="31"/>
  <c r="AA56" i="31"/>
  <c r="AA52" i="31"/>
  <c r="AA38" i="31"/>
  <c r="AA34" i="31"/>
  <c r="AA30" i="31"/>
  <c r="AA26" i="31"/>
  <c r="AA22" i="31"/>
  <c r="AA18" i="31"/>
  <c r="AA71" i="31"/>
  <c r="AA67" i="31"/>
  <c r="AA63" i="31"/>
  <c r="AA58" i="31"/>
  <c r="AA54" i="31"/>
  <c r="AA50" i="31"/>
  <c r="AA44" i="31"/>
  <c r="AA36" i="31"/>
  <c r="AA32" i="31"/>
  <c r="AA28" i="31"/>
  <c r="AA24" i="31"/>
  <c r="AA20" i="31"/>
  <c r="AA14" i="31"/>
  <c r="AA461" i="31"/>
  <c r="N79" i="29"/>
  <c r="D44" i="4"/>
  <c r="D44" i="8"/>
  <c r="AR342" i="1"/>
  <c r="AR331" i="1"/>
  <c r="AR297" i="1"/>
  <c r="AR230" i="1"/>
  <c r="AR374" i="1"/>
  <c r="AR355" i="1"/>
  <c r="J101" i="29"/>
  <c r="D92" i="29"/>
  <c r="D92" i="30" s="1"/>
  <c r="J57" i="29"/>
  <c r="J44" i="29"/>
  <c r="J44" i="30" s="1"/>
  <c r="J32" i="4"/>
  <c r="J32" i="8" s="1"/>
  <c r="AM866" i="1"/>
  <c r="AS866" i="1" s="1"/>
  <c r="AR434" i="1"/>
  <c r="AR432" i="1"/>
  <c r="J43" i="29"/>
  <c r="J43" i="30"/>
  <c r="J97" i="29"/>
  <c r="J97" i="30" s="1"/>
  <c r="J80" i="29"/>
  <c r="J80" i="30" s="1"/>
  <c r="D25" i="29"/>
  <c r="D25" i="30" s="1"/>
  <c r="D52" i="29"/>
  <c r="D52" i="30" s="1"/>
  <c r="A552" i="1"/>
  <c r="A553" i="1" s="1"/>
  <c r="N553" i="1" s="1"/>
  <c r="AJ553" i="1" s="1"/>
  <c r="N552" i="1"/>
  <c r="AJ552" i="1" s="1"/>
  <c r="AR548" i="1"/>
  <c r="D65" i="29"/>
  <c r="D65" i="30" s="1"/>
  <c r="AR468" i="1"/>
  <c r="J47" i="29"/>
  <c r="D32" i="4"/>
  <c r="D32" i="8" s="1"/>
  <c r="J31" i="4"/>
  <c r="J31" i="8" s="1"/>
  <c r="E34" i="4"/>
  <c r="D55" i="4"/>
  <c r="J93" i="30"/>
  <c r="J17" i="29"/>
  <c r="J17" i="30" s="1"/>
  <c r="J26" i="29"/>
  <c r="J26" i="30"/>
  <c r="D26" i="29"/>
  <c r="D26" i="30" s="1"/>
  <c r="D106" i="29"/>
  <c r="D106" i="30" s="1"/>
  <c r="J80" i="4"/>
  <c r="J81" i="4"/>
  <c r="J78" i="4"/>
  <c r="J78" i="8" s="1"/>
  <c r="J13" i="4"/>
  <c r="J13" i="8"/>
  <c r="J15" i="29"/>
  <c r="J15" i="30" s="1"/>
  <c r="J108" i="29"/>
  <c r="D107" i="29"/>
  <c r="J55" i="29"/>
  <c r="J46" i="29"/>
  <c r="J48" i="4"/>
  <c r="J48" i="8"/>
  <c r="D85" i="4"/>
  <c r="D85" i="8" s="1"/>
  <c r="D24" i="4"/>
  <c r="D24" i="8"/>
  <c r="J16" i="29"/>
  <c r="J16" i="30" s="1"/>
  <c r="J107" i="29"/>
  <c r="D60" i="29"/>
  <c r="D60" i="30" s="1"/>
  <c r="AR151" i="1"/>
  <c r="J24" i="4"/>
  <c r="J24" i="8" s="1"/>
  <c r="D16" i="4"/>
  <c r="D16" i="8"/>
  <c r="D64" i="4"/>
  <c r="E82" i="7"/>
  <c r="E39" i="7" s="1"/>
  <c r="T888" i="20"/>
  <c r="R894" i="25"/>
  <c r="R4" i="25" s="1"/>
  <c r="P892" i="27"/>
  <c r="P2" i="27"/>
  <c r="D79" i="4"/>
  <c r="D79" i="8" s="1"/>
  <c r="S888" i="20"/>
  <c r="H60" i="4"/>
  <c r="J45" i="29"/>
  <c r="J45" i="30" s="1"/>
  <c r="K52" i="29"/>
  <c r="K52" i="30" s="1"/>
  <c r="K46" i="29"/>
  <c r="AA339" i="31"/>
  <c r="S464" i="31"/>
  <c r="E90" i="29"/>
  <c r="N559" i="27"/>
  <c r="N558" i="27"/>
  <c r="N559" i="26"/>
  <c r="N558" i="26"/>
  <c r="N559" i="25"/>
  <c r="N558" i="25"/>
  <c r="N559" i="20"/>
  <c r="N558" i="20"/>
  <c r="K93" i="8"/>
  <c r="K104" i="4"/>
  <c r="K101" i="4"/>
  <c r="K47" i="4"/>
  <c r="K84" i="4"/>
  <c r="K93" i="4"/>
  <c r="E84" i="8"/>
  <c r="E23" i="4"/>
  <c r="A2" i="29"/>
  <c r="N63" i="4"/>
  <c r="AR872" i="1"/>
  <c r="AR186" i="1"/>
  <c r="AR354" i="1"/>
  <c r="W888" i="1"/>
  <c r="AR227" i="1"/>
  <c r="AS804" i="1"/>
  <c r="AR360" i="1"/>
  <c r="AR57" i="1"/>
  <c r="AR175" i="1"/>
  <c r="AR206" i="1"/>
  <c r="AS858" i="1"/>
  <c r="AS627" i="1"/>
  <c r="AR249" i="1"/>
  <c r="AS403" i="1"/>
  <c r="AN833" i="1"/>
  <c r="AR472" i="1"/>
  <c r="AR406" i="1"/>
  <c r="AR386" i="1"/>
  <c r="J36" i="29"/>
  <c r="J36" i="30" s="1"/>
  <c r="D36" i="29"/>
  <c r="AR433" i="1"/>
  <c r="AR222" i="1"/>
  <c r="P73" i="33"/>
  <c r="O68" i="33"/>
  <c r="AK210" i="1"/>
  <c r="AR210" i="1"/>
  <c r="O80" i="33"/>
  <c r="P66" i="35"/>
  <c r="AL176" i="1"/>
  <c r="D25" i="4"/>
  <c r="D25" i="8" s="1"/>
  <c r="D23" i="8" s="1"/>
  <c r="O76" i="33"/>
  <c r="O75" i="33"/>
  <c r="P70" i="33"/>
  <c r="O69" i="33"/>
  <c r="P66" i="33"/>
  <c r="R65" i="33"/>
  <c r="P894" i="25"/>
  <c r="P4" i="25"/>
  <c r="T907" i="27"/>
  <c r="AL224" i="1"/>
  <c r="AR224" i="1"/>
  <c r="O73" i="33"/>
  <c r="O70" i="33"/>
  <c r="P39" i="35"/>
  <c r="AL190" i="1"/>
  <c r="AR190" i="1" s="1"/>
  <c r="O66" i="33"/>
  <c r="AK179" i="1"/>
  <c r="AR179" i="1" s="1"/>
  <c r="O64" i="33"/>
  <c r="AK148" i="1"/>
  <c r="AR148" i="1" s="1"/>
  <c r="J22" i="4"/>
  <c r="J22" i="8" s="1"/>
  <c r="J16" i="4"/>
  <c r="J16" i="8"/>
  <c r="P79" i="33"/>
  <c r="O78" i="33"/>
  <c r="P75" i="33"/>
  <c r="O74" i="33"/>
  <c r="O72" i="33"/>
  <c r="O71" i="33"/>
  <c r="P68" i="33"/>
  <c r="O33" i="35"/>
  <c r="O27" i="35"/>
  <c r="AK188" i="1"/>
  <c r="AR188" i="1" s="1"/>
  <c r="J14" i="4"/>
  <c r="J14" i="8"/>
  <c r="M51" i="7"/>
  <c r="K34" i="4"/>
  <c r="E20" i="4"/>
  <c r="P61" i="35"/>
  <c r="T910" i="26"/>
  <c r="T911" i="26"/>
  <c r="T907" i="26"/>
  <c r="T908" i="26"/>
  <c r="T904" i="26"/>
  <c r="T905" i="26"/>
  <c r="T888" i="25"/>
  <c r="T894" i="25"/>
  <c r="T4" i="25" s="1"/>
  <c r="T911" i="27"/>
  <c r="T910" i="27"/>
  <c r="D45" i="29"/>
  <c r="D45" i="30" s="1"/>
  <c r="D84" i="29"/>
  <c r="D84" i="30" s="1"/>
  <c r="P77" i="33"/>
  <c r="P74" i="33"/>
  <c r="S32" i="33"/>
  <c r="S34" i="33" s="1"/>
  <c r="S4" i="33" s="1"/>
  <c r="P32" i="33"/>
  <c r="P34" i="33"/>
  <c r="N56" i="7"/>
  <c r="J76" i="7"/>
  <c r="J11" i="7" s="1"/>
  <c r="D82" i="7"/>
  <c r="M43" i="7"/>
  <c r="N196" i="31"/>
  <c r="AS878" i="1"/>
  <c r="AS725" i="1"/>
  <c r="AS429" i="1"/>
  <c r="AS639" i="1"/>
  <c r="AS764" i="1"/>
  <c r="AK846" i="1"/>
  <c r="AR846" i="1"/>
  <c r="AS769" i="1"/>
  <c r="AR241" i="1"/>
  <c r="AR807" i="1"/>
  <c r="H92" i="4"/>
  <c r="H92" i="8" s="1"/>
  <c r="P894" i="1"/>
  <c r="P4" i="1"/>
  <c r="S888" i="1"/>
  <c r="AR204" i="1"/>
  <c r="AR847" i="1"/>
  <c r="A558" i="1"/>
  <c r="N558" i="1" s="1"/>
  <c r="AJ558" i="1" s="1"/>
  <c r="AR502" i="1"/>
  <c r="AS293" i="1"/>
  <c r="AS179" i="1"/>
  <c r="D47" i="29"/>
  <c r="AR402" i="1"/>
  <c r="G80" i="7"/>
  <c r="K80" i="7"/>
  <c r="K23" i="7" s="1"/>
  <c r="E80" i="7"/>
  <c r="E23" i="7" s="1"/>
  <c r="J85" i="4"/>
  <c r="J85" i="8" s="1"/>
  <c r="S65" i="33"/>
  <c r="R894" i="20"/>
  <c r="R4" i="20"/>
  <c r="T904" i="25"/>
  <c r="R892" i="26"/>
  <c r="R2" i="26"/>
  <c r="O890" i="27"/>
  <c r="U462" i="31"/>
  <c r="V462" i="31"/>
  <c r="AA281" i="31"/>
  <c r="D20" i="29"/>
  <c r="N20" i="29"/>
  <c r="AS822" i="1"/>
  <c r="AS794" i="1"/>
  <c r="AS783" i="1"/>
  <c r="AS747" i="1"/>
  <c r="AS795" i="1"/>
  <c r="AS813" i="1"/>
  <c r="AS851" i="1"/>
  <c r="AS857" i="1"/>
  <c r="AR864" i="1"/>
  <c r="AR866" i="1"/>
  <c r="G55" i="4"/>
  <c r="G55" i="8" s="1"/>
  <c r="AK832" i="1"/>
  <c r="AR832" i="1"/>
  <c r="V888" i="1"/>
  <c r="H55" i="4"/>
  <c r="AS881" i="1"/>
  <c r="AS883" i="1"/>
  <c r="AR884" i="1"/>
  <c r="X888" i="1"/>
  <c r="AS853" i="1"/>
  <c r="AR835" i="1"/>
  <c r="AS843" i="1"/>
  <c r="AS855" i="1"/>
  <c r="AS876" i="1"/>
  <c r="AR838" i="1"/>
  <c r="AR865" i="1"/>
  <c r="AR861" i="1"/>
  <c r="AS817" i="1"/>
  <c r="AS797" i="1"/>
  <c r="AS650" i="1"/>
  <c r="AS442" i="1"/>
  <c r="AS488" i="1"/>
  <c r="AS467" i="1"/>
  <c r="AR291" i="1"/>
  <c r="AR299" i="1"/>
  <c r="AR305" i="1"/>
  <c r="AR307" i="1"/>
  <c r="AR311" i="1"/>
  <c r="AR317" i="1"/>
  <c r="H33" i="4"/>
  <c r="H33" i="8"/>
  <c r="AK321" i="1"/>
  <c r="AR321" i="1" s="1"/>
  <c r="AK349" i="1"/>
  <c r="AR349" i="1"/>
  <c r="W899" i="1"/>
  <c r="W898" i="1"/>
  <c r="AR357" i="1"/>
  <c r="AR376" i="1"/>
  <c r="AR277" i="1"/>
  <c r="AR197" i="1"/>
  <c r="AS142" i="1"/>
  <c r="AR117" i="1"/>
  <c r="AR123" i="1"/>
  <c r="AR129" i="1"/>
  <c r="AR131" i="1"/>
  <c r="AR137" i="1"/>
  <c r="AS160" i="1"/>
  <c r="AR262" i="1"/>
  <c r="AS282" i="1"/>
  <c r="AR145" i="1"/>
  <c r="AR155" i="1"/>
  <c r="AS162" i="1"/>
  <c r="AR167" i="1"/>
  <c r="AK149" i="1"/>
  <c r="AR157" i="1"/>
  <c r="AR236" i="1"/>
  <c r="AR235" i="1"/>
  <c r="AR103" i="1"/>
  <c r="AR107" i="1"/>
  <c r="AK109" i="1"/>
  <c r="AR109" i="1"/>
  <c r="H24" i="4"/>
  <c r="H24" i="8" s="1"/>
  <c r="N24" i="8" s="1"/>
  <c r="AR76" i="1"/>
  <c r="AR78" i="1"/>
  <c r="AR80" i="1"/>
  <c r="AR88" i="1"/>
  <c r="H14" i="4"/>
  <c r="H14" i="8" s="1"/>
  <c r="H19" i="4"/>
  <c r="H19" i="8"/>
  <c r="AK72" i="1"/>
  <c r="AR72" i="1" s="1"/>
  <c r="AR75" i="1"/>
  <c r="AK92" i="1"/>
  <c r="AK86" i="1"/>
  <c r="AR86" i="1" s="1"/>
  <c r="AR25" i="1"/>
  <c r="AR16" i="1"/>
  <c r="G88" i="7"/>
  <c r="AK60" i="1"/>
  <c r="AR60" i="1"/>
  <c r="W901" i="1"/>
  <c r="AL20" i="1"/>
  <c r="AR20" i="1" s="1"/>
  <c r="W902" i="1"/>
  <c r="H70" i="4"/>
  <c r="H70" i="8" s="1"/>
  <c r="N70" i="8" s="1"/>
  <c r="W904" i="1"/>
  <c r="AL905" i="1"/>
  <c r="W908" i="1"/>
  <c r="W907" i="1"/>
  <c r="AR68" i="1"/>
  <c r="AR18" i="1"/>
  <c r="AS807" i="1"/>
  <c r="AS792" i="1"/>
  <c r="AS653" i="1"/>
  <c r="AS802" i="1"/>
  <c r="AS551" i="1"/>
  <c r="AS60" i="1"/>
  <c r="D32" i="29"/>
  <c r="AS788" i="1"/>
  <c r="AS671" i="1"/>
  <c r="D18" i="29"/>
  <c r="D18" i="30" s="1"/>
  <c r="AS603" i="1"/>
  <c r="D55" i="29"/>
  <c r="D55" i="30" s="1"/>
  <c r="D49" i="29"/>
  <c r="D72" i="29"/>
  <c r="D72" i="30" s="1"/>
  <c r="AS367" i="1"/>
  <c r="AS349" i="1"/>
  <c r="D31" i="4"/>
  <c r="D31" i="8" s="1"/>
  <c r="D81" i="4"/>
  <c r="AS418" i="1"/>
  <c r="AS427" i="1"/>
  <c r="AS479" i="1"/>
  <c r="AS477" i="1"/>
  <c r="D44" i="29"/>
  <c r="D44" i="30" s="1"/>
  <c r="AS439" i="1"/>
  <c r="D46" i="29"/>
  <c r="AS177" i="1"/>
  <c r="D80" i="4"/>
  <c r="S70" i="33"/>
  <c r="AS135" i="1"/>
  <c r="AS143" i="1"/>
  <c r="AS131" i="1"/>
  <c r="AS78" i="1"/>
  <c r="T911" i="1"/>
  <c r="D80" i="29"/>
  <c r="D80" i="30"/>
  <c r="AS657" i="1"/>
  <c r="AS602" i="1"/>
  <c r="AS353" i="1"/>
  <c r="AS339" i="1"/>
  <c r="Q829" i="1"/>
  <c r="Q890" i="1" s="1"/>
  <c r="AS297" i="1"/>
  <c r="AS295" i="1"/>
  <c r="AS154" i="1"/>
  <c r="AS156" i="1"/>
  <c r="AS109" i="1"/>
  <c r="E88" i="7"/>
  <c r="AS18" i="1"/>
  <c r="T898" i="1"/>
  <c r="R829" i="1"/>
  <c r="R890" i="1" s="1"/>
  <c r="R13" i="1" s="1"/>
  <c r="D48" i="4"/>
  <c r="D48" i="8" s="1"/>
  <c r="D49" i="4"/>
  <c r="D49" i="8" s="1"/>
  <c r="D13" i="4"/>
  <c r="D13" i="8"/>
  <c r="D15" i="4"/>
  <c r="D15" i="8" s="1"/>
  <c r="AS15" i="1"/>
  <c r="T899" i="1"/>
  <c r="AS823" i="1"/>
  <c r="AM806" i="1"/>
  <c r="AS806" i="1" s="1"/>
  <c r="AM786" i="1"/>
  <c r="AS786" i="1" s="1"/>
  <c r="AS767" i="1"/>
  <c r="AM778" i="1"/>
  <c r="AS778" i="1" s="1"/>
  <c r="AN701" i="1"/>
  <c r="AN708" i="1"/>
  <c r="AN716" i="1"/>
  <c r="AN712" i="1"/>
  <c r="AN706" i="1"/>
  <c r="AN697" i="1"/>
  <c r="AN694" i="1"/>
  <c r="AM698" i="1"/>
  <c r="AS698" i="1" s="1"/>
  <c r="AM702" i="1"/>
  <c r="AS678" i="1"/>
  <c r="AS669" i="1"/>
  <c r="AN674" i="1"/>
  <c r="AM679" i="1"/>
  <c r="AN683" i="1"/>
  <c r="AS683" i="1" s="1"/>
  <c r="AN685" i="1"/>
  <c r="AM687" i="1"/>
  <c r="AS687" i="1" s="1"/>
  <c r="AM693" i="1"/>
  <c r="AM691" i="1"/>
  <c r="AN689" i="1"/>
  <c r="AS689" i="1" s="1"/>
  <c r="AN686" i="1"/>
  <c r="AS686" i="1" s="1"/>
  <c r="AN684" i="1"/>
  <c r="AM677" i="1"/>
  <c r="AS677" i="1" s="1"/>
  <c r="AM675" i="1"/>
  <c r="AS675" i="1" s="1"/>
  <c r="AN670" i="1"/>
  <c r="AM668" i="1"/>
  <c r="AM664" i="1"/>
  <c r="AS664" i="1" s="1"/>
  <c r="AN634" i="1"/>
  <c r="AN635" i="1"/>
  <c r="AS635" i="1" s="1"/>
  <c r="AM636" i="1"/>
  <c r="AS636" i="1" s="1"/>
  <c r="AM638" i="1"/>
  <c r="AS434" i="1"/>
  <c r="AM414" i="1"/>
  <c r="AM385" i="1"/>
  <c r="AS385" i="1"/>
  <c r="AN392" i="1"/>
  <c r="AN396" i="1"/>
  <c r="AM387" i="1"/>
  <c r="AM375" i="1"/>
  <c r="AN372" i="1"/>
  <c r="AN370" i="1"/>
  <c r="AN368" i="1"/>
  <c r="AN365" i="1"/>
  <c r="AS365" i="1" s="1"/>
  <c r="AN363" i="1"/>
  <c r="AS363" i="1" s="1"/>
  <c r="AM359" i="1"/>
  <c r="AM360" i="1"/>
  <c r="AM376" i="1"/>
  <c r="AS351" i="1"/>
  <c r="T898" i="20"/>
  <c r="T899" i="20"/>
  <c r="AM276" i="1"/>
  <c r="AS276" i="1" s="1"/>
  <c r="AM228" i="1"/>
  <c r="AM234" i="1"/>
  <c r="H44" i="4"/>
  <c r="H44" i="8"/>
  <c r="AN201" i="1"/>
  <c r="AM208" i="1"/>
  <c r="AM209" i="1"/>
  <c r="AS209" i="1"/>
  <c r="AN210" i="1"/>
  <c r="AM213" i="1"/>
  <c r="AS213" i="1"/>
  <c r="AN214" i="1"/>
  <c r="AS214" i="1" s="1"/>
  <c r="AM215" i="1"/>
  <c r="AN217" i="1"/>
  <c r="AN218" i="1"/>
  <c r="AN219" i="1"/>
  <c r="AS219" i="1" s="1"/>
  <c r="AN220" i="1"/>
  <c r="AN223" i="1"/>
  <c r="AM224" i="1"/>
  <c r="AM229" i="1"/>
  <c r="AS229" i="1" s="1"/>
  <c r="AN233" i="1"/>
  <c r="AM235" i="1"/>
  <c r="AN236" i="1"/>
  <c r="AS236" i="1" s="1"/>
  <c r="AM242" i="1"/>
  <c r="AS242" i="1" s="1"/>
  <c r="AN245" i="1"/>
  <c r="AN248" i="1"/>
  <c r="AN249" i="1"/>
  <c r="AS249" i="1" s="1"/>
  <c r="AM251" i="1"/>
  <c r="AN252" i="1"/>
  <c r="AN253" i="1"/>
  <c r="AS253" i="1" s="1"/>
  <c r="AN255" i="1"/>
  <c r="AS255" i="1" s="1"/>
  <c r="AN258" i="1"/>
  <c r="AM259" i="1"/>
  <c r="AM264" i="1"/>
  <c r="AN265" i="1"/>
  <c r="AS265" i="1" s="1"/>
  <c r="AM266" i="1"/>
  <c r="AM267" i="1"/>
  <c r="AS267" i="1"/>
  <c r="AM272" i="1"/>
  <c r="AN277" i="1"/>
  <c r="AS277" i="1" s="1"/>
  <c r="AM202" i="1"/>
  <c r="AS202" i="1"/>
  <c r="AM203" i="1"/>
  <c r="AS203" i="1" s="1"/>
  <c r="AN207" i="1"/>
  <c r="AM225" i="1"/>
  <c r="AM238" i="1"/>
  <c r="AM241" i="1"/>
  <c r="AM262" i="1"/>
  <c r="AM263" i="1"/>
  <c r="AM268" i="1"/>
  <c r="AN269" i="1"/>
  <c r="AN270" i="1"/>
  <c r="AM604" i="1"/>
  <c r="AM656" i="1"/>
  <c r="AS656" i="1" s="1"/>
  <c r="AM672" i="1"/>
  <c r="AM674" i="1"/>
  <c r="AM680" i="1"/>
  <c r="AS680" i="1" s="1"/>
  <c r="AM682" i="1"/>
  <c r="AM688" i="1"/>
  <c r="AM726" i="1"/>
  <c r="AS726" i="1" s="1"/>
  <c r="AM728" i="1"/>
  <c r="AM736" i="1"/>
  <c r="AS721" i="1"/>
  <c r="AM722" i="1"/>
  <c r="AS722" i="1" s="1"/>
  <c r="AN724" i="1"/>
  <c r="AN726" i="1"/>
  <c r="AM727" i="1"/>
  <c r="AS727" i="1" s="1"/>
  <c r="AN728" i="1"/>
  <c r="AN729" i="1"/>
  <c r="AS729" i="1"/>
  <c r="AN730" i="1"/>
  <c r="AS730" i="1" s="1"/>
  <c r="AM733" i="1"/>
  <c r="AM735" i="1"/>
  <c r="AS735" i="1" s="1"/>
  <c r="AN739" i="1"/>
  <c r="AN741" i="1"/>
  <c r="AS741" i="1" s="1"/>
  <c r="AM743" i="1"/>
  <c r="AM745" i="1"/>
  <c r="AS745" i="1" s="1"/>
  <c r="AS731" i="1"/>
  <c r="AM720" i="1"/>
  <c r="AS700" i="1"/>
  <c r="AM696" i="1"/>
  <c r="AM708" i="1"/>
  <c r="AS708" i="1" s="1"/>
  <c r="AM716" i="1"/>
  <c r="AM704" i="1"/>
  <c r="AS704" i="1" s="1"/>
  <c r="AM710" i="1"/>
  <c r="AS710" i="1"/>
  <c r="AS711" i="1"/>
  <c r="AM718" i="1"/>
  <c r="AM662" i="1"/>
  <c r="AS645" i="1"/>
  <c r="AN644" i="1"/>
  <c r="AN641" i="1"/>
  <c r="AS646" i="1"/>
  <c r="AM632" i="1"/>
  <c r="AS632" i="1" s="1"/>
  <c r="AM634" i="1"/>
  <c r="AM626" i="1"/>
  <c r="AS614" i="1"/>
  <c r="AN599" i="1"/>
  <c r="AM598" i="1"/>
  <c r="AS598" i="1" s="1"/>
  <c r="AM600" i="1"/>
  <c r="AM578" i="1"/>
  <c r="AM580" i="1"/>
  <c r="AM574" i="1"/>
  <c r="AM562" i="1"/>
  <c r="AM552" i="1"/>
  <c r="AM524" i="1"/>
  <c r="AM530" i="1"/>
  <c r="AN513" i="1"/>
  <c r="AN515" i="1"/>
  <c r="AS515" i="1" s="1"/>
  <c r="AM518" i="1"/>
  <c r="AS518" i="1" s="1"/>
  <c r="AM498" i="1"/>
  <c r="AM500" i="1"/>
  <c r="AS500" i="1" s="1"/>
  <c r="AM502" i="1"/>
  <c r="AM504" i="1"/>
  <c r="AS504" i="1" s="1"/>
  <c r="AM506" i="1"/>
  <c r="AS506" i="1" s="1"/>
  <c r="AM508" i="1"/>
  <c r="AS491" i="1"/>
  <c r="AS489" i="1"/>
  <c r="AN490" i="1"/>
  <c r="AN496" i="1"/>
  <c r="AM493" i="1"/>
  <c r="AS493" i="1" s="1"/>
  <c r="AM487" i="1"/>
  <c r="AM482" i="1"/>
  <c r="AS482" i="1" s="1"/>
  <c r="AM466" i="1"/>
  <c r="AM468" i="1"/>
  <c r="AS468" i="1" s="1"/>
  <c r="AM470" i="1"/>
  <c r="AM472" i="1"/>
  <c r="AM474" i="1"/>
  <c r="AS474" i="1" s="1"/>
  <c r="AS443" i="1"/>
  <c r="AS453" i="1"/>
  <c r="AM444" i="1"/>
  <c r="AS444" i="1" s="1"/>
  <c r="AM446" i="1"/>
  <c r="AM448" i="1"/>
  <c r="AS448" i="1"/>
  <c r="AM450" i="1"/>
  <c r="AM452" i="1"/>
  <c r="AM436" i="1"/>
  <c r="AS436" i="1"/>
  <c r="AS401" i="1"/>
  <c r="AM400" i="1"/>
  <c r="AS395" i="1"/>
  <c r="AM394" i="1"/>
  <c r="AS394" i="1" s="1"/>
  <c r="AM396" i="1"/>
  <c r="AM398" i="1"/>
  <c r="AS398" i="1"/>
  <c r="AM391" i="1"/>
  <c r="AM393" i="1"/>
  <c r="AS393" i="1"/>
  <c r="AM389" i="1"/>
  <c r="AS389" i="1" s="1"/>
  <c r="AN388" i="1"/>
  <c r="AS381" i="1"/>
  <c r="AS378" i="1"/>
  <c r="AN380" i="1"/>
  <c r="AS380" i="1" s="1"/>
  <c r="AM372" i="1"/>
  <c r="AS354" i="1"/>
  <c r="AM362" i="1"/>
  <c r="AS350" i="1"/>
  <c r="AM344" i="1"/>
  <c r="AS344" i="1" s="1"/>
  <c r="AM332" i="1"/>
  <c r="AM340" i="1"/>
  <c r="AS319" i="1"/>
  <c r="AS328" i="1"/>
  <c r="AS327" i="1"/>
  <c r="AN326" i="1"/>
  <c r="AN321" i="1"/>
  <c r="AN320" i="1"/>
  <c r="AM294" i="1"/>
  <c r="AS278" i="1"/>
  <c r="AM274" i="1"/>
  <c r="AM250" i="1"/>
  <c r="AS250" i="1" s="1"/>
  <c r="AM252" i="1"/>
  <c r="AS252" i="1" s="1"/>
  <c r="AM254" i="1"/>
  <c r="AS254" i="1" s="1"/>
  <c r="AM260" i="1"/>
  <c r="AM223" i="1"/>
  <c r="AS223" i="1" s="1"/>
  <c r="AN224" i="1"/>
  <c r="AM227" i="1"/>
  <c r="AM233" i="1"/>
  <c r="AN221" i="1"/>
  <c r="AS221" i="1" s="1"/>
  <c r="AM222" i="1"/>
  <c r="AM226" i="1"/>
  <c r="AS226" i="1" s="1"/>
  <c r="AM230" i="1"/>
  <c r="AM232" i="1"/>
  <c r="AN234" i="1"/>
  <c r="S75" i="33"/>
  <c r="S74" i="33"/>
  <c r="S72" i="33"/>
  <c r="R69" i="33"/>
  <c r="R68" i="33"/>
  <c r="AM218" i="1"/>
  <c r="AS218" i="1" s="1"/>
  <c r="G44" i="4"/>
  <c r="G44" i="8"/>
  <c r="AM196" i="1"/>
  <c r="AM204" i="1"/>
  <c r="G79" i="4"/>
  <c r="G79" i="8"/>
  <c r="S66" i="33"/>
  <c r="S39" i="35"/>
  <c r="R27" i="35"/>
  <c r="AM184" i="1"/>
  <c r="AM188" i="1"/>
  <c r="AS188" i="1" s="1"/>
  <c r="AM192" i="1"/>
  <c r="AM174" i="1"/>
  <c r="AS174" i="1"/>
  <c r="AM166" i="1"/>
  <c r="AS166" i="1" s="1"/>
  <c r="AM168" i="1"/>
  <c r="AS168" i="1" s="1"/>
  <c r="AM170" i="1"/>
  <c r="AS173" i="1"/>
  <c r="AM151" i="1"/>
  <c r="AM144" i="1"/>
  <c r="AS144" i="1" s="1"/>
  <c r="AM146" i="1"/>
  <c r="AS146" i="1"/>
  <c r="AM150" i="1"/>
  <c r="AS153" i="1"/>
  <c r="T910" i="20"/>
  <c r="AM147" i="1"/>
  <c r="AS145" i="1"/>
  <c r="AM138" i="1"/>
  <c r="AS138" i="1" s="1"/>
  <c r="AM124" i="1"/>
  <c r="AS124" i="1"/>
  <c r="AM122" i="1"/>
  <c r="AM110" i="1"/>
  <c r="AM112" i="1"/>
  <c r="AS112" i="1" s="1"/>
  <c r="AS108" i="1"/>
  <c r="AM69" i="1"/>
  <c r="AM68" i="1"/>
  <c r="T911" i="20"/>
  <c r="R890" i="20"/>
  <c r="AM61" i="1"/>
  <c r="AN61" i="1"/>
  <c r="AM59" i="1"/>
  <c r="AN55" i="1"/>
  <c r="AM14" i="1"/>
  <c r="AS14" i="1" s="1"/>
  <c r="X287" i="1"/>
  <c r="Z287" i="1"/>
  <c r="AO287" i="1" s="1"/>
  <c r="J89" i="29"/>
  <c r="J89" i="30" s="1"/>
  <c r="AS781" i="1"/>
  <c r="J34" i="29"/>
  <c r="J34" i="30" s="1"/>
  <c r="AS719" i="1"/>
  <c r="AS717" i="1"/>
  <c r="AS649" i="1"/>
  <c r="AS628" i="1"/>
  <c r="J24" i="29"/>
  <c r="J24" i="30" s="1"/>
  <c r="AH899" i="1"/>
  <c r="AE829" i="1"/>
  <c r="J44" i="4"/>
  <c r="J44" i="8" s="1"/>
  <c r="J79" i="4"/>
  <c r="J79" i="8" s="1"/>
  <c r="AS167" i="1"/>
  <c r="J49" i="4"/>
  <c r="J49" i="8" s="1"/>
  <c r="AF829" i="1"/>
  <c r="AS123" i="1"/>
  <c r="AS121" i="1"/>
  <c r="AS120" i="1"/>
  <c r="AN287" i="1"/>
  <c r="J15" i="4"/>
  <c r="J15" i="8"/>
  <c r="AS694" i="1"/>
  <c r="AS691" i="1"/>
  <c r="AS684" i="1"/>
  <c r="AS638" i="1"/>
  <c r="AS359" i="1"/>
  <c r="AT266" i="1"/>
  <c r="AS720" i="1"/>
  <c r="AS641" i="1"/>
  <c r="AS626" i="1"/>
  <c r="AS294" i="1"/>
  <c r="G86" i="7"/>
  <c r="N51" i="7"/>
  <c r="K82" i="7"/>
  <c r="K39" i="7"/>
  <c r="N43" i="7"/>
  <c r="N30" i="7"/>
  <c r="M14" i="7"/>
  <c r="E84" i="7"/>
  <c r="E44" i="7" s="1"/>
  <c r="AA347" i="31"/>
  <c r="AA358" i="31"/>
  <c r="AA364" i="31"/>
  <c r="AM800" i="1"/>
  <c r="AN705" i="1"/>
  <c r="AN727" i="1"/>
  <c r="AM748" i="1"/>
  <c r="AS665" i="1"/>
  <c r="AS612" i="1"/>
  <c r="AM426" i="1"/>
  <c r="AM416" i="1"/>
  <c r="AM422" i="1"/>
  <c r="AM478" i="1"/>
  <c r="AM558" i="1"/>
  <c r="AM544" i="1"/>
  <c r="AS397" i="1"/>
  <c r="G31" i="4"/>
  <c r="G31" i="8"/>
  <c r="AS358" i="1"/>
  <c r="AS292" i="1"/>
  <c r="H80" i="7"/>
  <c r="G86" i="4"/>
  <c r="AM248" i="1"/>
  <c r="AS248" i="1" s="1"/>
  <c r="AM198" i="1"/>
  <c r="AS198" i="1" s="1"/>
  <c r="AM206" i="1"/>
  <c r="AS206" i="1"/>
  <c r="AM210" i="1"/>
  <c r="AS210" i="1" s="1"/>
  <c r="AM216" i="1"/>
  <c r="AM280" i="1"/>
  <c r="S64" i="33"/>
  <c r="AN149" i="1"/>
  <c r="AS149" i="1" s="1"/>
  <c r="G24" i="4"/>
  <c r="AS66" i="1"/>
  <c r="AS799" i="1"/>
  <c r="AS801" i="1"/>
  <c r="D98" i="29"/>
  <c r="D98" i="30" s="1"/>
  <c r="AS803" i="1"/>
  <c r="AS793" i="1"/>
  <c r="AS791" i="1"/>
  <c r="D83" i="29"/>
  <c r="AS690" i="1"/>
  <c r="D16" i="29"/>
  <c r="D16" i="30" s="1"/>
  <c r="AS625" i="1"/>
  <c r="AS561" i="1"/>
  <c r="AS379" i="1"/>
  <c r="AS361" i="1"/>
  <c r="AS329" i="1"/>
  <c r="R33" i="35"/>
  <c r="AS362" i="1"/>
  <c r="AL336" i="1"/>
  <c r="AR336" i="1" s="1"/>
  <c r="AN337" i="1"/>
  <c r="N33" i="4"/>
  <c r="N30" i="4" s="1"/>
  <c r="P892" i="25"/>
  <c r="P2" i="25" s="1"/>
  <c r="AM337" i="1"/>
  <c r="AN336" i="1"/>
  <c r="AM336" i="1"/>
  <c r="AR337" i="1"/>
  <c r="J33" i="4"/>
  <c r="J33" i="8" s="1"/>
  <c r="N44" i="29"/>
  <c r="H38" i="29"/>
  <c r="AA70" i="31"/>
  <c r="H62" i="29"/>
  <c r="N92" i="29"/>
  <c r="N35" i="29"/>
  <c r="N14" i="29"/>
  <c r="N18" i="29"/>
  <c r="H81" i="29"/>
  <c r="H90" i="29"/>
  <c r="H95" i="29"/>
  <c r="N47" i="29"/>
  <c r="N100" i="29"/>
  <c r="AA356" i="31"/>
  <c r="AA361" i="31"/>
  <c r="AA362" i="31"/>
  <c r="N57" i="29"/>
  <c r="N185" i="31"/>
  <c r="AA359" i="31"/>
  <c r="H65" i="4"/>
  <c r="H65" i="8" s="1"/>
  <c r="AS524" i="1"/>
  <c r="AS217" i="1"/>
  <c r="AS452" i="1"/>
  <c r="AS685" i="1"/>
  <c r="N14" i="4"/>
  <c r="AS833" i="1"/>
  <c r="AL904" i="1"/>
  <c r="AR844" i="1"/>
  <c r="AR304" i="1"/>
  <c r="AS521" i="1"/>
  <c r="J55" i="4"/>
  <c r="AS827" i="1"/>
  <c r="J79" i="29"/>
  <c r="J79" i="30" s="1"/>
  <c r="AR356" i="1"/>
  <c r="AA551" i="1"/>
  <c r="AA547" i="1"/>
  <c r="AA543" i="1"/>
  <c r="AA539" i="1"/>
  <c r="AA535" i="1"/>
  <c r="G68" i="29" s="1"/>
  <c r="AA531" i="1"/>
  <c r="AA527" i="1"/>
  <c r="AA523" i="1"/>
  <c r="N562" i="1"/>
  <c r="AJ562" i="1" s="1"/>
  <c r="T908" i="20"/>
  <c r="Z611" i="1"/>
  <c r="G14" i="29" s="1"/>
  <c r="Z600" i="1"/>
  <c r="AA589" i="1"/>
  <c r="AA585" i="1"/>
  <c r="AA581" i="1"/>
  <c r="Z563" i="1"/>
  <c r="Z559" i="1"/>
  <c r="Z557" i="1"/>
  <c r="Z553" i="1"/>
  <c r="T910" i="25"/>
  <c r="S888" i="27"/>
  <c r="T899" i="27"/>
  <c r="T898" i="25"/>
  <c r="T907" i="20"/>
  <c r="T904" i="20"/>
  <c r="AA654" i="1"/>
  <c r="AA622" i="1"/>
  <c r="AA620" i="1"/>
  <c r="AA618" i="1"/>
  <c r="AA616" i="1"/>
  <c r="AA614" i="1"/>
  <c r="Z564" i="1"/>
  <c r="AO564" i="1" s="1"/>
  <c r="Z558" i="1"/>
  <c r="Z552" i="1"/>
  <c r="Z400" i="1"/>
  <c r="Z398" i="1"/>
  <c r="Z396" i="1"/>
  <c r="Z394" i="1"/>
  <c r="Z392" i="1"/>
  <c r="Z390" i="1"/>
  <c r="Z388" i="1"/>
  <c r="Z386" i="1"/>
  <c r="Z384" i="1"/>
  <c r="Z377" i="1"/>
  <c r="AA910" i="1" s="1"/>
  <c r="AA366" i="1"/>
  <c r="Z350" i="1"/>
  <c r="Z321" i="1"/>
  <c r="Z300" i="1"/>
  <c r="AA280" i="1"/>
  <c r="AA278" i="1"/>
  <c r="G80" i="4" s="1"/>
  <c r="AA264" i="1"/>
  <c r="AA261" i="1"/>
  <c r="Z253" i="1"/>
  <c r="Z245" i="1"/>
  <c r="AA237" i="1"/>
  <c r="Z214" i="1"/>
  <c r="AA211" i="1"/>
  <c r="AA207" i="1"/>
  <c r="Z185" i="1"/>
  <c r="Z170" i="1"/>
  <c r="AO170" i="1" s="1"/>
  <c r="AT170" i="1" s="1"/>
  <c r="Z162" i="1"/>
  <c r="Z147" i="1"/>
  <c r="AA139" i="1"/>
  <c r="Z131" i="1"/>
  <c r="Z123" i="1"/>
  <c r="Z111" i="1"/>
  <c r="Z72" i="1"/>
  <c r="AA65" i="1"/>
  <c r="T898" i="26"/>
  <c r="AS148" i="1"/>
  <c r="G60" i="4"/>
  <c r="AA640" i="1"/>
  <c r="AP640" i="1" s="1"/>
  <c r="AT640" i="1" s="1"/>
  <c r="AN17" i="1"/>
  <c r="AM23" i="1"/>
  <c r="AS23" i="1" s="1"/>
  <c r="AM73" i="1"/>
  <c r="AM99" i="1"/>
  <c r="AR283" i="1"/>
  <c r="AM290" i="1"/>
  <c r="AS290" i="1" s="1"/>
  <c r="Z667" i="1"/>
  <c r="AK213" i="1"/>
  <c r="AR213" i="1" s="1"/>
  <c r="AM288" i="1"/>
  <c r="AA667" i="1"/>
  <c r="AP667" i="1" s="1"/>
  <c r="AK211" i="1"/>
  <c r="AK215" i="1"/>
  <c r="AR215" i="1" s="1"/>
  <c r="Z640" i="1"/>
  <c r="AO640" i="1" s="1"/>
  <c r="AM91" i="1"/>
  <c r="AR219" i="1"/>
  <c r="AM286" i="1"/>
  <c r="AS286" i="1" s="1"/>
  <c r="AS877" i="1"/>
  <c r="AM408" i="1"/>
  <c r="AM766" i="1"/>
  <c r="AM314" i="1"/>
  <c r="AM316" i="1"/>
  <c r="AS316" i="1" s="1"/>
  <c r="AM320" i="1"/>
  <c r="AS320" i="1" s="1"/>
  <c r="AM348" i="1"/>
  <c r="AS348" i="1" s="1"/>
  <c r="AM380" i="1"/>
  <c r="AM382" i="1"/>
  <c r="AM384" i="1"/>
  <c r="AS384" i="1" s="1"/>
  <c r="AM430" i="1"/>
  <c r="AM458" i="1"/>
  <c r="AM462" i="1"/>
  <c r="AS462" i="1" s="1"/>
  <c r="AM526" i="1"/>
  <c r="AM554" i="1"/>
  <c r="AS554" i="1"/>
  <c r="AM566" i="1"/>
  <c r="AS566" i="1" s="1"/>
  <c r="AM576" i="1"/>
  <c r="AM584" i="1"/>
  <c r="AS584" i="1"/>
  <c r="AM588" i="1"/>
  <c r="AS588" i="1" s="1"/>
  <c r="AM592" i="1"/>
  <c r="AM596" i="1"/>
  <c r="AS596" i="1"/>
  <c r="AM608" i="1"/>
  <c r="AS608" i="1" s="1"/>
  <c r="AS845" i="1"/>
  <c r="AM406" i="1"/>
  <c r="AM790" i="1"/>
  <c r="AS790" i="1" s="1"/>
  <c r="AS839" i="1"/>
  <c r="AS867" i="1"/>
  <c r="AS885" i="1"/>
  <c r="E65" i="4"/>
  <c r="E66" i="4" s="1"/>
  <c r="E62" i="4" s="1"/>
  <c r="N108" i="29"/>
  <c r="N56" i="29"/>
  <c r="A191" i="31"/>
  <c r="N191" i="31"/>
  <c r="N190" i="31"/>
  <c r="N93" i="29"/>
  <c r="AA260" i="31"/>
  <c r="AA268" i="31"/>
  <c r="AA284" i="31"/>
  <c r="AA288" i="31"/>
  <c r="K62" i="29"/>
  <c r="E62" i="29"/>
  <c r="AA62" i="31"/>
  <c r="AA66" i="31"/>
  <c r="AA76" i="31"/>
  <c r="N83" i="29"/>
  <c r="AA251" i="31"/>
  <c r="AA355" i="31"/>
  <c r="AA363" i="31"/>
  <c r="AA389" i="31"/>
  <c r="AA17" i="31"/>
  <c r="AA19" i="31"/>
  <c r="N19" i="29"/>
  <c r="R61" i="33"/>
  <c r="S6" i="33"/>
  <c r="O35" i="33"/>
  <c r="R35" i="33"/>
  <c r="S51" i="33"/>
  <c r="P35" i="33"/>
  <c r="P53" i="33"/>
  <c r="O61" i="33"/>
  <c r="O59" i="33"/>
  <c r="AR61" i="1"/>
  <c r="AS64" i="1"/>
  <c r="AA396" i="31"/>
  <c r="P6" i="33"/>
  <c r="D164" i="35"/>
  <c r="H195" i="35"/>
  <c r="O6" i="33"/>
  <c r="AS80" i="1"/>
  <c r="D57" i="29"/>
  <c r="AS261" i="1"/>
  <c r="AS251" i="1"/>
  <c r="AS169" i="1"/>
  <c r="AS141" i="1"/>
  <c r="AS125" i="1"/>
  <c r="AS129" i="1"/>
  <c r="T907" i="1"/>
  <c r="T901" i="1"/>
  <c r="AS68" i="1"/>
  <c r="D70" i="4"/>
  <c r="D70" i="8"/>
  <c r="P890" i="27"/>
  <c r="P13" i="27" s="1"/>
  <c r="AS875" i="1"/>
  <c r="AF890" i="1"/>
  <c r="AF13" i="1"/>
  <c r="J75" i="29"/>
  <c r="J75" i="30" s="1"/>
  <c r="AH911" i="1"/>
  <c r="AT244" i="1"/>
  <c r="AS222" i="1"/>
  <c r="AS122" i="1"/>
  <c r="AS99" i="1"/>
  <c r="AS82" i="1"/>
  <c r="AS230" i="1"/>
  <c r="AM761" i="1"/>
  <c r="AM570" i="1"/>
  <c r="AS570" i="1" s="1"/>
  <c r="AN116" i="1"/>
  <c r="AS116" i="1" s="1"/>
  <c r="AS407" i="1"/>
  <c r="AD892" i="1"/>
  <c r="AD2" i="1"/>
  <c r="N17" i="4"/>
  <c r="H30" i="4"/>
  <c r="AR329" i="1"/>
  <c r="AR382" i="1"/>
  <c r="AR328" i="1"/>
  <c r="H34" i="4"/>
  <c r="AR269" i="1"/>
  <c r="AR279" i="1"/>
  <c r="AR202" i="1"/>
  <c r="N85" i="4"/>
  <c r="AR84" i="1"/>
  <c r="AR92" i="1"/>
  <c r="N16" i="4"/>
  <c r="AS317" i="1"/>
  <c r="AS105" i="1"/>
  <c r="T902" i="1"/>
  <c r="E76" i="7"/>
  <c r="E11" i="7"/>
  <c r="D86" i="4"/>
  <c r="D86" i="8" s="1"/>
  <c r="AS266" i="1"/>
  <c r="AT251" i="1"/>
  <c r="T908" i="1"/>
  <c r="P49" i="4"/>
  <c r="P49" i="8" s="1"/>
  <c r="A192" i="31"/>
  <c r="N192" i="31"/>
  <c r="J52" i="29"/>
  <c r="J52" i="30" s="1"/>
  <c r="O35" i="36"/>
  <c r="B35" i="36" s="1"/>
  <c r="O25" i="36"/>
  <c r="N25" i="36" s="1"/>
  <c r="D64" i="29"/>
  <c r="D64" i="30" s="1"/>
  <c r="AR216" i="1"/>
  <c r="K78" i="7"/>
  <c r="J40" i="4" s="1"/>
  <c r="J106" i="29"/>
  <c r="J106" i="30" s="1"/>
  <c r="J65" i="29"/>
  <c r="J65" i="30" s="1"/>
  <c r="J64" i="29"/>
  <c r="J64" i="30" s="1"/>
  <c r="J66" i="30" s="1"/>
  <c r="D22" i="4"/>
  <c r="D22" i="8"/>
  <c r="J13" i="29"/>
  <c r="J13" i="30" s="1"/>
  <c r="D61" i="30"/>
  <c r="D62" i="30" s="1"/>
  <c r="D51" i="29"/>
  <c r="AH898" i="1"/>
  <c r="J25" i="4"/>
  <c r="J25" i="8" s="1"/>
  <c r="J32" i="29"/>
  <c r="J32" i="30" s="1"/>
  <c r="J74" i="29"/>
  <c r="J74" i="30"/>
  <c r="J61" i="29"/>
  <c r="J51" i="29"/>
  <c r="E66" i="7"/>
  <c r="E67" i="7" s="1"/>
  <c r="E90" i="7" s="1"/>
  <c r="D76" i="4" s="1"/>
  <c r="D76" i="8" s="1"/>
  <c r="R50" i="35"/>
  <c r="R80" i="33"/>
  <c r="R78" i="33"/>
  <c r="R70" i="33"/>
  <c r="G55" i="29"/>
  <c r="G55" i="30" s="1"/>
  <c r="S79" i="33"/>
  <c r="S77" i="33"/>
  <c r="R66" i="33"/>
  <c r="P890" i="25"/>
  <c r="AA39" i="31"/>
  <c r="AS94" i="1"/>
  <c r="J64" i="4"/>
  <c r="J64" i="8" s="1"/>
  <c r="E79" i="8"/>
  <c r="O890" i="20"/>
  <c r="AA37" i="31"/>
  <c r="AA42" i="31"/>
  <c r="AA46" i="31"/>
  <c r="AA57" i="31"/>
  <c r="AA77" i="31"/>
  <c r="AA113" i="31"/>
  <c r="AA227" i="31"/>
  <c r="AA231" i="31"/>
  <c r="AA255" i="31"/>
  <c r="AA369" i="31"/>
  <c r="AA391" i="31"/>
  <c r="AA414" i="31"/>
  <c r="AA428" i="31"/>
  <c r="AA441" i="31"/>
  <c r="AA454" i="31"/>
  <c r="AA337" i="31"/>
  <c r="K102" i="29"/>
  <c r="K97" i="30"/>
  <c r="N97" i="30" s="1"/>
  <c r="AA902" i="1"/>
  <c r="AR83" i="1"/>
  <c r="AK181" i="1"/>
  <c r="AR181" i="1" s="1"/>
  <c r="AK199" i="1"/>
  <c r="AR199" i="1" s="1"/>
  <c r="AR413" i="1"/>
  <c r="AR449" i="1"/>
  <c r="AR485" i="1"/>
  <c r="AR487" i="1"/>
  <c r="AR527" i="1"/>
  <c r="AR528" i="1"/>
  <c r="AR681" i="1"/>
  <c r="AR733" i="1"/>
  <c r="AM774" i="1"/>
  <c r="AR856" i="1"/>
  <c r="AR862" i="1"/>
  <c r="AA129" i="31"/>
  <c r="AA184" i="31"/>
  <c r="AA219" i="31"/>
  <c r="AA304" i="31"/>
  <c r="AA308" i="31"/>
  <c r="AA333" i="31"/>
  <c r="AA338" i="31"/>
  <c r="AA340" i="31"/>
  <c r="AA375" i="31"/>
  <c r="AA400" i="31"/>
  <c r="AA418" i="31"/>
  <c r="AA458" i="31"/>
  <c r="P86" i="4"/>
  <c r="P86" i="8" s="1"/>
  <c r="AR827" i="1"/>
  <c r="P50" i="4"/>
  <c r="P50" i="8" s="1"/>
  <c r="AR530" i="1"/>
  <c r="AS834" i="1"/>
  <c r="G84" i="29"/>
  <c r="G84" i="30" s="1"/>
  <c r="AA15" i="31"/>
  <c r="AA31" i="31"/>
  <c r="AA33" i="31"/>
  <c r="AA53" i="31"/>
  <c r="AA97" i="31"/>
  <c r="AA161" i="31"/>
  <c r="AA194" i="31"/>
  <c r="AA218" i="31"/>
  <c r="AA220" i="31"/>
  <c r="AA249" i="31"/>
  <c r="AA305" i="31"/>
  <c r="AA309" i="31"/>
  <c r="AA324" i="31"/>
  <c r="AA336" i="31"/>
  <c r="AA365" i="31"/>
  <c r="AA385" i="31"/>
  <c r="AA408" i="31"/>
  <c r="AA419" i="31"/>
  <c r="AA448" i="31"/>
  <c r="S19" i="35"/>
  <c r="S35" i="33"/>
  <c r="AR71" i="1"/>
  <c r="H18" i="4"/>
  <c r="G18" i="4"/>
  <c r="H49" i="4"/>
  <c r="AR333" i="1"/>
  <c r="AR567" i="1"/>
  <c r="AT570" i="1"/>
  <c r="AR709" i="1"/>
  <c r="AR711" i="1"/>
  <c r="AR717" i="1"/>
  <c r="AR791" i="1"/>
  <c r="AR797" i="1"/>
  <c r="AR850" i="1"/>
  <c r="AR882" i="1"/>
  <c r="B20" i="30"/>
  <c r="B21" i="30"/>
  <c r="K19" i="30"/>
  <c r="E19" i="30"/>
  <c r="H19" i="30"/>
  <c r="G98" i="29"/>
  <c r="G57" i="29"/>
  <c r="G57" i="30" s="1"/>
  <c r="S69" i="33"/>
  <c r="G18" i="29"/>
  <c r="AT769" i="1"/>
  <c r="G100" i="29"/>
  <c r="G89" i="29"/>
  <c r="G89" i="30" s="1"/>
  <c r="G35" i="29"/>
  <c r="G35" i="30" s="1"/>
  <c r="G32" i="29"/>
  <c r="G32" i="30" s="1"/>
  <c r="G107" i="29"/>
  <c r="G48" i="29"/>
  <c r="G47" i="29"/>
  <c r="G48" i="4"/>
  <c r="G48" i="8"/>
  <c r="G70" i="4"/>
  <c r="G70" i="8" s="1"/>
  <c r="M70" i="8" s="1"/>
  <c r="H88" i="7"/>
  <c r="H52" i="7" s="1"/>
  <c r="G63" i="4"/>
  <c r="G13" i="29"/>
  <c r="G13" i="30" s="1"/>
  <c r="G17" i="4"/>
  <c r="G17" i="8" s="1"/>
  <c r="G97" i="29"/>
  <c r="G97" i="30" s="1"/>
  <c r="G80" i="29"/>
  <c r="M80" i="29" s="1"/>
  <c r="G34" i="29"/>
  <c r="G34" i="30" s="1"/>
  <c r="G37" i="29"/>
  <c r="G16" i="29"/>
  <c r="G16" i="30" s="1"/>
  <c r="G50" i="29"/>
  <c r="G72" i="29"/>
  <c r="G72" i="30" s="1"/>
  <c r="G46" i="29"/>
  <c r="M46" i="29" s="1"/>
  <c r="S71" i="33"/>
  <c r="G78" i="4"/>
  <c r="G78" i="8" s="1"/>
  <c r="S61" i="35"/>
  <c r="G26" i="29"/>
  <c r="G25" i="29"/>
  <c r="G25" i="30" s="1"/>
  <c r="AT90" i="1"/>
  <c r="S68" i="33"/>
  <c r="R72" i="33"/>
  <c r="S81" i="33"/>
  <c r="AT122" i="1"/>
  <c r="R76" i="33"/>
  <c r="AS837" i="1"/>
  <c r="AS840" i="1"/>
  <c r="R894" i="27"/>
  <c r="R4" i="27" s="1"/>
  <c r="AS571" i="1"/>
  <c r="AS314" i="1"/>
  <c r="AA898" i="1"/>
  <c r="A553" i="27"/>
  <c r="N553" i="27" s="1"/>
  <c r="N552" i="27"/>
  <c r="N19" i="4"/>
  <c r="AS798" i="1"/>
  <c r="AS826" i="1"/>
  <c r="AS760" i="1"/>
  <c r="AR271" i="1"/>
  <c r="AT68" i="1"/>
  <c r="AN777" i="1"/>
  <c r="AS777" i="1" s="1"/>
  <c r="AN787" i="1"/>
  <c r="AN821" i="1"/>
  <c r="AN825" i="1"/>
  <c r="AK183" i="1"/>
  <c r="AR183" i="1" s="1"/>
  <c r="AR185" i="1"/>
  <c r="AM212" i="1"/>
  <c r="AS212" i="1" s="1"/>
  <c r="AM256" i="1"/>
  <c r="G66" i="7"/>
  <c r="G67" i="7" s="1"/>
  <c r="G90" i="7" s="1"/>
  <c r="AR295" i="1"/>
  <c r="AR301" i="1"/>
  <c r="AR319" i="1"/>
  <c r="AR351" i="1"/>
  <c r="AR359" i="1"/>
  <c r="AR387" i="1"/>
  <c r="AR388" i="1"/>
  <c r="AR390" i="1"/>
  <c r="AR405" i="1"/>
  <c r="AR411" i="1"/>
  <c r="AS67" i="1"/>
  <c r="AM522" i="1"/>
  <c r="AM772" i="1"/>
  <c r="AM816" i="1"/>
  <c r="AS816" i="1" s="1"/>
  <c r="AR424" i="1"/>
  <c r="AR425" i="1"/>
  <c r="AR428" i="1"/>
  <c r="AR436" i="1"/>
  <c r="AR438" i="1"/>
  <c r="AR447" i="1"/>
  <c r="AR448" i="1"/>
  <c r="AR455" i="1"/>
  <c r="AR456" i="1"/>
  <c r="AR463" i="1"/>
  <c r="AR473" i="1"/>
  <c r="AR475" i="1"/>
  <c r="AR476" i="1"/>
  <c r="AR480" i="1"/>
  <c r="AR484" i="1"/>
  <c r="AR486" i="1"/>
  <c r="AR495" i="1"/>
  <c r="AR496" i="1"/>
  <c r="AR497" i="1"/>
  <c r="AR500" i="1"/>
  <c r="AR507" i="1"/>
  <c r="AR508" i="1"/>
  <c r="AR513" i="1"/>
  <c r="AR521" i="1"/>
  <c r="AR533" i="1"/>
  <c r="AR535" i="1"/>
  <c r="AR537" i="1"/>
  <c r="AR539" i="1"/>
  <c r="AR540" i="1"/>
  <c r="AR542" i="1"/>
  <c r="AR583" i="1"/>
  <c r="AR585" i="1"/>
  <c r="AR597" i="1"/>
  <c r="AR599" i="1"/>
  <c r="AR603" i="1"/>
  <c r="AR604" i="1"/>
  <c r="AR615" i="1"/>
  <c r="AR617" i="1"/>
  <c r="AR618" i="1"/>
  <c r="AR619" i="1"/>
  <c r="AR667" i="1"/>
  <c r="AR675" i="1"/>
  <c r="AR689" i="1"/>
  <c r="AR691" i="1"/>
  <c r="AR699" i="1"/>
  <c r="AR727" i="1"/>
  <c r="AR731" i="1"/>
  <c r="AR763" i="1"/>
  <c r="AR765" i="1"/>
  <c r="AR767" i="1"/>
  <c r="AR771" i="1"/>
  <c r="AR815" i="1"/>
  <c r="AR825" i="1"/>
  <c r="AR854" i="1"/>
  <c r="AR880" i="1"/>
  <c r="AS836" i="1"/>
  <c r="AN572" i="1"/>
  <c r="AS233" i="1"/>
  <c r="AS184" i="1"/>
  <c r="G85" i="4"/>
  <c r="G85" i="8" s="1"/>
  <c r="AN118" i="1"/>
  <c r="AN63" i="1"/>
  <c r="AS65" i="1"/>
  <c r="T908" i="27"/>
  <c r="AC890" i="1"/>
  <c r="AC13" i="1"/>
  <c r="AL902" i="1"/>
  <c r="AK888" i="1"/>
  <c r="AL894" i="1" s="1"/>
  <c r="AL4" i="1" s="1"/>
  <c r="G106" i="29"/>
  <c r="G106" i="30" s="1"/>
  <c r="AR231" i="1"/>
  <c r="AR239" i="1"/>
  <c r="AR371" i="1"/>
  <c r="AR373" i="1"/>
  <c r="AR375" i="1"/>
  <c r="AR415" i="1"/>
  <c r="AR478" i="1"/>
  <c r="AR565" i="1"/>
  <c r="AR575" i="1"/>
  <c r="AR577" i="1"/>
  <c r="AR581" i="1"/>
  <c r="AR589" i="1"/>
  <c r="AM590" i="1"/>
  <c r="AR595" i="1"/>
  <c r="AR622" i="1"/>
  <c r="AL911" i="1"/>
  <c r="AR309" i="1"/>
  <c r="AS510" i="1"/>
  <c r="AL907" i="1"/>
  <c r="AR576" i="1"/>
  <c r="AS526" i="1"/>
  <c r="AS337" i="1"/>
  <c r="AS61" i="1"/>
  <c r="N72" i="29"/>
  <c r="N44" i="30"/>
  <c r="N52" i="30"/>
  <c r="N92" i="30"/>
  <c r="N95" i="30" s="1"/>
  <c r="N94" i="30"/>
  <c r="N104" i="30"/>
  <c r="N83" i="30"/>
  <c r="H22" i="4"/>
  <c r="H22" i="8" s="1"/>
  <c r="N22" i="8" s="1"/>
  <c r="AS332" i="1"/>
  <c r="AS634" i="1"/>
  <c r="AS644" i="1"/>
  <c r="AS662" i="1"/>
  <c r="AS400" i="1"/>
  <c r="AS580" i="1"/>
  <c r="G81" i="4"/>
  <c r="AS216" i="1"/>
  <c r="AS91" i="1"/>
  <c r="AS150" i="1"/>
  <c r="AS487" i="1"/>
  <c r="AS696" i="1"/>
  <c r="AS682" i="1"/>
  <c r="AS604" i="1"/>
  <c r="AS368" i="1"/>
  <c r="AS387" i="1"/>
  <c r="AS414" i="1"/>
  <c r="AS668" i="1"/>
  <c r="AT684" i="1"/>
  <c r="AT442" i="1"/>
  <c r="AT224" i="1"/>
  <c r="AS555" i="1"/>
  <c r="W911" i="1"/>
  <c r="AR66" i="1"/>
  <c r="AR153" i="1"/>
  <c r="AR170" i="1"/>
  <c r="AK177" i="1"/>
  <c r="AR244" i="1"/>
  <c r="AR266" i="1"/>
  <c r="AR289" i="1"/>
  <c r="H48" i="4"/>
  <c r="N48" i="4" s="1"/>
  <c r="AR377" i="1"/>
  <c r="AR416" i="1"/>
  <c r="AR520" i="1"/>
  <c r="AR532" i="1"/>
  <c r="AR588" i="1"/>
  <c r="AR633" i="1"/>
  <c r="AS455" i="1"/>
  <c r="AS425" i="1"/>
  <c r="AS355" i="1"/>
  <c r="AS330" i="1"/>
  <c r="AS325" i="1"/>
  <c r="AS315" i="1"/>
  <c r="AS311" i="1"/>
  <c r="AS303" i="1"/>
  <c r="AS302" i="1"/>
  <c r="AS180" i="1"/>
  <c r="AS175" i="1"/>
  <c r="AS165" i="1"/>
  <c r="AS139" i="1"/>
  <c r="AS133" i="1"/>
  <c r="AS127" i="1"/>
  <c r="AS106" i="1"/>
  <c r="AS104" i="1"/>
  <c r="AS103" i="1"/>
  <c r="AS97" i="1"/>
  <c r="AS93" i="1"/>
  <c r="AS84" i="1"/>
  <c r="AS76" i="1"/>
  <c r="AT66" i="1"/>
  <c r="AS22" i="1"/>
  <c r="G92" i="4"/>
  <c r="G104" i="29"/>
  <c r="AR451" i="1"/>
  <c r="AR705" i="1"/>
  <c r="AS766" i="1"/>
  <c r="AS110" i="1"/>
  <c r="AS151" i="1"/>
  <c r="J34" i="4"/>
  <c r="AS558" i="1"/>
  <c r="AS422" i="1"/>
  <c r="AS426" i="1"/>
  <c r="AS800" i="1"/>
  <c r="AT267" i="1"/>
  <c r="AS450" i="1"/>
  <c r="AS446" i="1"/>
  <c r="AT562" i="1"/>
  <c r="H55" i="8"/>
  <c r="N92" i="4"/>
  <c r="AR64" i="1"/>
  <c r="N80" i="4"/>
  <c r="D93" i="4"/>
  <c r="E92" i="8"/>
  <c r="G65" i="29"/>
  <c r="G65" i="30" s="1"/>
  <c r="G60" i="29"/>
  <c r="G60" i="30" s="1"/>
  <c r="G62" i="30" s="1"/>
  <c r="G83" i="29"/>
  <c r="G83" i="30" s="1"/>
  <c r="G56" i="29"/>
  <c r="E58" i="29"/>
  <c r="E56" i="30"/>
  <c r="N68" i="29"/>
  <c r="E68" i="30"/>
  <c r="H70" i="29"/>
  <c r="H68" i="30"/>
  <c r="H70" i="30" s="1"/>
  <c r="AM20" i="1"/>
  <c r="AM26" i="1"/>
  <c r="AM56" i="1"/>
  <c r="AM62" i="1"/>
  <c r="AN72" i="1"/>
  <c r="AS72" i="1" s="1"/>
  <c r="AN81" i="1"/>
  <c r="AM107" i="1"/>
  <c r="AM111" i="1"/>
  <c r="AM152" i="1"/>
  <c r="AL160" i="1"/>
  <c r="AN161" i="1"/>
  <c r="O66" i="35"/>
  <c r="AL177" i="1"/>
  <c r="AL178" i="1"/>
  <c r="AN178" i="1"/>
  <c r="AS178" i="1" s="1"/>
  <c r="AM181" i="1"/>
  <c r="AN183" i="1"/>
  <c r="AM185" i="1"/>
  <c r="AN186" i="1"/>
  <c r="AL191" i="1"/>
  <c r="AR191" i="1" s="1"/>
  <c r="H79" i="4"/>
  <c r="AN191" i="1"/>
  <c r="AS191" i="1" s="1"/>
  <c r="AL192" i="1"/>
  <c r="AN192" i="1"/>
  <c r="AS192" i="1" s="1"/>
  <c r="AN193" i="1"/>
  <c r="AL194" i="1"/>
  <c r="AR194" i="1" s="1"/>
  <c r="AN194" i="1"/>
  <c r="AS194" i="1" s="1"/>
  <c r="AM201" i="1"/>
  <c r="AK203" i="1"/>
  <c r="AM207" i="1"/>
  <c r="AS207" i="1" s="1"/>
  <c r="AK208" i="1"/>
  <c r="AR208" i="1" s="1"/>
  <c r="AK212" i="1"/>
  <c r="AR212" i="1"/>
  <c r="AN212" i="1"/>
  <c r="AL213" i="1"/>
  <c r="P71" i="33"/>
  <c r="AL214" i="1"/>
  <c r="P72" i="33"/>
  <c r="P2" i="33" s="1"/>
  <c r="Q85" i="8" s="1"/>
  <c r="AL215" i="1"/>
  <c r="AN232" i="1"/>
  <c r="AT232" i="1"/>
  <c r="AN239" i="1"/>
  <c r="AS239" i="1" s="1"/>
  <c r="AM240" i="1"/>
  <c r="AN289" i="1"/>
  <c r="AS289" i="1"/>
  <c r="AM299" i="1"/>
  <c r="AS299" i="1" s="1"/>
  <c r="AM307" i="1"/>
  <c r="AN308" i="1"/>
  <c r="AN318" i="1"/>
  <c r="AS318" i="1" s="1"/>
  <c r="AM321" i="1"/>
  <c r="AS321" i="1" s="1"/>
  <c r="AM333" i="1"/>
  <c r="AN334" i="1"/>
  <c r="AM335" i="1"/>
  <c r="AN338" i="1"/>
  <c r="AS338" i="1" s="1"/>
  <c r="H32" i="8"/>
  <c r="N32" i="8" s="1"/>
  <c r="N32" i="4"/>
  <c r="AN340" i="1"/>
  <c r="AS340" i="1"/>
  <c r="AM345" i="1"/>
  <c r="AM371" i="1"/>
  <c r="AM373" i="1"/>
  <c r="AN374" i="1"/>
  <c r="AS374" i="1" s="1"/>
  <c r="AN375" i="1"/>
  <c r="AN377" i="1"/>
  <c r="AN390" i="1"/>
  <c r="AN391" i="1"/>
  <c r="AS391" i="1" s="1"/>
  <c r="AM404" i="1"/>
  <c r="AS404" i="1" s="1"/>
  <c r="AN405" i="1"/>
  <c r="AN406" i="1"/>
  <c r="AS406" i="1" s="1"/>
  <c r="AN408" i="1"/>
  <c r="AS408" i="1" s="1"/>
  <c r="AN409" i="1"/>
  <c r="AN410" i="1"/>
  <c r="AM415" i="1"/>
  <c r="AN416" i="1"/>
  <c r="AS416" i="1" s="1"/>
  <c r="AM419" i="1"/>
  <c r="AM432" i="1"/>
  <c r="AS432" i="1" s="1"/>
  <c r="AM433" i="1"/>
  <c r="AM463" i="1"/>
  <c r="AN466" i="1"/>
  <c r="AM475" i="1"/>
  <c r="AN478" i="1"/>
  <c r="AM495" i="1"/>
  <c r="AS495" i="1" s="1"/>
  <c r="AN499" i="1"/>
  <c r="AM507" i="1"/>
  <c r="AN512" i="1"/>
  <c r="AN519" i="1"/>
  <c r="AS519" i="1" s="1"/>
  <c r="AN520" i="1"/>
  <c r="AM527" i="1"/>
  <c r="AN530" i="1"/>
  <c r="AN531" i="1"/>
  <c r="AS531" i="1" s="1"/>
  <c r="AN532" i="1"/>
  <c r="AN543" i="1"/>
  <c r="AS543" i="1" s="1"/>
  <c r="AN544" i="1"/>
  <c r="AN545" i="1"/>
  <c r="AS545" i="1" s="1"/>
  <c r="AN546" i="1"/>
  <c r="AN557" i="1"/>
  <c r="AS557" i="1"/>
  <c r="AM565" i="1"/>
  <c r="AS565" i="1" s="1"/>
  <c r="AM575" i="1"/>
  <c r="AM585" i="1"/>
  <c r="AN587" i="1"/>
  <c r="AS587" i="1" s="1"/>
  <c r="AM591" i="1"/>
  <c r="AS591" i="1" s="1"/>
  <c r="AM617" i="1"/>
  <c r="AN619" i="1"/>
  <c r="AS619" i="1" s="1"/>
  <c r="AM633" i="1"/>
  <c r="AN637" i="1"/>
  <c r="G56" i="4"/>
  <c r="AS472" i="1"/>
  <c r="AS269" i="1"/>
  <c r="AS679" i="1"/>
  <c r="AS670" i="1"/>
  <c r="AS701" i="1"/>
  <c r="AS449" i="1"/>
  <c r="AS372" i="1"/>
  <c r="AS508" i="1"/>
  <c r="AS516" i="1"/>
  <c r="AS305" i="1"/>
  <c r="AS360" i="1"/>
  <c r="AT635" i="1"/>
  <c r="AT175" i="1"/>
  <c r="D87" i="4"/>
  <c r="AS539" i="1"/>
  <c r="AS313" i="1"/>
  <c r="AT441" i="1"/>
  <c r="AS514" i="1"/>
  <c r="AS860" i="1"/>
  <c r="AS871" i="1"/>
  <c r="AS652" i="1"/>
  <c r="S470" i="31"/>
  <c r="R2" i="31" s="1"/>
  <c r="D55" i="8"/>
  <c r="D56" i="8" s="1"/>
  <c r="K56" i="4"/>
  <c r="K55" i="8"/>
  <c r="AS609" i="1"/>
  <c r="AS810" i="1"/>
  <c r="AR278" i="1"/>
  <c r="AR56" i="1"/>
  <c r="AR120" i="1"/>
  <c r="AS775" i="1"/>
  <c r="AS346" i="1"/>
  <c r="AR340" i="1"/>
  <c r="AR218" i="1"/>
  <c r="AS137" i="1"/>
  <c r="AT135" i="1"/>
  <c r="W829" i="1"/>
  <c r="G84" i="7"/>
  <c r="G78" i="7"/>
  <c r="E26" i="4"/>
  <c r="E25" i="8"/>
  <c r="E23" i="8" s="1"/>
  <c r="N19" i="8"/>
  <c r="N16" i="8"/>
  <c r="O34" i="36"/>
  <c r="B34" i="36" s="1"/>
  <c r="H25" i="4"/>
  <c r="AM392" i="1"/>
  <c r="AR399" i="1"/>
  <c r="E27" i="29"/>
  <c r="E25" i="30"/>
  <c r="N25" i="30" s="1"/>
  <c r="N27" i="30" s="1"/>
  <c r="N60" i="30"/>
  <c r="N65" i="30"/>
  <c r="E81" i="29"/>
  <c r="E79" i="30"/>
  <c r="N79" i="30" s="1"/>
  <c r="N84" i="30"/>
  <c r="N85" i="30" s="1"/>
  <c r="N93" i="30"/>
  <c r="N105" i="30"/>
  <c r="H58" i="29"/>
  <c r="H56" i="30"/>
  <c r="H58" i="30" s="1"/>
  <c r="N26" i="30"/>
  <c r="N35" i="30"/>
  <c r="H15" i="4"/>
  <c r="H20" i="4" s="1"/>
  <c r="AR147" i="1"/>
  <c r="AR229" i="1"/>
  <c r="AR391" i="1"/>
  <c r="AR407" i="1"/>
  <c r="AR409" i="1"/>
  <c r="AM438" i="1"/>
  <c r="AM480" i="1"/>
  <c r="AS480" i="1" s="1"/>
  <c r="AM486" i="1"/>
  <c r="AS486" i="1"/>
  <c r="AM622" i="1"/>
  <c r="AM640" i="1"/>
  <c r="AR719" i="1"/>
  <c r="AR721" i="1"/>
  <c r="AR725" i="1"/>
  <c r="AR735" i="1"/>
  <c r="AR743" i="1"/>
  <c r="AR745" i="1"/>
  <c r="AM762" i="1"/>
  <c r="AM768" i="1"/>
  <c r="AR775" i="1"/>
  <c r="AM780" i="1"/>
  <c r="AS780" i="1" s="1"/>
  <c r="AM784" i="1"/>
  <c r="AR795" i="1"/>
  <c r="AR811" i="1"/>
  <c r="AR813" i="1"/>
  <c r="AR858" i="1"/>
  <c r="AR437" i="1"/>
  <c r="AR441" i="1"/>
  <c r="AR443" i="1"/>
  <c r="AR445" i="1"/>
  <c r="AR467" i="1"/>
  <c r="AR479" i="1"/>
  <c r="AR491" i="1"/>
  <c r="AR493" i="1"/>
  <c r="AR505" i="1"/>
  <c r="AR531" i="1"/>
  <c r="AR543" i="1"/>
  <c r="AR545" i="1"/>
  <c r="AR571" i="1"/>
  <c r="AR579" i="1"/>
  <c r="AR605" i="1"/>
  <c r="AR639" i="1"/>
  <c r="AR647" i="1"/>
  <c r="AR649" i="1"/>
  <c r="N47" i="7"/>
  <c r="D78" i="7"/>
  <c r="E45" i="4" s="1"/>
  <c r="M22" i="7"/>
  <c r="N25" i="32"/>
  <c r="AM200" i="1"/>
  <c r="AT260" i="1"/>
  <c r="AS552" i="1"/>
  <c r="AS574" i="1"/>
  <c r="AS599" i="1"/>
  <c r="AS573" i="1"/>
  <c r="AS593" i="1"/>
  <c r="AT566" i="1"/>
  <c r="AS563" i="1"/>
  <c r="AT556" i="1"/>
  <c r="AS556" i="1"/>
  <c r="AS541" i="1"/>
  <c r="AS536" i="1"/>
  <c r="AS535" i="1"/>
  <c r="AS517" i="1"/>
  <c r="AS494" i="1"/>
  <c r="AT494" i="1"/>
  <c r="AS473" i="1"/>
  <c r="AS465" i="1"/>
  <c r="AS447" i="1"/>
  <c r="AS437" i="1"/>
  <c r="G105" i="29"/>
  <c r="G105" i="30" s="1"/>
  <c r="AS498" i="1"/>
  <c r="AS413" i="1"/>
  <c r="AS423" i="1"/>
  <c r="AS431" i="1"/>
  <c r="AS457" i="1"/>
  <c r="AS459" i="1"/>
  <c r="AS461" i="1"/>
  <c r="AS440" i="1"/>
  <c r="AS471" i="1"/>
  <c r="AS481" i="1"/>
  <c r="AS483" i="1"/>
  <c r="AS485" i="1"/>
  <c r="AS503" i="1"/>
  <c r="AS547" i="1"/>
  <c r="AS553" i="1"/>
  <c r="AS441" i="1"/>
  <c r="AS505" i="1"/>
  <c r="AS509" i="1"/>
  <c r="AT555" i="1"/>
  <c r="AS342" i="1"/>
  <c r="AS247" i="1"/>
  <c r="AM186" i="1"/>
  <c r="AS186" i="1" s="1"/>
  <c r="AS260" i="1"/>
  <c r="AS235" i="1"/>
  <c r="AM572" i="1"/>
  <c r="AS600" i="1"/>
  <c r="AS579" i="1"/>
  <c r="AS597" i="1"/>
  <c r="AS583" i="1"/>
  <c r="AT571" i="1"/>
  <c r="AS336" i="1"/>
  <c r="AS347" i="1"/>
  <c r="AM298" i="1"/>
  <c r="AM304" i="1"/>
  <c r="AS259" i="1"/>
  <c r="AS283" i="1"/>
  <c r="AS281" i="1"/>
  <c r="AS243" i="1"/>
  <c r="AS228" i="1"/>
  <c r="AS262" i="1"/>
  <c r="AT235" i="1"/>
  <c r="AN284" i="1"/>
  <c r="AN280" i="1"/>
  <c r="AN275" i="1"/>
  <c r="AS275" i="1"/>
  <c r="AN274" i="1"/>
  <c r="AN273" i="1"/>
  <c r="AN272" i="1"/>
  <c r="AN271" i="1"/>
  <c r="AS271" i="1" s="1"/>
  <c r="AN268" i="1"/>
  <c r="AN263" i="1"/>
  <c r="AM258" i="1"/>
  <c r="AN257" i="1"/>
  <c r="AS257" i="1" s="1"/>
  <c r="AN246" i="1"/>
  <c r="AM245" i="1"/>
  <c r="AN241" i="1"/>
  <c r="AN238" i="1"/>
  <c r="AS238" i="1" s="1"/>
  <c r="AM237" i="1"/>
  <c r="AM231" i="1"/>
  <c r="AS231" i="1" s="1"/>
  <c r="AN227" i="1"/>
  <c r="AN225" i="1"/>
  <c r="AS225" i="1" s="1"/>
  <c r="AN215" i="1"/>
  <c r="AN211" i="1"/>
  <c r="AN208" i="1"/>
  <c r="AS208" i="1" s="1"/>
  <c r="AN205" i="1"/>
  <c r="AN204" i="1"/>
  <c r="AN200" i="1"/>
  <c r="AM199" i="1"/>
  <c r="AS199" i="1" s="1"/>
  <c r="AN196" i="1"/>
  <c r="AM189" i="1"/>
  <c r="AN187" i="1"/>
  <c r="AN185" i="1"/>
  <c r="AS185" i="1" s="1"/>
  <c r="AM183" i="1"/>
  <c r="AT436" i="1"/>
  <c r="AS674" i="1"/>
  <c r="AT435" i="1"/>
  <c r="AT771" i="1"/>
  <c r="AS501" i="1"/>
  <c r="AS469" i="1"/>
  <c r="AS809" i="1"/>
  <c r="AS707" i="1"/>
  <c r="AS497" i="1"/>
  <c r="AS655" i="1"/>
  <c r="AS815" i="1"/>
  <c r="T894" i="20"/>
  <c r="T4" i="20" s="1"/>
  <c r="AS595" i="1"/>
  <c r="AS660" i="1"/>
  <c r="AS850" i="1"/>
  <c r="AS569" i="1"/>
  <c r="AS100" i="1"/>
  <c r="AN19" i="1"/>
  <c r="AM71" i="1"/>
  <c r="AS71" i="1" s="1"/>
  <c r="AM87" i="1"/>
  <c r="AM101" i="1"/>
  <c r="AS101" i="1" s="1"/>
  <c r="AM220" i="1"/>
  <c r="AS220" i="1" s="1"/>
  <c r="AM296" i="1"/>
  <c r="AM300" i="1"/>
  <c r="AM334" i="1"/>
  <c r="AS334" i="1" s="1"/>
  <c r="AM370" i="1"/>
  <c r="AM464" i="1"/>
  <c r="AM496" i="1"/>
  <c r="AM582" i="1"/>
  <c r="AS582" i="1" s="1"/>
  <c r="AT879" i="1"/>
  <c r="AS585" i="1"/>
  <c r="AT665" i="1"/>
  <c r="AM24" i="1"/>
  <c r="AM54" i="1"/>
  <c r="AS54" i="1" s="1"/>
  <c r="AN57" i="1"/>
  <c r="AM58" i="1"/>
  <c r="AS58" i="1"/>
  <c r="AN69" i="1"/>
  <c r="AS69" i="1" s="1"/>
  <c r="AN71" i="1"/>
  <c r="AN73" i="1"/>
  <c r="AS73" i="1"/>
  <c r="AN74" i="1"/>
  <c r="AM77" i="1"/>
  <c r="AN83" i="1"/>
  <c r="AM85" i="1"/>
  <c r="AM95" i="1"/>
  <c r="AS95" i="1" s="1"/>
  <c r="AM130" i="1"/>
  <c r="AM270" i="1"/>
  <c r="AM306" i="1"/>
  <c r="AM386" i="1"/>
  <c r="AM390" i="1"/>
  <c r="AM420" i="1"/>
  <c r="AM428" i="1"/>
  <c r="AM538" i="1"/>
  <c r="AM540" i="1"/>
  <c r="AM732" i="1"/>
  <c r="AN733" i="1"/>
  <c r="AS733" i="1" s="1"/>
  <c r="AS611" i="1"/>
  <c r="AS631" i="1"/>
  <c r="AS714" i="1"/>
  <c r="AS868" i="1"/>
  <c r="AS377" i="1"/>
  <c r="AS309" i="1"/>
  <c r="AS279" i="1"/>
  <c r="AS98" i="1"/>
  <c r="AN20" i="1"/>
  <c r="AS20" i="1" s="1"/>
  <c r="AT20" i="1"/>
  <c r="AN21" i="1"/>
  <c r="AN25" i="1"/>
  <c r="AN62" i="1"/>
  <c r="AS62" i="1" s="1"/>
  <c r="AM86" i="1"/>
  <c r="AN88" i="1"/>
  <c r="AS88" i="1" s="1"/>
  <c r="AM126" i="1"/>
  <c r="AM128" i="1"/>
  <c r="AS128" i="1" s="1"/>
  <c r="AM136" i="1"/>
  <c r="AS136" i="1" s="1"/>
  <c r="AM176" i="1"/>
  <c r="AM246" i="1"/>
  <c r="AM312" i="1"/>
  <c r="AM326" i="1"/>
  <c r="AS326" i="1" s="1"/>
  <c r="AM338" i="1"/>
  <c r="AM352" i="1"/>
  <c r="AM456" i="1"/>
  <c r="AS456" i="1" s="1"/>
  <c r="AM460" i="1"/>
  <c r="AM484" i="1"/>
  <c r="AM520" i="1"/>
  <c r="AM532" i="1"/>
  <c r="AS532" i="1" s="1"/>
  <c r="AM548" i="1"/>
  <c r="AS548" i="1"/>
  <c r="AM550" i="1"/>
  <c r="AM564" i="1"/>
  <c r="AS564" i="1" s="1"/>
  <c r="AM594" i="1"/>
  <c r="AN699" i="1"/>
  <c r="AN709" i="1"/>
  <c r="AM754" i="1"/>
  <c r="AN763" i="1"/>
  <c r="AM776" i="1"/>
  <c r="AN789" i="1"/>
  <c r="AN805" i="1"/>
  <c r="AS805" i="1" s="1"/>
  <c r="AM824" i="1"/>
  <c r="AM828" i="1"/>
  <c r="AS828" i="1" s="1"/>
  <c r="AT93" i="1"/>
  <c r="AS90" i="1"/>
  <c r="G94" i="29"/>
  <c r="G94" i="30"/>
  <c r="G92" i="29"/>
  <c r="G92" i="30" s="1"/>
  <c r="AM388" i="1"/>
  <c r="AS388" i="1" s="1"/>
  <c r="AM412" i="1"/>
  <c r="AS412" i="1" s="1"/>
  <c r="AM424" i="1"/>
  <c r="AM476" i="1"/>
  <c r="AM534" i="1"/>
  <c r="AS534" i="1" s="1"/>
  <c r="AM542" i="1"/>
  <c r="AM560" i="1"/>
  <c r="AM586" i="1"/>
  <c r="AM734" i="1"/>
  <c r="AS734" i="1" s="1"/>
  <c r="AM744" i="1"/>
  <c r="AM746" i="1"/>
  <c r="AS746" i="1" s="1"/>
  <c r="AM770" i="1"/>
  <c r="AM808" i="1"/>
  <c r="AS808" i="1" s="1"/>
  <c r="AT689" i="1"/>
  <c r="G63" i="8"/>
  <c r="G80" i="30"/>
  <c r="M80" i="30" s="1"/>
  <c r="AT729" i="1"/>
  <c r="AT728" i="1"/>
  <c r="AS140" i="1"/>
  <c r="AT140" i="1"/>
  <c r="AT656" i="1"/>
  <c r="AS529" i="1"/>
  <c r="AS884" i="1"/>
  <c r="AS846" i="1"/>
  <c r="AS578" i="1"/>
  <c r="AS382" i="1"/>
  <c r="AS357" i="1"/>
  <c r="AS195" i="1"/>
  <c r="AS182" i="1"/>
  <c r="AS164" i="1"/>
  <c r="G36" i="29"/>
  <c r="G64" i="29"/>
  <c r="G64" i="30" s="1"/>
  <c r="G66" i="30" s="1"/>
  <c r="G61" i="29"/>
  <c r="H76" i="7"/>
  <c r="H66" i="7"/>
  <c r="AT660" i="1"/>
  <c r="AS291" i="1"/>
  <c r="AS147" i="1"/>
  <c r="AS111" i="1"/>
  <c r="AS96" i="1"/>
  <c r="AS92" i="1"/>
  <c r="G32" i="4"/>
  <c r="AT753" i="1"/>
  <c r="AM17" i="1"/>
  <c r="AM19" i="1"/>
  <c r="AS19" i="1" s="1"/>
  <c r="AM63" i="1"/>
  <c r="AM79" i="1"/>
  <c r="AS79" i="1" s="1"/>
  <c r="AM81" i="1"/>
  <c r="AM83" i="1"/>
  <c r="AM172" i="1"/>
  <c r="AM190" i="1"/>
  <c r="AS190" i="1" s="1"/>
  <c r="AM410" i="1"/>
  <c r="AM490" i="1"/>
  <c r="AS490" i="1" s="1"/>
  <c r="AM528" i="1"/>
  <c r="AS737" i="1"/>
  <c r="AM782" i="1"/>
  <c r="AM812" i="1"/>
  <c r="AS812" i="1" s="1"/>
  <c r="AM117" i="1"/>
  <c r="G52" i="29"/>
  <c r="G52" i="30" s="1"/>
  <c r="M52" i="30" s="1"/>
  <c r="AM55" i="1"/>
  <c r="AS55" i="1" s="1"/>
  <c r="AM568" i="1"/>
  <c r="AT847" i="1"/>
  <c r="G18" i="8"/>
  <c r="M18" i="8" s="1"/>
  <c r="M18" i="4"/>
  <c r="Y888" i="1"/>
  <c r="Y894" i="1"/>
  <c r="Y4" i="1" s="1"/>
  <c r="Z888" i="1"/>
  <c r="T888" i="27"/>
  <c r="T894" i="27" s="1"/>
  <c r="T4" i="27" s="1"/>
  <c r="AT873" i="1"/>
  <c r="AS869" i="1"/>
  <c r="AS874" i="1"/>
  <c r="AA874" i="1"/>
  <c r="AA870" i="1"/>
  <c r="AS844" i="1"/>
  <c r="AS838" i="1"/>
  <c r="AS832" i="1"/>
  <c r="R890" i="27"/>
  <c r="R13" i="27"/>
  <c r="G51" i="29"/>
  <c r="AT578" i="1"/>
  <c r="AN577" i="1"/>
  <c r="AN576" i="1"/>
  <c r="AS576" i="1" s="1"/>
  <c r="AS567" i="1"/>
  <c r="G74" i="29"/>
  <c r="G74" i="30" s="1"/>
  <c r="G75" i="29"/>
  <c r="AN376" i="1"/>
  <c r="AS376" i="1" s="1"/>
  <c r="AN373" i="1"/>
  <c r="G33" i="4"/>
  <c r="M33" i="4" s="1"/>
  <c r="AN343" i="1"/>
  <c r="AS343" i="1" s="1"/>
  <c r="AN341" i="1"/>
  <c r="AS341" i="1" s="1"/>
  <c r="AS335" i="1"/>
  <c r="AN331" i="1"/>
  <c r="G49" i="4"/>
  <c r="AS301" i="1"/>
  <c r="AS288" i="1"/>
  <c r="G84" i="4"/>
  <c r="G86" i="8"/>
  <c r="G87" i="8" s="1"/>
  <c r="AN197" i="1"/>
  <c r="AS197" i="1" s="1"/>
  <c r="AN172" i="1"/>
  <c r="AN171" i="1"/>
  <c r="AS171" i="1" s="1"/>
  <c r="AN170" i="1"/>
  <c r="AS152" i="1"/>
  <c r="AA133" i="1"/>
  <c r="AS16" i="1"/>
  <c r="H84" i="7"/>
  <c r="H44" i="7" s="1"/>
  <c r="S829" i="27"/>
  <c r="S890" i="27" s="1"/>
  <c r="S13" i="27" s="1"/>
  <c r="M24" i="4"/>
  <c r="G24" i="8"/>
  <c r="G26" i="8" s="1"/>
  <c r="G16" i="4"/>
  <c r="G16" i="8"/>
  <c r="AN59" i="1"/>
  <c r="AA56" i="1"/>
  <c r="T904" i="27"/>
  <c r="T905" i="27"/>
  <c r="Z54" i="1"/>
  <c r="R892" i="27"/>
  <c r="R2" i="27" s="1"/>
  <c r="AN26" i="1"/>
  <c r="Q890" i="27"/>
  <c r="Q13" i="27"/>
  <c r="R75" i="33"/>
  <c r="S73" i="33"/>
  <c r="AR217" i="1"/>
  <c r="AS740" i="1"/>
  <c r="S19" i="36"/>
  <c r="R19" i="36"/>
  <c r="S18" i="36"/>
  <c r="R18" i="36" s="1"/>
  <c r="R64" i="33"/>
  <c r="AS756" i="1"/>
  <c r="AS758" i="1"/>
  <c r="AN738" i="1"/>
  <c r="AS738" i="1" s="1"/>
  <c r="AN744" i="1"/>
  <c r="AS744" i="1" s="1"/>
  <c r="AN759" i="1"/>
  <c r="AS759" i="1" s="1"/>
  <c r="AN754" i="1"/>
  <c r="AS753" i="1"/>
  <c r="AN752" i="1"/>
  <c r="AS752" i="1" s="1"/>
  <c r="AN750" i="1"/>
  <c r="AS750" i="1" s="1"/>
  <c r="AN748" i="1"/>
  <c r="AN732" i="1"/>
  <c r="O26" i="36"/>
  <c r="B26" i="36"/>
  <c r="AN743" i="1"/>
  <c r="AN749" i="1"/>
  <c r="AT730" i="1"/>
  <c r="O31" i="36"/>
  <c r="O13" i="36"/>
  <c r="O29" i="36"/>
  <c r="N29" i="36" s="1"/>
  <c r="O13" i="20"/>
  <c r="W910" i="1"/>
  <c r="H45" i="4" s="1"/>
  <c r="V829" i="1"/>
  <c r="V890" i="1" s="1"/>
  <c r="O51" i="35"/>
  <c r="AH910" i="1"/>
  <c r="J45" i="4" s="1"/>
  <c r="J45" i="8" s="1"/>
  <c r="J40" i="8"/>
  <c r="J46" i="8" s="1"/>
  <c r="AR149" i="1"/>
  <c r="AL910" i="1"/>
  <c r="R51" i="35"/>
  <c r="S51" i="35"/>
  <c r="T910" i="1"/>
  <c r="K15" i="7"/>
  <c r="D32" i="7"/>
  <c r="AR261" i="1"/>
  <c r="G87" i="4"/>
  <c r="P67" i="33"/>
  <c r="N17" i="29"/>
  <c r="N22" i="29" s="1"/>
  <c r="G58" i="29"/>
  <c r="K27" i="29"/>
  <c r="N13" i="29"/>
  <c r="N16" i="29"/>
  <c r="G66" i="29"/>
  <c r="M55" i="29"/>
  <c r="K53" i="29"/>
  <c r="N65" i="29"/>
  <c r="N34" i="29"/>
  <c r="K85" i="29"/>
  <c r="E102" i="29"/>
  <c r="N52" i="29"/>
  <c r="K70" i="29"/>
  <c r="B25" i="36"/>
  <c r="D79" i="29"/>
  <c r="D81" i="29" s="1"/>
  <c r="AS739" i="1"/>
  <c r="O21" i="36"/>
  <c r="O30" i="36"/>
  <c r="G79" i="29"/>
  <c r="G79" i="30" s="1"/>
  <c r="G81" i="30" s="1"/>
  <c r="O22" i="36"/>
  <c r="G88" i="29"/>
  <c r="M88" i="29" s="1"/>
  <c r="D88" i="29"/>
  <c r="D88" i="30" s="1"/>
  <c r="J88" i="29"/>
  <c r="J88" i="30" s="1"/>
  <c r="J90" i="30" s="1"/>
  <c r="O27" i="36"/>
  <c r="N23" i="36"/>
  <c r="B23" i="36"/>
  <c r="O14" i="36"/>
  <c r="R66" i="35"/>
  <c r="S66" i="35"/>
  <c r="S14" i="36"/>
  <c r="R14" i="36" s="1"/>
  <c r="O15" i="36"/>
  <c r="N15" i="36" s="1"/>
  <c r="P4" i="33"/>
  <c r="P81" i="4"/>
  <c r="R4" i="33"/>
  <c r="K95" i="30"/>
  <c r="E85" i="30"/>
  <c r="E95" i="29"/>
  <c r="N26" i="29"/>
  <c r="H22" i="29"/>
  <c r="H40" i="29" s="1"/>
  <c r="H113" i="29" s="1"/>
  <c r="H109" i="29"/>
  <c r="N60" i="29"/>
  <c r="K22" i="29"/>
  <c r="N80" i="29"/>
  <c r="N81" i="29" s="1"/>
  <c r="N50" i="29"/>
  <c r="K109" i="29"/>
  <c r="H102" i="29"/>
  <c r="N32" i="29"/>
  <c r="N15" i="29"/>
  <c r="N106" i="29"/>
  <c r="N94" i="29"/>
  <c r="E22" i="29"/>
  <c r="N36" i="29"/>
  <c r="E85" i="29"/>
  <c r="N24" i="29"/>
  <c r="N43" i="29"/>
  <c r="N45" i="29"/>
  <c r="N88" i="29"/>
  <c r="N90" i="29" s="1"/>
  <c r="K66" i="29"/>
  <c r="H62" i="30"/>
  <c r="M79" i="4"/>
  <c r="H101" i="4"/>
  <c r="M19" i="4"/>
  <c r="E84" i="4"/>
  <c r="K26" i="4"/>
  <c r="J47" i="4"/>
  <c r="H26" i="4"/>
  <c r="H28" i="4" s="1"/>
  <c r="D34" i="4"/>
  <c r="M31" i="4"/>
  <c r="J50" i="4"/>
  <c r="J20" i="4"/>
  <c r="J87" i="4"/>
  <c r="M85" i="4"/>
  <c r="D23" i="4"/>
  <c r="D26" i="4"/>
  <c r="D28" i="4" s="1"/>
  <c r="N55" i="4"/>
  <c r="N56" i="4" s="1"/>
  <c r="N13" i="4"/>
  <c r="M17" i="4"/>
  <c r="N22" i="4"/>
  <c r="H93" i="4"/>
  <c r="E56" i="4"/>
  <c r="J84" i="4"/>
  <c r="K20" i="4"/>
  <c r="K28" i="4" s="1"/>
  <c r="H87" i="4"/>
  <c r="H84" i="4"/>
  <c r="K50" i="4"/>
  <c r="N86" i="4"/>
  <c r="D56" i="4"/>
  <c r="N31" i="4"/>
  <c r="K12" i="4"/>
  <c r="K30" i="4"/>
  <c r="E101" i="4"/>
  <c r="K84" i="8"/>
  <c r="G61" i="8"/>
  <c r="K60" i="8"/>
  <c r="G60" i="8"/>
  <c r="J60" i="8"/>
  <c r="K23" i="8"/>
  <c r="H61" i="8"/>
  <c r="J10" i="8"/>
  <c r="K10" i="8" s="1"/>
  <c r="M10" i="8" s="1"/>
  <c r="N10" i="8" s="1"/>
  <c r="E61" i="8"/>
  <c r="K30" i="8"/>
  <c r="E26" i="8"/>
  <c r="E87" i="8"/>
  <c r="K87" i="8"/>
  <c r="K26" i="8"/>
  <c r="AN117" i="1"/>
  <c r="AS117" i="1" s="1"/>
  <c r="AN115" i="1"/>
  <c r="AS115" i="1" s="1"/>
  <c r="Z117" i="1"/>
  <c r="AO117" i="1" s="1"/>
  <c r="G29" i="29"/>
  <c r="G29" i="30"/>
  <c r="G21" i="29"/>
  <c r="AA325" i="31"/>
  <c r="AA283" i="31"/>
  <c r="J21" i="29"/>
  <c r="D21" i="29"/>
  <c r="P87" i="4"/>
  <c r="P87" i="8" s="1"/>
  <c r="R34" i="33"/>
  <c r="K37" i="4"/>
  <c r="K37" i="8" s="1"/>
  <c r="K36" i="4"/>
  <c r="K35" i="4" s="1"/>
  <c r="N49" i="29"/>
  <c r="K12" i="8"/>
  <c r="K20" i="8"/>
  <c r="G56" i="8"/>
  <c r="E12" i="8"/>
  <c r="E20" i="8"/>
  <c r="E28" i="8" s="1"/>
  <c r="E87" i="4"/>
  <c r="J81" i="30"/>
  <c r="H56" i="4"/>
  <c r="D66" i="29"/>
  <c r="K87" i="4"/>
  <c r="N84" i="29"/>
  <c r="D152" i="33"/>
  <c r="AM692" i="1"/>
  <c r="J29" i="29"/>
  <c r="J29" i="30" s="1"/>
  <c r="D29" i="29"/>
  <c r="D29" i="30" s="1"/>
  <c r="G30" i="29"/>
  <c r="G30" i="30" s="1"/>
  <c r="V464" i="31"/>
  <c r="AS654" i="1"/>
  <c r="D30" i="29"/>
  <c r="J30" i="29"/>
  <c r="K65" i="4"/>
  <c r="V468" i="31" s="1"/>
  <c r="V4" i="31" s="1"/>
  <c r="R13" i="20"/>
  <c r="R892" i="20"/>
  <c r="R2" i="20" s="1"/>
  <c r="G20" i="29"/>
  <c r="G20" i="30" s="1"/>
  <c r="M20" i="30" s="1"/>
  <c r="AM648" i="1"/>
  <c r="K85" i="30"/>
  <c r="E95" i="30"/>
  <c r="M16" i="29"/>
  <c r="M47" i="29"/>
  <c r="G85" i="29"/>
  <c r="H81" i="30"/>
  <c r="E38" i="29"/>
  <c r="E70" i="29"/>
  <c r="N69" i="29"/>
  <c r="N70" i="29" s="1"/>
  <c r="N98" i="29"/>
  <c r="E109" i="29"/>
  <c r="N104" i="29"/>
  <c r="H27" i="30"/>
  <c r="H27" i="29"/>
  <c r="H53" i="29"/>
  <c r="N55" i="29"/>
  <c r="N58" i="29" s="1"/>
  <c r="K58" i="29"/>
  <c r="H66" i="29"/>
  <c r="H77" i="29" s="1"/>
  <c r="K90" i="30"/>
  <c r="K90" i="29"/>
  <c r="K111" i="29" s="1"/>
  <c r="N97" i="29"/>
  <c r="N105" i="29"/>
  <c r="N107" i="29"/>
  <c r="K38" i="29"/>
  <c r="K40" i="29" s="1"/>
  <c r="N37" i="29"/>
  <c r="N101" i="29"/>
  <c r="K81" i="29"/>
  <c r="N89" i="29"/>
  <c r="H85" i="29"/>
  <c r="N25" i="29"/>
  <c r="E62" i="30"/>
  <c r="K62" i="30"/>
  <c r="K70" i="30"/>
  <c r="E90" i="30"/>
  <c r="H95" i="30"/>
  <c r="K66" i="30"/>
  <c r="M107" i="29"/>
  <c r="H90" i="30"/>
  <c r="M94" i="29"/>
  <c r="K95" i="29"/>
  <c r="J41" i="4"/>
  <c r="J41" i="8" s="1"/>
  <c r="G52" i="7"/>
  <c r="K32" i="7"/>
  <c r="N14" i="7"/>
  <c r="K69" i="4"/>
  <c r="K69" i="8" s="1"/>
  <c r="M76" i="7"/>
  <c r="M11" i="7"/>
  <c r="E37" i="4"/>
  <c r="E37" i="8" s="1"/>
  <c r="D11" i="7"/>
  <c r="M80" i="7"/>
  <c r="M23" i="7" s="1"/>
  <c r="H82" i="7"/>
  <c r="N82" i="7" s="1"/>
  <c r="N39" i="7" s="1"/>
  <c r="N70" i="4"/>
  <c r="H42" i="4"/>
  <c r="H42" i="8"/>
  <c r="G23" i="7"/>
  <c r="D39" i="7"/>
  <c r="J32" i="7"/>
  <c r="M56" i="7"/>
  <c r="J69" i="7"/>
  <c r="J69" i="4"/>
  <c r="J69" i="8" s="1"/>
  <c r="H71" i="4"/>
  <c r="H71" i="8" s="1"/>
  <c r="E36" i="4"/>
  <c r="E38" i="4" s="1"/>
  <c r="M82" i="7"/>
  <c r="M39" i="7" s="1"/>
  <c r="D69" i="4"/>
  <c r="J71" i="4"/>
  <c r="J71" i="8" s="1"/>
  <c r="H74" i="4"/>
  <c r="H74" i="8" s="1"/>
  <c r="J74" i="4"/>
  <c r="J74" i="8"/>
  <c r="D23" i="7"/>
  <c r="E69" i="4"/>
  <c r="E69" i="8" s="1"/>
  <c r="J43" i="4"/>
  <c r="J43" i="8" s="1"/>
  <c r="O67" i="33"/>
  <c r="E42" i="4"/>
  <c r="E42" i="8" s="1"/>
  <c r="H36" i="4"/>
  <c r="AS430" i="1"/>
  <c r="AA899" i="1"/>
  <c r="A564" i="1"/>
  <c r="N564" i="1" s="1"/>
  <c r="AJ564" i="1" s="1"/>
  <c r="N563" i="1"/>
  <c r="AJ563" i="1"/>
  <c r="P44" i="4"/>
  <c r="R6" i="33"/>
  <c r="R59" i="33"/>
  <c r="K27" i="30"/>
  <c r="AT588" i="1"/>
  <c r="AR211" i="1"/>
  <c r="G25" i="4"/>
  <c r="N95" i="29"/>
  <c r="O34" i="33"/>
  <c r="O4" i="33"/>
  <c r="J34" i="8"/>
  <c r="M106" i="29"/>
  <c r="J66" i="29"/>
  <c r="M65" i="29"/>
  <c r="J56" i="4"/>
  <c r="J81" i="29"/>
  <c r="J30" i="4"/>
  <c r="H23" i="7"/>
  <c r="AS705" i="1"/>
  <c r="AM287" i="1"/>
  <c r="AS287" i="1" s="1"/>
  <c r="J12" i="4"/>
  <c r="AS264" i="1"/>
  <c r="D37" i="4"/>
  <c r="D37" i="8" s="1"/>
  <c r="D62" i="29"/>
  <c r="G99" i="29"/>
  <c r="A559" i="1"/>
  <c r="N559" i="1" s="1"/>
  <c r="AJ559" i="1" s="1"/>
  <c r="AS417" i="1"/>
  <c r="AS371" i="1"/>
  <c r="K34" i="8"/>
  <c r="G101" i="29"/>
  <c r="G93" i="29"/>
  <c r="G93" i="30" s="1"/>
  <c r="G15" i="29"/>
  <c r="G15" i="30" s="1"/>
  <c r="AK14" i="1"/>
  <c r="AR14" i="1" s="1"/>
  <c r="AM134" i="1"/>
  <c r="AS134" i="1" s="1"/>
  <c r="AR141" i="1"/>
  <c r="AM402" i="1"/>
  <c r="AS402" i="1" s="1"/>
  <c r="AM454" i="1"/>
  <c r="AS454" i="1" s="1"/>
  <c r="P464" i="31"/>
  <c r="P470" i="31" s="1"/>
  <c r="O2" i="31"/>
  <c r="G92" i="8"/>
  <c r="G93" i="8" s="1"/>
  <c r="D84" i="4"/>
  <c r="N26" i="36"/>
  <c r="D57" i="30"/>
  <c r="J26" i="4"/>
  <c r="J23" i="4"/>
  <c r="G90" i="29"/>
  <c r="AS761" i="1"/>
  <c r="H12" i="4"/>
  <c r="D36" i="4"/>
  <c r="D36" i="8" s="1"/>
  <c r="M86" i="4"/>
  <c r="J20" i="30"/>
  <c r="H20" i="30"/>
  <c r="K21" i="30"/>
  <c r="H18" i="8"/>
  <c r="N18" i="8" s="1"/>
  <c r="N18" i="4"/>
  <c r="E20" i="30"/>
  <c r="AT524" i="1"/>
  <c r="K20" i="30"/>
  <c r="AS774" i="1"/>
  <c r="P13" i="25"/>
  <c r="AS56" i="1"/>
  <c r="AS522" i="1"/>
  <c r="AS256" i="1"/>
  <c r="AS825" i="1"/>
  <c r="AS787" i="1"/>
  <c r="AS772" i="1"/>
  <c r="AS821" i="1"/>
  <c r="AT777" i="1"/>
  <c r="AT811" i="1"/>
  <c r="AS433" i="1"/>
  <c r="AS333" i="1"/>
  <c r="AS240" i="1"/>
  <c r="AS193" i="1"/>
  <c r="AS57" i="1"/>
  <c r="AS409" i="1"/>
  <c r="AS196" i="1"/>
  <c r="AS590" i="1"/>
  <c r="AT644" i="1"/>
  <c r="AT599" i="1"/>
  <c r="G104" i="30"/>
  <c r="M104" i="30" s="1"/>
  <c r="M104" i="29"/>
  <c r="AT697" i="1"/>
  <c r="AS768" i="1"/>
  <c r="AS438" i="1"/>
  <c r="H15" i="8"/>
  <c r="N15" i="8" s="1"/>
  <c r="N15" i="4"/>
  <c r="N12" i="4" s="1"/>
  <c r="G15" i="7"/>
  <c r="H41" i="4"/>
  <c r="H41" i="8" s="1"/>
  <c r="AS633" i="1"/>
  <c r="AS617" i="1"/>
  <c r="AS575" i="1"/>
  <c r="AS546" i="1"/>
  <c r="AS544" i="1"/>
  <c r="AS530" i="1"/>
  <c r="AS527" i="1"/>
  <c r="AS512" i="1"/>
  <c r="AR214" i="1"/>
  <c r="AS181" i="1"/>
  <c r="AR178" i="1"/>
  <c r="S17" i="36"/>
  <c r="R17" i="36" s="1"/>
  <c r="AR177" i="1"/>
  <c r="AS161" i="1"/>
  <c r="AR160" i="1"/>
  <c r="AT160" i="1"/>
  <c r="AS107" i="1"/>
  <c r="N68" i="30"/>
  <c r="N56" i="30"/>
  <c r="G56" i="30"/>
  <c r="AS475" i="1"/>
  <c r="AS232" i="1"/>
  <c r="AS622" i="1"/>
  <c r="AT271" i="1"/>
  <c r="AS392" i="1"/>
  <c r="AT423" i="1"/>
  <c r="AS784" i="1"/>
  <c r="AS762" i="1"/>
  <c r="AS640" i="1"/>
  <c r="H25" i="8"/>
  <c r="N25" i="8" s="1"/>
  <c r="N25" i="4"/>
  <c r="H43" i="4"/>
  <c r="H43" i="8" s="1"/>
  <c r="H23" i="4"/>
  <c r="AS507" i="1"/>
  <c r="AS499" i="1"/>
  <c r="AS478" i="1"/>
  <c r="AS466" i="1"/>
  <c r="AS419" i="1"/>
  <c r="AS415" i="1"/>
  <c r="AS405" i="1"/>
  <c r="AS345" i="1"/>
  <c r="AS308" i="1"/>
  <c r="AS307" i="1"/>
  <c r="AR203" i="1"/>
  <c r="AS201" i="1"/>
  <c r="AR192" i="1"/>
  <c r="H79" i="8"/>
  <c r="N79" i="4"/>
  <c r="D93" i="8"/>
  <c r="AS463" i="1"/>
  <c r="N84" i="7"/>
  <c r="N44" i="7" s="1"/>
  <c r="AT505" i="1"/>
  <c r="AS304" i="1"/>
  <c r="AS298" i="1"/>
  <c r="AS183" i="1"/>
  <c r="AS189" i="1"/>
  <c r="AS200" i="1"/>
  <c r="AS227" i="1"/>
  <c r="AS237" i="1"/>
  <c r="AT241" i="1"/>
  <c r="AS241" i="1"/>
  <c r="AS268" i="1"/>
  <c r="AS272" i="1"/>
  <c r="AS274" i="1"/>
  <c r="AS280" i="1"/>
  <c r="AS205" i="1"/>
  <c r="AS204" i="1"/>
  <c r="AS215" i="1"/>
  <c r="AS245" i="1"/>
  <c r="AS263" i="1"/>
  <c r="AS273" i="1"/>
  <c r="AS284" i="1"/>
  <c r="AS187" i="1"/>
  <c r="AS211" i="1"/>
  <c r="AS258" i="1"/>
  <c r="AS496" i="1"/>
  <c r="AS300" i="1"/>
  <c r="AS87" i="1"/>
  <c r="AS370" i="1"/>
  <c r="AS464" i="1"/>
  <c r="AS296" i="1"/>
  <c r="AS770" i="1"/>
  <c r="AS763" i="1"/>
  <c r="AS594" i="1"/>
  <c r="AS520" i="1"/>
  <c r="AS428" i="1"/>
  <c r="AS390" i="1"/>
  <c r="AS386" i="1"/>
  <c r="AT130" i="1"/>
  <c r="AS130" i="1"/>
  <c r="AS352" i="1"/>
  <c r="AS460" i="1"/>
  <c r="AS560" i="1"/>
  <c r="AS542" i="1"/>
  <c r="AS476" i="1"/>
  <c r="AS424" i="1"/>
  <c r="AS776" i="1"/>
  <c r="AS550" i="1"/>
  <c r="AT550" i="1"/>
  <c r="AS484" i="1"/>
  <c r="AS312" i="1"/>
  <c r="AS246" i="1"/>
  <c r="AS176" i="1"/>
  <c r="AS126" i="1"/>
  <c r="AS86" i="1"/>
  <c r="AS25" i="1"/>
  <c r="AS586" i="1"/>
  <c r="AS699" i="1"/>
  <c r="AS540" i="1"/>
  <c r="AS306" i="1"/>
  <c r="AS270" i="1"/>
  <c r="AS85" i="1"/>
  <c r="AS77" i="1"/>
  <c r="AS74" i="1"/>
  <c r="AS24" i="1"/>
  <c r="AS420" i="1"/>
  <c r="AS789" i="1"/>
  <c r="AS709" i="1"/>
  <c r="AS538" i="1"/>
  <c r="AS824" i="1"/>
  <c r="G68" i="30"/>
  <c r="AS410" i="1"/>
  <c r="AS81" i="1"/>
  <c r="AS63" i="1"/>
  <c r="AT63" i="1"/>
  <c r="G61" i="30"/>
  <c r="G62" i="29"/>
  <c r="AS17" i="1"/>
  <c r="AS782" i="1"/>
  <c r="AS528" i="1"/>
  <c r="AS83" i="1"/>
  <c r="G30" i="4"/>
  <c r="AS568" i="1"/>
  <c r="AT568" i="1"/>
  <c r="G104" i="4"/>
  <c r="G101" i="4"/>
  <c r="AA888" i="1"/>
  <c r="M51" i="29"/>
  <c r="AT577" i="1"/>
  <c r="AS577" i="1"/>
  <c r="G75" i="30"/>
  <c r="AS373" i="1"/>
  <c r="AS331" i="1"/>
  <c r="M86" i="8"/>
  <c r="G84" i="8"/>
  <c r="AS170" i="1"/>
  <c r="AS172" i="1"/>
  <c r="AS59" i="1"/>
  <c r="H86" i="7"/>
  <c r="H48" i="7" s="1"/>
  <c r="AS26" i="1"/>
  <c r="K28" i="8"/>
  <c r="AS749" i="1"/>
  <c r="AS748" i="1"/>
  <c r="AS743" i="1"/>
  <c r="AS732" i="1"/>
  <c r="P51" i="35"/>
  <c r="N30" i="36"/>
  <c r="B30" i="36"/>
  <c r="J90" i="29"/>
  <c r="N27" i="36"/>
  <c r="B27" i="36"/>
  <c r="N14" i="36"/>
  <c r="B14" i="36"/>
  <c r="B15" i="36"/>
  <c r="N13" i="36"/>
  <c r="B13" i="36"/>
  <c r="H111" i="29"/>
  <c r="J61" i="8"/>
  <c r="M21" i="29"/>
  <c r="N102" i="29"/>
  <c r="K38" i="4"/>
  <c r="H101" i="8"/>
  <c r="H104" i="8"/>
  <c r="H56" i="8"/>
  <c r="AS692" i="1"/>
  <c r="J30" i="30"/>
  <c r="AS648" i="1"/>
  <c r="M20" i="29"/>
  <c r="E70" i="30"/>
  <c r="K81" i="30"/>
  <c r="H85" i="30"/>
  <c r="H39" i="7"/>
  <c r="G69" i="4"/>
  <c r="G69" i="8" s="1"/>
  <c r="J72" i="4"/>
  <c r="J68" i="4"/>
  <c r="G102" i="29"/>
  <c r="P44" i="8"/>
  <c r="G26" i="4"/>
  <c r="G23" i="4"/>
  <c r="M101" i="29"/>
  <c r="AT821" i="1"/>
  <c r="AT617" i="1"/>
  <c r="AT204" i="1"/>
  <c r="G58" i="30"/>
  <c r="H26" i="8"/>
  <c r="AT273" i="1"/>
  <c r="AT789" i="1"/>
  <c r="AP902" i="1"/>
  <c r="AP901" i="1"/>
  <c r="AT752" i="1"/>
  <c r="AT648" i="1"/>
  <c r="Q25" i="30"/>
  <c r="Q108" i="29"/>
  <c r="Q45" i="29"/>
  <c r="Q69" i="29" s="1"/>
  <c r="Q124" i="29"/>
  <c r="D69" i="7"/>
  <c r="D90" i="7"/>
  <c r="D57" i="7"/>
  <c r="D48" i="7"/>
  <c r="D35" i="4"/>
  <c r="E76" i="4"/>
  <c r="E76" i="8" s="1"/>
  <c r="E77" i="4"/>
  <c r="E77" i="8" s="1"/>
  <c r="AT872" i="1"/>
  <c r="AL888" i="1"/>
  <c r="AD894" i="1"/>
  <c r="AD4" i="1" s="1"/>
  <c r="U66" i="35"/>
  <c r="S50" i="35"/>
  <c r="D163" i="35"/>
  <c r="U96" i="35"/>
  <c r="D195" i="35"/>
  <c r="B96" i="35"/>
  <c r="AR119" i="1"/>
  <c r="S829" i="26"/>
  <c r="S890" i="26"/>
  <c r="S13" i="26" s="1"/>
  <c r="AS118" i="1"/>
  <c r="AS114" i="1"/>
  <c r="X829" i="1"/>
  <c r="AS119" i="1"/>
  <c r="AT119" i="1"/>
  <c r="R892" i="25"/>
  <c r="R2" i="25"/>
  <c r="G96" i="35"/>
  <c r="P122" i="35"/>
  <c r="P111" i="35"/>
  <c r="P123" i="35"/>
  <c r="O49" i="35"/>
  <c r="P95" i="35"/>
  <c r="E6" i="38"/>
  <c r="A3" i="32" s="1"/>
  <c r="R96" i="35"/>
  <c r="P112" i="35"/>
  <c r="P124" i="35"/>
  <c r="P113" i="35"/>
  <c r="S96" i="35"/>
  <c r="T124" i="35"/>
  <c r="R49" i="35"/>
  <c r="B99" i="35"/>
  <c r="B105" i="35"/>
  <c r="B113" i="35"/>
  <c r="B119" i="35"/>
  <c r="L121" i="35"/>
  <c r="O96" i="35"/>
  <c r="B102" i="35"/>
  <c r="B108" i="35"/>
  <c r="B116" i="35"/>
  <c r="E50" i="8"/>
  <c r="E47" i="8"/>
  <c r="E47" i="4"/>
  <c r="E50" i="4"/>
  <c r="AT288" i="1"/>
  <c r="AT197" i="1"/>
  <c r="A3" i="25"/>
  <c r="P892" i="1"/>
  <c r="P2" i="1"/>
  <c r="I6" i="38"/>
  <c r="A3" i="35"/>
  <c r="AS667" i="1"/>
  <c r="D19" i="29"/>
  <c r="D19" i="30" s="1"/>
  <c r="E180" i="41"/>
  <c r="P8" i="31"/>
  <c r="S8" i="31"/>
  <c r="V8" i="31"/>
  <c r="F139" i="41"/>
  <c r="K464" i="31"/>
  <c r="R896" i="27"/>
  <c r="Y829" i="1"/>
  <c r="Y890" i="1" s="1"/>
  <c r="Y13" i="1" s="1"/>
  <c r="AP116" i="1"/>
  <c r="AT116" i="1"/>
  <c r="AO115" i="1"/>
  <c r="AP114" i="1"/>
  <c r="AT114" i="1" s="1"/>
  <c r="R892" i="1"/>
  <c r="R2" i="1"/>
  <c r="T117" i="27"/>
  <c r="V117" i="27"/>
  <c r="T117" i="20"/>
  <c r="K61" i="8"/>
  <c r="S67" i="33"/>
  <c r="J84" i="8"/>
  <c r="J87" i="8"/>
  <c r="D36" i="30"/>
  <c r="M36" i="29"/>
  <c r="M16" i="8"/>
  <c r="E36" i="8"/>
  <c r="K56" i="8"/>
  <c r="K101" i="8"/>
  <c r="K104" i="8"/>
  <c r="E362" i="38"/>
  <c r="N2" i="36" s="1"/>
  <c r="D6" i="4" s="1"/>
  <c r="D6" i="8" s="1"/>
  <c r="D83" i="30"/>
  <c r="D85" i="29"/>
  <c r="G88" i="30"/>
  <c r="G90" i="30" s="1"/>
  <c r="G49" i="8"/>
  <c r="G32" i="8"/>
  <c r="M32" i="8" s="1"/>
  <c r="M32" i="4"/>
  <c r="M30" i="4" s="1"/>
  <c r="G36" i="30"/>
  <c r="E57" i="7"/>
  <c r="H48" i="8"/>
  <c r="G95" i="29"/>
  <c r="G81" i="29"/>
  <c r="E40" i="4"/>
  <c r="E40" i="8" s="1"/>
  <c r="D15" i="7"/>
  <c r="Q81" i="4"/>
  <c r="Q44" i="4"/>
  <c r="V470" i="31"/>
  <c r="U2" i="31" s="1"/>
  <c r="AS716" i="1"/>
  <c r="H104" i="4"/>
  <c r="D20" i="30"/>
  <c r="AE890" i="1"/>
  <c r="AE13" i="1" s="1"/>
  <c r="AF892" i="1"/>
  <c r="AF2" i="1" s="1"/>
  <c r="AS234" i="1"/>
  <c r="AR176" i="1"/>
  <c r="AL901" i="1"/>
  <c r="AP857" i="1"/>
  <c r="AP825" i="1"/>
  <c r="AO824" i="1"/>
  <c r="AT824" i="1" s="1"/>
  <c r="AO815" i="1"/>
  <c r="AT815" i="1"/>
  <c r="AO814" i="1"/>
  <c r="AT814" i="1"/>
  <c r="AP805" i="1"/>
  <c r="AP804" i="1"/>
  <c r="AO803" i="1"/>
  <c r="AT803" i="1" s="1"/>
  <c r="AP792" i="1"/>
  <c r="AP784" i="1"/>
  <c r="AO783" i="1"/>
  <c r="AO782" i="1"/>
  <c r="AT782" i="1" s="1"/>
  <c r="AO781" i="1"/>
  <c r="AT781" i="1" s="1"/>
  <c r="AP773" i="1"/>
  <c r="AO772" i="1"/>
  <c r="AO766" i="1"/>
  <c r="AT766" i="1" s="1"/>
  <c r="AX760" i="1"/>
  <c r="AP757" i="1"/>
  <c r="AT757" i="1" s="1"/>
  <c r="AP756" i="1"/>
  <c r="AO750" i="1"/>
  <c r="AP744" i="1"/>
  <c r="AO743" i="1"/>
  <c r="AO737" i="1"/>
  <c r="AP733" i="1"/>
  <c r="AO727" i="1"/>
  <c r="AP721" i="1"/>
  <c r="AP717" i="1"/>
  <c r="AT717" i="1" s="1"/>
  <c r="AP687" i="1"/>
  <c r="AT687" i="1" s="1"/>
  <c r="AP673" i="1"/>
  <c r="AT673" i="1" s="1"/>
  <c r="AP651" i="1"/>
  <c r="AO650" i="1"/>
  <c r="AP645" i="1"/>
  <c r="AP856" i="1"/>
  <c r="AO855" i="1"/>
  <c r="AP854" i="1"/>
  <c r="AT854" i="1" s="1"/>
  <c r="AP853" i="1"/>
  <c r="AP849" i="1"/>
  <c r="AP835" i="1"/>
  <c r="AT835" i="1" s="1"/>
  <c r="AO825" i="1"/>
  <c r="AP816" i="1"/>
  <c r="AT816" i="1" s="1"/>
  <c r="AP807" i="1"/>
  <c r="AT807" i="1" s="1"/>
  <c r="AO806" i="1"/>
  <c r="AT806" i="1" s="1"/>
  <c r="AO805" i="1"/>
  <c r="AT805" i="1" s="1"/>
  <c r="AO804" i="1"/>
  <c r="AT804" i="1" s="1"/>
  <c r="AP794" i="1"/>
  <c r="AP793" i="1"/>
  <c r="AO792" i="1"/>
  <c r="AT792" i="1" s="1"/>
  <c r="AP786" i="1"/>
  <c r="AT786" i="1" s="1"/>
  <c r="AP785" i="1"/>
  <c r="AO784" i="1"/>
  <c r="AT784" i="1"/>
  <c r="AP774" i="1"/>
  <c r="AT774" i="1"/>
  <c r="AO773" i="1"/>
  <c r="AT773" i="1"/>
  <c r="AP767" i="1"/>
  <c r="AT767" i="1"/>
  <c r="AO756" i="1"/>
  <c r="AP751" i="1"/>
  <c r="AT751" i="1" s="1"/>
  <c r="AP745" i="1"/>
  <c r="AO744" i="1"/>
  <c r="AP738" i="1"/>
  <c r="AP722" i="1"/>
  <c r="AO721" i="1"/>
  <c r="AT721" i="1" s="1"/>
  <c r="AP692" i="1"/>
  <c r="AT692" i="1" s="1"/>
  <c r="AP683" i="1"/>
  <c r="AP678" i="1"/>
  <c r="AT678" i="1" s="1"/>
  <c r="AP659" i="1"/>
  <c r="AT659" i="1" s="1"/>
  <c r="AO658" i="1"/>
  <c r="AT658" i="1" s="1"/>
  <c r="AO652" i="1"/>
  <c r="AO651" i="1"/>
  <c r="AT651" i="1" s="1"/>
  <c r="AR272" i="1"/>
  <c r="AO793" i="1"/>
  <c r="AO785" i="1"/>
  <c r="AT785" i="1" s="1"/>
  <c r="AP723" i="1"/>
  <c r="AT723" i="1" s="1"/>
  <c r="AO703" i="1"/>
  <c r="D108" i="29"/>
  <c r="AP878" i="1"/>
  <c r="AP877" i="1"/>
  <c r="AT877" i="1" s="1"/>
  <c r="AP876" i="1"/>
  <c r="AP875" i="1"/>
  <c r="AT875" i="1" s="1"/>
  <c r="AO852" i="1"/>
  <c r="AT852" i="1" s="1"/>
  <c r="AO851" i="1"/>
  <c r="AO850" i="1"/>
  <c r="AP842" i="1"/>
  <c r="AT842" i="1"/>
  <c r="AP827" i="1"/>
  <c r="AT827" i="1"/>
  <c r="AO826" i="1"/>
  <c r="AP817" i="1"/>
  <c r="AP809" i="1"/>
  <c r="AP808" i="1"/>
  <c r="AP797" i="1"/>
  <c r="AT797" i="1" s="1"/>
  <c r="AP796" i="1"/>
  <c r="AT796" i="1" s="1"/>
  <c r="AO795" i="1"/>
  <c r="AT795" i="1" s="1"/>
  <c r="AP788" i="1"/>
  <c r="AT788" i="1" s="1"/>
  <c r="AO787" i="1"/>
  <c r="AT787" i="1" s="1"/>
  <c r="AP776" i="1"/>
  <c r="AT776" i="1" s="1"/>
  <c r="AO775" i="1"/>
  <c r="AT775" i="1" s="1"/>
  <c r="AP761" i="1"/>
  <c r="AP760" i="1"/>
  <c r="O33" i="36"/>
  <c r="AO758" i="1"/>
  <c r="AT758" i="1" s="1"/>
  <c r="AO746" i="1"/>
  <c r="AT746" i="1" s="1"/>
  <c r="AP741" i="1"/>
  <c r="AT741" i="1" s="1"/>
  <c r="AP735" i="1"/>
  <c r="AT735" i="1" s="1"/>
  <c r="AO734" i="1"/>
  <c r="AT734" i="1"/>
  <c r="AO724" i="1"/>
  <c r="AT724" i="1"/>
  <c r="AO723" i="1"/>
  <c r="AO718" i="1"/>
  <c r="AO669" i="1"/>
  <c r="AT669" i="1" s="1"/>
  <c r="AP654" i="1"/>
  <c r="AO646" i="1"/>
  <c r="AP828" i="1"/>
  <c r="AO809" i="1"/>
  <c r="AP801" i="1"/>
  <c r="AT801" i="1" s="1"/>
  <c r="AP778" i="1"/>
  <c r="AT778" i="1" s="1"/>
  <c r="AO761" i="1"/>
  <c r="AT761" i="1" s="1"/>
  <c r="AP754" i="1"/>
  <c r="AT754" i="1" s="1"/>
  <c r="AP742" i="1"/>
  <c r="AO735" i="1"/>
  <c r="AP731" i="1"/>
  <c r="AT731" i="1"/>
  <c r="B80" i="8"/>
  <c r="K79" i="8"/>
  <c r="N79" i="8" s="1"/>
  <c r="AP883" i="1"/>
  <c r="AP882" i="1"/>
  <c r="AO881" i="1"/>
  <c r="AO880" i="1"/>
  <c r="AO828" i="1"/>
  <c r="AT828" i="1"/>
  <c r="AO818" i="1"/>
  <c r="AT818" i="1"/>
  <c r="AP810" i="1"/>
  <c r="AT810" i="1"/>
  <c r="AP800" i="1"/>
  <c r="AP799" i="1"/>
  <c r="AT799" i="1"/>
  <c r="AO798" i="1"/>
  <c r="AT798" i="1"/>
  <c r="D37" i="29"/>
  <c r="AO790" i="1"/>
  <c r="AT790" i="1"/>
  <c r="AO770" i="1"/>
  <c r="AT770" i="1"/>
  <c r="AP762" i="1"/>
  <c r="AP748" i="1"/>
  <c r="AO747" i="1"/>
  <c r="AO725" i="1"/>
  <c r="AT725" i="1" s="1"/>
  <c r="AP700" i="1"/>
  <c r="AT700" i="1" s="1"/>
  <c r="AO699" i="1"/>
  <c r="AO694" i="1"/>
  <c r="AT694" i="1"/>
  <c r="AR330" i="1"/>
  <c r="AO883" i="1"/>
  <c r="AT883" i="1" s="1"/>
  <c r="AO882" i="1"/>
  <c r="AT882" i="1"/>
  <c r="AO762" i="1"/>
  <c r="AV762" i="1"/>
  <c r="AP622" i="1"/>
  <c r="AP551" i="1"/>
  <c r="AP870" i="1"/>
  <c r="AT870" i="1"/>
  <c r="AP844" i="1"/>
  <c r="AT844" i="1"/>
  <c r="AP824" i="1"/>
  <c r="AO813" i="1"/>
  <c r="AT813" i="1"/>
  <c r="AP803" i="1"/>
  <c r="AO802" i="1"/>
  <c r="AO791" i="1"/>
  <c r="AT791" i="1" s="1"/>
  <c r="AP783" i="1"/>
  <c r="AO780" i="1"/>
  <c r="AT780" i="1"/>
  <c r="AP772" i="1"/>
  <c r="AO765" i="1"/>
  <c r="AO763" i="1"/>
  <c r="AV763" i="1"/>
  <c r="AP750" i="1"/>
  <c r="AO749" i="1"/>
  <c r="AT749" i="1" s="1"/>
  <c r="AP743" i="1"/>
  <c r="AP737" i="1"/>
  <c r="AT737" i="1" s="1"/>
  <c r="AO732" i="1"/>
  <c r="AT732" i="1" s="1"/>
  <c r="AP727" i="1"/>
  <c r="AO720" i="1"/>
  <c r="AT720" i="1"/>
  <c r="AP701" i="1"/>
  <c r="AT701" i="1"/>
  <c r="AP696" i="1"/>
  <c r="AO691" i="1"/>
  <c r="AP682" i="1"/>
  <c r="AO677" i="1"/>
  <c r="AT662" i="1"/>
  <c r="AP636" i="1"/>
  <c r="AT636" i="1" s="1"/>
  <c r="AP630" i="1"/>
  <c r="AT630" i="1" s="1"/>
  <c r="AP624" i="1"/>
  <c r="AO623" i="1"/>
  <c r="AT623" i="1" s="1"/>
  <c r="AP618" i="1"/>
  <c r="AO560" i="1"/>
  <c r="AT560" i="1" s="1"/>
  <c r="AO557" i="1"/>
  <c r="AT557" i="1" s="1"/>
  <c r="AO545" i="1"/>
  <c r="AT545" i="1" s="1"/>
  <c r="AP540" i="1"/>
  <c r="AO522" i="1"/>
  <c r="AT522" i="1" s="1"/>
  <c r="AO516" i="1"/>
  <c r="AT516" i="1" s="1"/>
  <c r="AP506" i="1"/>
  <c r="AO499" i="1"/>
  <c r="AT499" i="1" s="1"/>
  <c r="AP495" i="1"/>
  <c r="AP490" i="1"/>
  <c r="AT489" i="1"/>
  <c r="AP484" i="1"/>
  <c r="AP478" i="1"/>
  <c r="AT477" i="1"/>
  <c r="AO472" i="1"/>
  <c r="AT472" i="1" s="1"/>
  <c r="AO466" i="1"/>
  <c r="AO460" i="1"/>
  <c r="AO449" i="1"/>
  <c r="AT449" i="1"/>
  <c r="AX438" i="1"/>
  <c r="AO424" i="1"/>
  <c r="AT424" i="1" s="1"/>
  <c r="AP419" i="1"/>
  <c r="AP396" i="1"/>
  <c r="AP391" i="1"/>
  <c r="AP387" i="1"/>
  <c r="AP366" i="1"/>
  <c r="AT366" i="1" s="1"/>
  <c r="AO330" i="1"/>
  <c r="AT330" i="1" s="1"/>
  <c r="AT327" i="1"/>
  <c r="AP284" i="1"/>
  <c r="AT284" i="1" s="1"/>
  <c r="AP264" i="1"/>
  <c r="AT264" i="1" s="1"/>
  <c r="AP258" i="1"/>
  <c r="AT258" i="1" s="1"/>
  <c r="AO207" i="1"/>
  <c r="J57" i="7"/>
  <c r="K77" i="4"/>
  <c r="K77" i="8" s="1"/>
  <c r="K75" i="4"/>
  <c r="K75" i="8" s="1"/>
  <c r="K76" i="4"/>
  <c r="AO716" i="1"/>
  <c r="AT716" i="1" s="1"/>
  <c r="AP699" i="1"/>
  <c r="AO698" i="1"/>
  <c r="AT698" i="1" s="1"/>
  <c r="AO693" i="1"/>
  <c r="AO688" i="1"/>
  <c r="AT688" i="1" s="1"/>
  <c r="AO682" i="1"/>
  <c r="AP677" i="1"/>
  <c r="AO676" i="1"/>
  <c r="AT676" i="1" s="1"/>
  <c r="AP672" i="1"/>
  <c r="AT672" i="1" s="1"/>
  <c r="AO671" i="1"/>
  <c r="AT671" i="1" s="1"/>
  <c r="AO670" i="1"/>
  <c r="AT670" i="1" s="1"/>
  <c r="AO666" i="1"/>
  <c r="AT666" i="1" s="1"/>
  <c r="AO661" i="1"/>
  <c r="AT661" i="1" s="1"/>
  <c r="AP655" i="1"/>
  <c r="AT655" i="1" s="1"/>
  <c r="AO654" i="1"/>
  <c r="AT654" i="1" s="1"/>
  <c r="AP646" i="1"/>
  <c r="AO645" i="1"/>
  <c r="AO636" i="1"/>
  <c r="AO630" i="1"/>
  <c r="AO624" i="1"/>
  <c r="AT624" i="1" s="1"/>
  <c r="AO618" i="1"/>
  <c r="AP609" i="1"/>
  <c r="AT609" i="1" s="1"/>
  <c r="AP605" i="1"/>
  <c r="AP598" i="1"/>
  <c r="AO597" i="1"/>
  <c r="AT597" i="1"/>
  <c r="AO596" i="1"/>
  <c r="AT596" i="1"/>
  <c r="AP564" i="1"/>
  <c r="AP561" i="1"/>
  <c r="AT561" i="1" s="1"/>
  <c r="AP552" i="1"/>
  <c r="AP546" i="1"/>
  <c r="AO540" i="1"/>
  <c r="AT540" i="1" s="1"/>
  <c r="AP534" i="1"/>
  <c r="AO533" i="1"/>
  <c r="AT533" i="1" s="1"/>
  <c r="AP529" i="1"/>
  <c r="AO528" i="1"/>
  <c r="AT528" i="1" s="1"/>
  <c r="AP523" i="1"/>
  <c r="AP517" i="1"/>
  <c r="AP513" i="1"/>
  <c r="AO512" i="1"/>
  <c r="AT512" i="1" s="1"/>
  <c r="AO506" i="1"/>
  <c r="AT506" i="1" s="1"/>
  <c r="AP500" i="1"/>
  <c r="AT500" i="1" s="1"/>
  <c r="AO495" i="1"/>
  <c r="AT495" i="1" s="1"/>
  <c r="AO490" i="1"/>
  <c r="AT490" i="1"/>
  <c r="AO484" i="1"/>
  <c r="AT484" i="1"/>
  <c r="AO478" i="1"/>
  <c r="AT478" i="1" s="1"/>
  <c r="AP473" i="1"/>
  <c r="AP467" i="1"/>
  <c r="AP461" i="1"/>
  <c r="AP455" i="1"/>
  <c r="AO454" i="1"/>
  <c r="AT454" i="1" s="1"/>
  <c r="AP450" i="1"/>
  <c r="AO443" i="1"/>
  <c r="AT443" i="1" s="1"/>
  <c r="AX439" i="1"/>
  <c r="AP438" i="1"/>
  <c r="AO437" i="1"/>
  <c r="AT437" i="1" s="1"/>
  <c r="AP432" i="1"/>
  <c r="AT432" i="1" s="1"/>
  <c r="AO431" i="1"/>
  <c r="AP425" i="1"/>
  <c r="AO419" i="1"/>
  <c r="AT419" i="1" s="1"/>
  <c r="AP412" i="1"/>
  <c r="AO411" i="1"/>
  <c r="AT411" i="1" s="1"/>
  <c r="AO396" i="1"/>
  <c r="AO391" i="1"/>
  <c r="AO387" i="1"/>
  <c r="AT387" i="1" s="1"/>
  <c r="AP381" i="1"/>
  <c r="AT381" i="1" s="1"/>
  <c r="AP367" i="1"/>
  <c r="AT367" i="1" s="1"/>
  <c r="AP345" i="1"/>
  <c r="AT345" i="1" s="1"/>
  <c r="AO322" i="1"/>
  <c r="AT322" i="1" s="1"/>
  <c r="AO274" i="1"/>
  <c r="AP268" i="1"/>
  <c r="AT268" i="1"/>
  <c r="AP265" i="1"/>
  <c r="AT265" i="1"/>
  <c r="AP252" i="1"/>
  <c r="AT252" i="1"/>
  <c r="AP242" i="1"/>
  <c r="AT242" i="1"/>
  <c r="AP238" i="1"/>
  <c r="AT238" i="1"/>
  <c r="AP233" i="1"/>
  <c r="AT233" i="1"/>
  <c r="AP214" i="1"/>
  <c r="AO213" i="1"/>
  <c r="AT213" i="1" s="1"/>
  <c r="AO176" i="1"/>
  <c r="AT176" i="1" s="1"/>
  <c r="G49" i="29"/>
  <c r="AO707" i="1"/>
  <c r="AO711" i="1"/>
  <c r="AO715" i="1"/>
  <c r="AT715" i="1" s="1"/>
  <c r="AP637" i="1"/>
  <c r="AT637" i="1" s="1"/>
  <c r="AP631" i="1"/>
  <c r="AP625" i="1"/>
  <c r="AP613" i="1"/>
  <c r="AP612" i="1"/>
  <c r="AP611" i="1"/>
  <c r="AP610" i="1"/>
  <c r="AO609" i="1"/>
  <c r="AO605" i="1"/>
  <c r="AT605" i="1" s="1"/>
  <c r="AO598" i="1"/>
  <c r="AO591" i="1"/>
  <c r="AO590" i="1"/>
  <c r="AO552" i="1"/>
  <c r="AT552" i="1" s="1"/>
  <c r="AP547" i="1"/>
  <c r="AO546" i="1"/>
  <c r="AP541" i="1"/>
  <c r="AP535" i="1"/>
  <c r="AO534" i="1"/>
  <c r="AO529" i="1"/>
  <c r="AT529" i="1" s="1"/>
  <c r="AO523" i="1"/>
  <c r="AT523" i="1" s="1"/>
  <c r="AP518" i="1"/>
  <c r="AO517" i="1"/>
  <c r="AT517" i="1" s="1"/>
  <c r="AP507" i="1"/>
  <c r="AP491" i="1"/>
  <c r="AP485" i="1"/>
  <c r="AT485" i="1" s="1"/>
  <c r="AP479" i="1"/>
  <c r="AP474" i="1"/>
  <c r="AO473" i="1"/>
  <c r="AT473" i="1"/>
  <c r="AP468" i="1"/>
  <c r="AO467" i="1"/>
  <c r="AT467" i="1" s="1"/>
  <c r="AP462" i="1"/>
  <c r="AO461" i="1"/>
  <c r="AP456" i="1"/>
  <c r="AO455" i="1"/>
  <c r="AT455" i="1" s="1"/>
  <c r="AP444" i="1"/>
  <c r="AP426" i="1"/>
  <c r="AO425" i="1"/>
  <c r="AT425" i="1" s="1"/>
  <c r="AP420" i="1"/>
  <c r="AP413" i="1"/>
  <c r="AO412" i="1"/>
  <c r="AT412" i="1" s="1"/>
  <c r="AP397" i="1"/>
  <c r="AO345" i="1"/>
  <c r="AO344" i="1"/>
  <c r="AT344" i="1"/>
  <c r="AP262" i="1"/>
  <c r="AT262" i="1"/>
  <c r="K78" i="8"/>
  <c r="AO179" i="1"/>
  <c r="AP632" i="1"/>
  <c r="AT632" i="1" s="1"/>
  <c r="AO631" i="1"/>
  <c r="AO625" i="1"/>
  <c r="AP614" i="1"/>
  <c r="AT614" i="1" s="1"/>
  <c r="AO613" i="1"/>
  <c r="AO611" i="1"/>
  <c r="AT611" i="1" s="1"/>
  <c r="AO610" i="1"/>
  <c r="AP607" i="1"/>
  <c r="AT607" i="1" s="1"/>
  <c r="AP602" i="1"/>
  <c r="AP592" i="1"/>
  <c r="AT592" i="1" s="1"/>
  <c r="AP576" i="1"/>
  <c r="AT576" i="1" s="1"/>
  <c r="AP565" i="1"/>
  <c r="AT565" i="1" s="1"/>
  <c r="AP558" i="1"/>
  <c r="AO547" i="1"/>
  <c r="AT547" i="1"/>
  <c r="AP542" i="1"/>
  <c r="AT542" i="1"/>
  <c r="AO541" i="1"/>
  <c r="AT541" i="1"/>
  <c r="AP536" i="1"/>
  <c r="AT536" i="1"/>
  <c r="AO535" i="1"/>
  <c r="AP519" i="1"/>
  <c r="AT519" i="1" s="1"/>
  <c r="AO518" i="1"/>
  <c r="AO507" i="1"/>
  <c r="AP501" i="1"/>
  <c r="AT496" i="1"/>
  <c r="AO491" i="1"/>
  <c r="AT491" i="1"/>
  <c r="AP486" i="1"/>
  <c r="AT486" i="1"/>
  <c r="AO485" i="1"/>
  <c r="AP480" i="1"/>
  <c r="AO479" i="1"/>
  <c r="AT479" i="1" s="1"/>
  <c r="AO474" i="1"/>
  <c r="AT474" i="1"/>
  <c r="AP469" i="1"/>
  <c r="AO468" i="1"/>
  <c r="AO462" i="1"/>
  <c r="AT462" i="1" s="1"/>
  <c r="AP457" i="1"/>
  <c r="AO456" i="1"/>
  <c r="AT456" i="1" s="1"/>
  <c r="AT445" i="1"/>
  <c r="AO444" i="1"/>
  <c r="AX440" i="1"/>
  <c r="AP439" i="1"/>
  <c r="AP427" i="1"/>
  <c r="AO426" i="1"/>
  <c r="AT426" i="1" s="1"/>
  <c r="AP421" i="1"/>
  <c r="AO420" i="1"/>
  <c r="AT420" i="1" s="1"/>
  <c r="AP416" i="1"/>
  <c r="AT416" i="1" s="1"/>
  <c r="AO413" i="1"/>
  <c r="AT413" i="1" s="1"/>
  <c r="AP398" i="1"/>
  <c r="AO397" i="1"/>
  <c r="AO392" i="1"/>
  <c r="AT392" i="1" s="1"/>
  <c r="AO388" i="1"/>
  <c r="AP243" i="1"/>
  <c r="AT243" i="1" s="1"/>
  <c r="AP227" i="1"/>
  <c r="AT227" i="1" s="1"/>
  <c r="AP226" i="1"/>
  <c r="AT226" i="1" s="1"/>
  <c r="AP209" i="1"/>
  <c r="AP200" i="1"/>
  <c r="AP194" i="1"/>
  <c r="AT194" i="1" s="1"/>
  <c r="AO193" i="1"/>
  <c r="AP178" i="1"/>
  <c r="AP173" i="1"/>
  <c r="AT173" i="1" s="1"/>
  <c r="AP139" i="1"/>
  <c r="AT139" i="1" s="1"/>
  <c r="E78" i="8"/>
  <c r="D15" i="29"/>
  <c r="D15" i="30" s="1"/>
  <c r="M15" i="30" s="1"/>
  <c r="AO558" i="1"/>
  <c r="AO548" i="1"/>
  <c r="AT548" i="1"/>
  <c r="AP543" i="1"/>
  <c r="AP531" i="1"/>
  <c r="AT531" i="1" s="1"/>
  <c r="AP520" i="1"/>
  <c r="AO514" i="1"/>
  <c r="AO508" i="1"/>
  <c r="AO492" i="1"/>
  <c r="AP487" i="1"/>
  <c r="AO475" i="1"/>
  <c r="AT475" i="1" s="1"/>
  <c r="AP470" i="1"/>
  <c r="AO463" i="1"/>
  <c r="AP458" i="1"/>
  <c r="AO451" i="1"/>
  <c r="AP440" i="1"/>
  <c r="AO433" i="1"/>
  <c r="AT433" i="1" s="1"/>
  <c r="AP422" i="1"/>
  <c r="AO414" i="1"/>
  <c r="AT414" i="1" s="1"/>
  <c r="AO399" i="1"/>
  <c r="AT399" i="1" s="1"/>
  <c r="AP389" i="1"/>
  <c r="AP269" i="1"/>
  <c r="AT269" i="1"/>
  <c r="AP263" i="1"/>
  <c r="AT263" i="1"/>
  <c r="AP220" i="1"/>
  <c r="AT220" i="1"/>
  <c r="AP216" i="1"/>
  <c r="AO209" i="1"/>
  <c r="AT209" i="1" s="1"/>
  <c r="AP186" i="1"/>
  <c r="AT186" i="1" s="1"/>
  <c r="AP151" i="1"/>
  <c r="AT151" i="1" s="1"/>
  <c r="S63" i="35"/>
  <c r="AP142" i="1"/>
  <c r="AT142" i="1" s="1"/>
  <c r="AR121" i="1"/>
  <c r="K45" i="4"/>
  <c r="K45" i="8" s="1"/>
  <c r="AP719" i="1"/>
  <c r="AT719" i="1" s="1"/>
  <c r="AP703" i="1"/>
  <c r="AO702" i="1"/>
  <c r="AT702" i="1" s="1"/>
  <c r="AO696" i="1"/>
  <c r="AT696" i="1" s="1"/>
  <c r="AP691" i="1"/>
  <c r="AO690" i="1"/>
  <c r="AT690" i="1" s="1"/>
  <c r="AP686" i="1"/>
  <c r="AT686" i="1" s="1"/>
  <c r="AO685" i="1"/>
  <c r="AT685" i="1" s="1"/>
  <c r="AP680" i="1"/>
  <c r="AT680" i="1" s="1"/>
  <c r="AO674" i="1"/>
  <c r="AP668" i="1"/>
  <c r="AT668" i="1" s="1"/>
  <c r="AP664" i="1"/>
  <c r="AT664" i="1" s="1"/>
  <c r="AO663" i="1"/>
  <c r="AT663" i="1" s="1"/>
  <c r="AP658" i="1"/>
  <c r="AO657" i="1"/>
  <c r="AT657" i="1" s="1"/>
  <c r="AP652" i="1"/>
  <c r="AT652" i="1" s="1"/>
  <c r="AP650" i="1"/>
  <c r="AO649" i="1"/>
  <c r="AT649" i="1" s="1"/>
  <c r="AP643" i="1"/>
  <c r="AT643" i="1" s="1"/>
  <c r="AP642" i="1"/>
  <c r="AT642" i="1" s="1"/>
  <c r="AO641" i="1"/>
  <c r="AT641" i="1" s="1"/>
  <c r="AO638" i="1"/>
  <c r="AT638" i="1" s="1"/>
  <c r="AO633" i="1"/>
  <c r="AT633" i="1" s="1"/>
  <c r="AP628" i="1"/>
  <c r="AT628" i="1" s="1"/>
  <c r="AO627" i="1"/>
  <c r="AT627" i="1" s="1"/>
  <c r="AP621" i="1"/>
  <c r="AO620" i="1"/>
  <c r="AP616" i="1"/>
  <c r="AO615" i="1"/>
  <c r="AT615" i="1" s="1"/>
  <c r="AO612" i="1"/>
  <c r="AT612" i="1" s="1"/>
  <c r="AO603" i="1"/>
  <c r="AT603" i="1" s="1"/>
  <c r="AP600" i="1"/>
  <c r="AP594" i="1"/>
  <c r="AT594" i="1" s="1"/>
  <c r="AO593" i="1"/>
  <c r="AT593" i="1" s="1"/>
  <c r="AP554" i="1"/>
  <c r="AT554" i="1" s="1"/>
  <c r="AO553" i="1"/>
  <c r="AP549" i="1"/>
  <c r="AT549" i="1"/>
  <c r="AP544" i="1"/>
  <c r="AT544" i="1"/>
  <c r="AO543" i="1"/>
  <c r="AT543" i="1"/>
  <c r="AP538" i="1"/>
  <c r="AT538" i="1"/>
  <c r="AO537" i="1"/>
  <c r="AT537" i="1"/>
  <c r="AO531" i="1"/>
  <c r="AP526" i="1"/>
  <c r="AO525" i="1"/>
  <c r="AO520" i="1"/>
  <c r="AT520" i="1" s="1"/>
  <c r="AP515" i="1"/>
  <c r="AT515" i="1" s="1"/>
  <c r="AP509" i="1"/>
  <c r="AT509" i="1" s="1"/>
  <c r="AP503" i="1"/>
  <c r="AT503" i="1" s="1"/>
  <c r="AO502" i="1"/>
  <c r="AP498" i="1"/>
  <c r="AO497" i="1"/>
  <c r="AT497" i="1" s="1"/>
  <c r="AP493" i="1"/>
  <c r="AT493" i="1" s="1"/>
  <c r="AO487" i="1"/>
  <c r="AT487" i="1" s="1"/>
  <c r="AP482" i="1"/>
  <c r="AT482" i="1" s="1"/>
  <c r="AO481" i="1"/>
  <c r="AT481" i="1" s="1"/>
  <c r="AP476" i="1"/>
  <c r="AT476" i="1" s="1"/>
  <c r="AO470" i="1"/>
  <c r="AP464" i="1"/>
  <c r="AT464" i="1" s="1"/>
  <c r="AO458" i="1"/>
  <c r="AP452" i="1"/>
  <c r="AP447" i="1"/>
  <c r="AO446" i="1"/>
  <c r="AT446" i="1" s="1"/>
  <c r="AO440" i="1"/>
  <c r="AP434" i="1"/>
  <c r="AT434" i="1" s="1"/>
  <c r="AP429" i="1"/>
  <c r="AO428" i="1"/>
  <c r="AO422" i="1"/>
  <c r="AP400" i="1"/>
  <c r="AP394" i="1"/>
  <c r="AO393" i="1"/>
  <c r="AO389" i="1"/>
  <c r="AP385" i="1"/>
  <c r="AO384" i="1"/>
  <c r="AP380" i="1"/>
  <c r="AT380" i="1" s="1"/>
  <c r="AP365" i="1"/>
  <c r="AP364" i="1"/>
  <c r="AT364" i="1" s="1"/>
  <c r="AP282" i="1"/>
  <c r="AT282" i="1" s="1"/>
  <c r="AP281" i="1"/>
  <c r="AP280" i="1"/>
  <c r="AT280" i="1" s="1"/>
  <c r="AP277" i="1"/>
  <c r="AP275" i="1"/>
  <c r="AP270" i="1"/>
  <c r="AT270" i="1" s="1"/>
  <c r="AP257" i="1"/>
  <c r="AT257" i="1" s="1"/>
  <c r="AP234" i="1"/>
  <c r="AT234" i="1" s="1"/>
  <c r="AP222" i="1"/>
  <c r="AT222" i="1" s="1"/>
  <c r="AP218" i="1"/>
  <c r="AT218" i="1"/>
  <c r="AP217" i="1"/>
  <c r="AO210" i="1"/>
  <c r="AT210" i="1" s="1"/>
  <c r="AO201" i="1"/>
  <c r="AT201" i="1" s="1"/>
  <c r="AP195" i="1"/>
  <c r="AT195" i="1"/>
  <c r="AP190" i="1"/>
  <c r="AT190" i="1" s="1"/>
  <c r="AP146" i="1"/>
  <c r="AT146" i="1" s="1"/>
  <c r="AP64" i="1"/>
  <c r="AT64" i="1" s="1"/>
  <c r="AP527" i="1"/>
  <c r="AT498" i="1"/>
  <c r="AO400" i="1"/>
  <c r="AT400" i="1" s="1"/>
  <c r="AO394" i="1"/>
  <c r="AT394" i="1"/>
  <c r="AP278" i="1"/>
  <c r="AP211" i="1"/>
  <c r="AT211" i="1" s="1"/>
  <c r="K80" i="8"/>
  <c r="AO559" i="1"/>
  <c r="AT559" i="1" s="1"/>
  <c r="AP539" i="1"/>
  <c r="AT539" i="1" s="1"/>
  <c r="AT510" i="1"/>
  <c r="AT465" i="1"/>
  <c r="AT430" i="1"/>
  <c r="AO390" i="1"/>
  <c r="AO386" i="1"/>
  <c r="AP237" i="1"/>
  <c r="AT237" i="1" s="1"/>
  <c r="AP225" i="1"/>
  <c r="AT225" i="1" s="1"/>
  <c r="AP207" i="1"/>
  <c r="E80" i="8"/>
  <c r="AP208" i="1"/>
  <c r="AO206" i="1"/>
  <c r="AT206" i="1"/>
  <c r="AP192" i="1"/>
  <c r="AO191" i="1"/>
  <c r="AT191" i="1" s="1"/>
  <c r="AP182" i="1"/>
  <c r="AP174" i="1"/>
  <c r="AT174" i="1" s="1"/>
  <c r="AP150" i="1"/>
  <c r="AT150" i="1" s="1"/>
  <c r="S62" i="35"/>
  <c r="AP133" i="1"/>
  <c r="AT133" i="1"/>
  <c r="AP128" i="1"/>
  <c r="AT128" i="1"/>
  <c r="AP127" i="1"/>
  <c r="AT127" i="1"/>
  <c r="AT60" i="1"/>
  <c r="AP26" i="1"/>
  <c r="AT26" i="1" s="1"/>
  <c r="AP707" i="1"/>
  <c r="AP711" i="1"/>
  <c r="AT711" i="1" s="1"/>
  <c r="AP715" i="1"/>
  <c r="AO208" i="1"/>
  <c r="AT208" i="1" s="1"/>
  <c r="AP199" i="1"/>
  <c r="AP193" i="1"/>
  <c r="AP183" i="1"/>
  <c r="AT183" i="1" s="1"/>
  <c r="AO182" i="1"/>
  <c r="AT182" i="1" s="1"/>
  <c r="AO180" i="1"/>
  <c r="AP61" i="1"/>
  <c r="AO708" i="1"/>
  <c r="AO712" i="1"/>
  <c r="AT712" i="1" s="1"/>
  <c r="AX402" i="1"/>
  <c r="AX406" i="1"/>
  <c r="AX667" i="1"/>
  <c r="AP69" i="1"/>
  <c r="AT69" i="1" s="1"/>
  <c r="AT61" i="1"/>
  <c r="AP708" i="1"/>
  <c r="AP712" i="1"/>
  <c r="AP99" i="1"/>
  <c r="AT99" i="1" s="1"/>
  <c r="B37" i="30"/>
  <c r="E36" i="30"/>
  <c r="AP121" i="1"/>
  <c r="AP120" i="1"/>
  <c r="AT120" i="1"/>
  <c r="AP59" i="1"/>
  <c r="AT59" i="1"/>
  <c r="D63" i="4"/>
  <c r="D63" i="8"/>
  <c r="AO705" i="1"/>
  <c r="AO709" i="1"/>
  <c r="AO713" i="1"/>
  <c r="AO704" i="1"/>
  <c r="AT704" i="1" s="1"/>
  <c r="AO408" i="1"/>
  <c r="AV408" i="1"/>
  <c r="AX403" i="1"/>
  <c r="AX407" i="1"/>
  <c r="Y273" i="31"/>
  <c r="X273" i="31"/>
  <c r="X300" i="31"/>
  <c r="Y300" i="31"/>
  <c r="AA228" i="31"/>
  <c r="B46" i="30"/>
  <c r="H46" i="30"/>
  <c r="K45" i="30"/>
  <c r="H99" i="30"/>
  <c r="N99" i="30" s="1"/>
  <c r="B100" i="30"/>
  <c r="B101" i="30" s="1"/>
  <c r="J100" i="30"/>
  <c r="AP125" i="1"/>
  <c r="AT125" i="1" s="1"/>
  <c r="AO121" i="1"/>
  <c r="AP57" i="1"/>
  <c r="AT57" i="1" s="1"/>
  <c r="V761" i="27"/>
  <c r="AP705" i="1"/>
  <c r="AT705" i="1" s="1"/>
  <c r="AP709" i="1"/>
  <c r="AP713" i="1"/>
  <c r="AP704" i="1"/>
  <c r="AP408" i="1"/>
  <c r="AT408" i="1" s="1"/>
  <c r="AA265" i="31"/>
  <c r="B107" i="30"/>
  <c r="H106" i="30"/>
  <c r="N106" i="30" s="1"/>
  <c r="AP15" i="1"/>
  <c r="AO14" i="1"/>
  <c r="V763" i="27"/>
  <c r="AO706" i="1"/>
  <c r="AT706" i="1" s="1"/>
  <c r="AO710" i="1"/>
  <c r="AO714" i="1"/>
  <c r="AX404" i="1"/>
  <c r="E100" i="30"/>
  <c r="N61" i="30"/>
  <c r="N62" i="30"/>
  <c r="AP198" i="1"/>
  <c r="AP179" i="1"/>
  <c r="O19" i="36" s="1"/>
  <c r="B19" i="36" s="1"/>
  <c r="AP706" i="1"/>
  <c r="AP710" i="1"/>
  <c r="AP714" i="1"/>
  <c r="V404" i="27"/>
  <c r="V408" i="27"/>
  <c r="AA55" i="31"/>
  <c r="AA177" i="31"/>
  <c r="AA181" i="31"/>
  <c r="AO583" i="1"/>
  <c r="AO587" i="1"/>
  <c r="AT16" i="1"/>
  <c r="AT92" i="1"/>
  <c r="AP583" i="1"/>
  <c r="AP587" i="1"/>
  <c r="N30" i="29"/>
  <c r="Q105" i="8"/>
  <c r="AP32" i="1"/>
  <c r="AT32" i="1"/>
  <c r="AS34" i="1"/>
  <c r="AT365" i="1"/>
  <c r="AO584" i="1"/>
  <c r="AS33" i="1"/>
  <c r="AP580" i="1"/>
  <c r="AT580" i="1" s="1"/>
  <c r="AP584" i="1"/>
  <c r="AT584" i="1" s="1"/>
  <c r="Q75" i="8"/>
  <c r="AO581" i="1"/>
  <c r="AT581" i="1" s="1"/>
  <c r="AO585" i="1"/>
  <c r="K82" i="4"/>
  <c r="K82" i="8" s="1"/>
  <c r="AA53" i="1"/>
  <c r="AP581" i="1"/>
  <c r="AP585" i="1"/>
  <c r="AT585" i="1"/>
  <c r="Q890" i="25"/>
  <c r="Q13" i="25"/>
  <c r="AP36" i="1"/>
  <c r="AT36" i="1"/>
  <c r="AO582" i="1"/>
  <c r="AO586" i="1"/>
  <c r="AP337" i="1"/>
  <c r="AT337" i="1"/>
  <c r="AP582" i="1"/>
  <c r="AT582" i="1" s="1"/>
  <c r="AP586" i="1"/>
  <c r="AT586" i="1" s="1"/>
  <c r="Q890" i="20"/>
  <c r="R896" i="20"/>
  <c r="AP27" i="1"/>
  <c r="AT27" i="1"/>
  <c r="AP43" i="1"/>
  <c r="AT43" i="1"/>
  <c r="AA100" i="1"/>
  <c r="AP100" i="1"/>
  <c r="AT100" i="1" s="1"/>
  <c r="Z402" i="1"/>
  <c r="Z406" i="1"/>
  <c r="AO406" i="1" s="1"/>
  <c r="AT406" i="1" s="1"/>
  <c r="AO74" i="1"/>
  <c r="AT74" i="1" s="1"/>
  <c r="AO82" i="1"/>
  <c r="AT82" i="1" s="1"/>
  <c r="AO302" i="1"/>
  <c r="AT302" i="1" s="1"/>
  <c r="AO310" i="1"/>
  <c r="AT310" i="1" s="1"/>
  <c r="AO318" i="1"/>
  <c r="AT318" i="1" s="1"/>
  <c r="AO331" i="1"/>
  <c r="AT331" i="1" s="1"/>
  <c r="AO340" i="1"/>
  <c r="AT340" i="1" s="1"/>
  <c r="AO350" i="1"/>
  <c r="AT350" i="1" s="1"/>
  <c r="AO358" i="1"/>
  <c r="AO370" i="1"/>
  <c r="AT370" i="1"/>
  <c r="AO378" i="1"/>
  <c r="AT378" i="1" s="1"/>
  <c r="AP28" i="1"/>
  <c r="AT28" i="1" s="1"/>
  <c r="AA101" i="1"/>
  <c r="G22" i="4" s="1"/>
  <c r="AA402" i="1"/>
  <c r="AP402" i="1"/>
  <c r="AT402" i="1" s="1"/>
  <c r="AA406" i="1"/>
  <c r="AP406" i="1"/>
  <c r="AO75" i="1"/>
  <c r="AT75" i="1"/>
  <c r="AO83" i="1"/>
  <c r="AT83" i="1"/>
  <c r="AO295" i="1"/>
  <c r="AT295" i="1"/>
  <c r="AO303" i="1"/>
  <c r="AT303" i="1"/>
  <c r="AO311" i="1"/>
  <c r="AT311" i="1"/>
  <c r="AO319" i="1"/>
  <c r="AT319" i="1"/>
  <c r="AO332" i="1"/>
  <c r="AT332" i="1"/>
  <c r="AO341" i="1"/>
  <c r="AT341" i="1"/>
  <c r="AO351" i="1"/>
  <c r="AT351" i="1"/>
  <c r="AO359" i="1"/>
  <c r="AT359" i="1"/>
  <c r="AO371" i="1"/>
  <c r="AT371" i="1"/>
  <c r="AO379" i="1"/>
  <c r="AT379" i="1"/>
  <c r="AP29" i="1"/>
  <c r="AT29" i="1"/>
  <c r="AP30" i="1"/>
  <c r="AT30" i="1"/>
  <c r="AP40" i="1"/>
  <c r="AT40" i="1"/>
  <c r="AP41" i="1"/>
  <c r="AT41" i="1"/>
  <c r="AA94" i="1"/>
  <c r="Z403" i="1"/>
  <c r="AO403" i="1" s="1"/>
  <c r="Z407" i="1"/>
  <c r="AO407" i="1" s="1"/>
  <c r="AO76" i="1"/>
  <c r="AT76" i="1"/>
  <c r="AO84" i="1"/>
  <c r="AT84" i="1"/>
  <c r="AO296" i="1"/>
  <c r="AT296" i="1"/>
  <c r="AO304" i="1"/>
  <c r="AT304" i="1"/>
  <c r="AO312" i="1"/>
  <c r="AT312" i="1"/>
  <c r="AO320" i="1"/>
  <c r="AT320" i="1"/>
  <c r="AO333" i="1"/>
  <c r="AT333" i="1"/>
  <c r="AO342" i="1"/>
  <c r="AT342" i="1"/>
  <c r="AO352" i="1"/>
  <c r="AT352" i="1"/>
  <c r="AO360" i="1"/>
  <c r="AT360" i="1"/>
  <c r="AO372" i="1"/>
  <c r="AT372" i="1"/>
  <c r="AO415" i="1"/>
  <c r="AT415" i="1"/>
  <c r="AP31" i="1"/>
  <c r="AT31" i="1" s="1"/>
  <c r="AP37" i="1"/>
  <c r="AT37" i="1" s="1"/>
  <c r="AP38" i="1"/>
  <c r="AT38" i="1" s="1"/>
  <c r="V404" i="26"/>
  <c r="V408" i="26"/>
  <c r="V667" i="26"/>
  <c r="V404" i="25"/>
  <c r="V408" i="25"/>
  <c r="V667" i="25"/>
  <c r="AA95" i="1"/>
  <c r="AA403" i="1"/>
  <c r="AA407" i="1"/>
  <c r="AO77" i="1"/>
  <c r="AT77" i="1" s="1"/>
  <c r="AO85" i="1"/>
  <c r="AT85" i="1" s="1"/>
  <c r="AO297" i="1"/>
  <c r="AT297" i="1" s="1"/>
  <c r="AO305" i="1"/>
  <c r="AT305" i="1" s="1"/>
  <c r="AO313" i="1"/>
  <c r="AT313" i="1" s="1"/>
  <c r="AO321" i="1"/>
  <c r="AT321" i="1" s="1"/>
  <c r="AO334" i="1"/>
  <c r="AT334" i="1" s="1"/>
  <c r="AO343" i="1"/>
  <c r="AT343" i="1" s="1"/>
  <c r="AO353" i="1"/>
  <c r="AT353" i="1" s="1"/>
  <c r="AO361" i="1"/>
  <c r="AT361" i="1" s="1"/>
  <c r="AO373" i="1"/>
  <c r="AT373" i="1" s="1"/>
  <c r="AO402" i="1"/>
  <c r="AA96" i="1"/>
  <c r="AP96" i="1"/>
  <c r="AT96" i="1" s="1"/>
  <c r="AO86" i="1"/>
  <c r="AT86" i="1" s="1"/>
  <c r="AO298" i="1"/>
  <c r="AT298" i="1" s="1"/>
  <c r="AO306" i="1"/>
  <c r="AT306" i="1" s="1"/>
  <c r="AO314" i="1"/>
  <c r="AT314" i="1" s="1"/>
  <c r="AO323" i="1"/>
  <c r="AT323" i="1" s="1"/>
  <c r="AO335" i="1"/>
  <c r="AT335" i="1" s="1"/>
  <c r="AO346" i="1"/>
  <c r="AT346" i="1" s="1"/>
  <c r="AO354" i="1"/>
  <c r="AT354" i="1" s="1"/>
  <c r="AO362" i="1"/>
  <c r="AT362" i="1" s="1"/>
  <c r="AO374" i="1"/>
  <c r="AT374" i="1" s="1"/>
  <c r="AP33" i="1"/>
  <c r="AT33" i="1" s="1"/>
  <c r="AP34" i="1"/>
  <c r="AT34" i="1" s="1"/>
  <c r="AP35" i="1"/>
  <c r="AT35" i="1" s="1"/>
  <c r="V405" i="26"/>
  <c r="V409" i="26"/>
  <c r="AA97" i="1"/>
  <c r="AP97" i="1" s="1"/>
  <c r="AT97" i="1" s="1"/>
  <c r="AA404" i="1"/>
  <c r="AP404" i="1" s="1"/>
  <c r="AO71" i="1"/>
  <c r="AT71" i="1" s="1"/>
  <c r="AO79" i="1"/>
  <c r="AT79" i="1" s="1"/>
  <c r="AO87" i="1"/>
  <c r="AT87" i="1" s="1"/>
  <c r="AO299" i="1"/>
  <c r="AT299" i="1" s="1"/>
  <c r="AO307" i="1"/>
  <c r="AT307" i="1" s="1"/>
  <c r="AO315" i="1"/>
  <c r="AT315" i="1" s="1"/>
  <c r="AO324" i="1"/>
  <c r="AT324" i="1" s="1"/>
  <c r="AO336" i="1"/>
  <c r="AT336" i="1" s="1"/>
  <c r="AO347" i="1"/>
  <c r="AT347" i="1" s="1"/>
  <c r="AO355" i="1"/>
  <c r="AT355" i="1" s="1"/>
  <c r="AO363" i="1"/>
  <c r="AT363" i="1" s="1"/>
  <c r="AO375" i="1"/>
  <c r="AT375" i="1" s="1"/>
  <c r="AP48" i="1"/>
  <c r="AT48" i="1" s="1"/>
  <c r="AP49" i="1"/>
  <c r="AT49" i="1" s="1"/>
  <c r="AA98" i="1"/>
  <c r="G15" i="4" s="1"/>
  <c r="Z409" i="1"/>
  <c r="AO409" i="1" s="1"/>
  <c r="AO72" i="1"/>
  <c r="AT72" i="1" s="1"/>
  <c r="AO80" i="1"/>
  <c r="AT80" i="1" s="1"/>
  <c r="AO88" i="1"/>
  <c r="AT88" i="1" s="1"/>
  <c r="AO291" i="1"/>
  <c r="AT291" i="1" s="1"/>
  <c r="AO300" i="1"/>
  <c r="AT300" i="1" s="1"/>
  <c r="AO308" i="1"/>
  <c r="AT308" i="1" s="1"/>
  <c r="AO316" i="1"/>
  <c r="AT316" i="1" s="1"/>
  <c r="AO325" i="1"/>
  <c r="AT325" i="1" s="1"/>
  <c r="AO338" i="1"/>
  <c r="AT338" i="1" s="1"/>
  <c r="AO348" i="1"/>
  <c r="AT348" i="1" s="1"/>
  <c r="AO356" i="1"/>
  <c r="AT356" i="1" s="1"/>
  <c r="AO368" i="1"/>
  <c r="AT368" i="1" s="1"/>
  <c r="AO376" i="1"/>
  <c r="AT376" i="1" s="1"/>
  <c r="AO579" i="1"/>
  <c r="AT579" i="1" s="1"/>
  <c r="AP98" i="1"/>
  <c r="AT98" i="1" s="1"/>
  <c r="AP46" i="1"/>
  <c r="AT46" i="1" s="1"/>
  <c r="AA405" i="1"/>
  <c r="AP405" i="1" s="1"/>
  <c r="AA409" i="1"/>
  <c r="AP409" i="1" s="1"/>
  <c r="AO73" i="1"/>
  <c r="AT73" i="1" s="1"/>
  <c r="AO81" i="1"/>
  <c r="AT81" i="1" s="1"/>
  <c r="AO89" i="1"/>
  <c r="AT89" i="1" s="1"/>
  <c r="AO292" i="1"/>
  <c r="AT292" i="1" s="1"/>
  <c r="AO301" i="1"/>
  <c r="AT301" i="1" s="1"/>
  <c r="AO309" i="1"/>
  <c r="AT309" i="1" s="1"/>
  <c r="AO317" i="1"/>
  <c r="AT317" i="1" s="1"/>
  <c r="AO326" i="1"/>
  <c r="AT326" i="1" s="1"/>
  <c r="AO339" i="1"/>
  <c r="AT339" i="1" s="1"/>
  <c r="AO349" i="1"/>
  <c r="AT349" i="1" s="1"/>
  <c r="AO357" i="1"/>
  <c r="AO369" i="1"/>
  <c r="AT369" i="1" s="1"/>
  <c r="AO377" i="1"/>
  <c r="AT377" i="1" s="1"/>
  <c r="AP407" i="1"/>
  <c r="AO54" i="1"/>
  <c r="AT54" i="1" s="1"/>
  <c r="AO106" i="1"/>
  <c r="AT106" i="1" s="1"/>
  <c r="AO123" i="1"/>
  <c r="AT123" i="1" s="1"/>
  <c r="AO138" i="1"/>
  <c r="AT138" i="1" s="1"/>
  <c r="AO153" i="1"/>
  <c r="AT153" i="1" s="1"/>
  <c r="AO162" i="1"/>
  <c r="AT162" i="1" s="1"/>
  <c r="AO221" i="1"/>
  <c r="AT221" i="1" s="1"/>
  <c r="AO245" i="1"/>
  <c r="AT245" i="1" s="1"/>
  <c r="AO255" i="1"/>
  <c r="AT255" i="1" s="1"/>
  <c r="AO833" i="1"/>
  <c r="AT833" i="1" s="1"/>
  <c r="AO858" i="1"/>
  <c r="AT858" i="1" s="1"/>
  <c r="AO866" i="1"/>
  <c r="AT866" i="1" s="1"/>
  <c r="Z404" i="1"/>
  <c r="AO404" i="1" s="1"/>
  <c r="V406" i="20"/>
  <c r="AP39" i="1"/>
  <c r="AT39" i="1" s="1"/>
  <c r="AP47" i="1"/>
  <c r="AT47" i="1" s="1"/>
  <c r="AO55" i="1"/>
  <c r="AT55" i="1" s="1"/>
  <c r="AO107" i="1"/>
  <c r="AT107" i="1" s="1"/>
  <c r="AO124" i="1"/>
  <c r="AT124" i="1" s="1"/>
  <c r="AO141" i="1"/>
  <c r="AT141" i="1" s="1"/>
  <c r="AO154" i="1"/>
  <c r="AT154" i="1" s="1"/>
  <c r="AO163" i="1"/>
  <c r="AT163" i="1" s="1"/>
  <c r="AO171" i="1"/>
  <c r="AT171" i="1" s="1"/>
  <c r="AO223" i="1"/>
  <c r="AT223" i="1" s="1"/>
  <c r="AO246" i="1"/>
  <c r="AT246" i="1" s="1"/>
  <c r="AO256" i="1"/>
  <c r="AT256" i="1" s="1"/>
  <c r="AO573" i="1"/>
  <c r="AT573" i="1" s="1"/>
  <c r="AO834" i="1"/>
  <c r="AT834" i="1" s="1"/>
  <c r="AO859" i="1"/>
  <c r="AT859" i="1" s="1"/>
  <c r="AO867" i="1"/>
  <c r="AT867" i="1" s="1"/>
  <c r="Z405" i="1"/>
  <c r="AO405" i="1" s="1"/>
  <c r="AT405" i="1" s="1"/>
  <c r="V407" i="20"/>
  <c r="AO108" i="1"/>
  <c r="AT108" i="1" s="1"/>
  <c r="AO126" i="1"/>
  <c r="AT126" i="1" s="1"/>
  <c r="AO144" i="1"/>
  <c r="AT144" i="1" s="1"/>
  <c r="AO155" i="1"/>
  <c r="AT155" i="1" s="1"/>
  <c r="AO164" i="1"/>
  <c r="AT164" i="1" s="1"/>
  <c r="AO172" i="1"/>
  <c r="AT172" i="1" s="1"/>
  <c r="AO229" i="1"/>
  <c r="AT229" i="1" s="1"/>
  <c r="AO247" i="1"/>
  <c r="AT247" i="1" s="1"/>
  <c r="AO283" i="1"/>
  <c r="AT283" i="1" s="1"/>
  <c r="AO574" i="1"/>
  <c r="AT574" i="1" s="1"/>
  <c r="AO837" i="1"/>
  <c r="AT837" i="1" s="1"/>
  <c r="AO860" i="1"/>
  <c r="AT860" i="1" s="1"/>
  <c r="AO884" i="1"/>
  <c r="AT884" i="1" s="1"/>
  <c r="AP228" i="1"/>
  <c r="AT228" i="1" s="1"/>
  <c r="AO109" i="1"/>
  <c r="AT109" i="1" s="1"/>
  <c r="AO129" i="1"/>
  <c r="AT129" i="1" s="1"/>
  <c r="AO145" i="1"/>
  <c r="AT145" i="1" s="1"/>
  <c r="AO156" i="1"/>
  <c r="AT156" i="1" s="1"/>
  <c r="AO165" i="1"/>
  <c r="AT165" i="1" s="1"/>
  <c r="AO185" i="1"/>
  <c r="AT185" i="1" s="1"/>
  <c r="AO230" i="1"/>
  <c r="AT230" i="1" s="1"/>
  <c r="AO248" i="1"/>
  <c r="AT248" i="1" s="1"/>
  <c r="AO575" i="1"/>
  <c r="AT575" i="1" s="1"/>
  <c r="AO838" i="1"/>
  <c r="AT838" i="1" s="1"/>
  <c r="AO861" i="1"/>
  <c r="AT861" i="1" s="1"/>
  <c r="AO887" i="1"/>
  <c r="AT887" i="1" s="1"/>
  <c r="V409" i="20"/>
  <c r="AP42" i="1"/>
  <c r="AT42" i="1" s="1"/>
  <c r="AP50" i="1"/>
  <c r="AO110" i="1"/>
  <c r="AT110" i="1" s="1"/>
  <c r="AO131" i="1"/>
  <c r="AT131" i="1" s="1"/>
  <c r="AO147" i="1"/>
  <c r="AT147" i="1" s="1"/>
  <c r="AO157" i="1"/>
  <c r="AT157" i="1" s="1"/>
  <c r="AO166" i="1"/>
  <c r="AT166" i="1" s="1"/>
  <c r="AO188" i="1"/>
  <c r="AT188" i="1" s="1"/>
  <c r="AO231" i="1"/>
  <c r="AT231" i="1" s="1"/>
  <c r="AO249" i="1"/>
  <c r="AT249" i="1" s="1"/>
  <c r="AO839" i="1"/>
  <c r="AT839" i="1" s="1"/>
  <c r="AO862" i="1"/>
  <c r="AT862" i="1" s="1"/>
  <c r="AO18" i="1"/>
  <c r="AT18" i="1" s="1"/>
  <c r="V402" i="20"/>
  <c r="AP51" i="1"/>
  <c r="AT51" i="1"/>
  <c r="AO103" i="1"/>
  <c r="AT103" i="1"/>
  <c r="AO111" i="1"/>
  <c r="AT111" i="1"/>
  <c r="AO134" i="1"/>
  <c r="AT134" i="1"/>
  <c r="AO148" i="1"/>
  <c r="AT148" i="1"/>
  <c r="AO158" i="1"/>
  <c r="AT158" i="1"/>
  <c r="AO167" i="1"/>
  <c r="AT167" i="1"/>
  <c r="AO189" i="1"/>
  <c r="AT189" i="1"/>
  <c r="AO236" i="1"/>
  <c r="AT236" i="1"/>
  <c r="AO250" i="1"/>
  <c r="AT250" i="1"/>
  <c r="AO604" i="1"/>
  <c r="AT604" i="1"/>
  <c r="AO840" i="1"/>
  <c r="AT840" i="1"/>
  <c r="AO863" i="1"/>
  <c r="AT863" i="1"/>
  <c r="AO21" i="1"/>
  <c r="AT21" i="1"/>
  <c r="V403" i="20"/>
  <c r="AP44" i="1"/>
  <c r="AT44" i="1" s="1"/>
  <c r="AP52" i="1"/>
  <c r="AT52" i="1" s="1"/>
  <c r="AP53" i="1"/>
  <c r="AT53" i="1" s="1"/>
  <c r="AO104" i="1"/>
  <c r="AT104" i="1" s="1"/>
  <c r="AO112" i="1"/>
  <c r="AT112" i="1" s="1"/>
  <c r="AO136" i="1"/>
  <c r="AT136" i="1" s="1"/>
  <c r="AO149" i="1"/>
  <c r="AO159" i="1"/>
  <c r="AT159" i="1" s="1"/>
  <c r="AO168" i="1"/>
  <c r="AT168" i="1" s="1"/>
  <c r="AO196" i="1"/>
  <c r="AT196" i="1" s="1"/>
  <c r="AO239" i="1"/>
  <c r="AT239" i="1" s="1"/>
  <c r="AO253" i="1"/>
  <c r="AT253" i="1" s="1"/>
  <c r="AO608" i="1"/>
  <c r="AT608" i="1" s="1"/>
  <c r="AO841" i="1"/>
  <c r="AT841" i="1" s="1"/>
  <c r="AO864" i="1"/>
  <c r="AT864" i="1" s="1"/>
  <c r="AO23" i="1"/>
  <c r="AT23" i="1" s="1"/>
  <c r="AP45" i="1"/>
  <c r="AT45" i="1" s="1"/>
  <c r="AO105" i="1"/>
  <c r="AT105" i="1" s="1"/>
  <c r="AO137" i="1"/>
  <c r="AT137" i="1" s="1"/>
  <c r="AO152" i="1"/>
  <c r="AT152" i="1" s="1"/>
  <c r="AO161" i="1"/>
  <c r="AT161" i="1" s="1"/>
  <c r="AO169" i="1"/>
  <c r="AT169" i="1" s="1"/>
  <c r="AO219" i="1"/>
  <c r="AT219" i="1" s="1"/>
  <c r="AO240" i="1"/>
  <c r="AT240" i="1" s="1"/>
  <c r="AO254" i="1"/>
  <c r="AT254" i="1" s="1"/>
  <c r="AO832" i="1"/>
  <c r="AO846" i="1"/>
  <c r="AT846" i="1" s="1"/>
  <c r="AO865" i="1"/>
  <c r="AT865" i="1" s="1"/>
  <c r="AP287" i="1"/>
  <c r="AT287" i="1" s="1"/>
  <c r="AO198" i="1"/>
  <c r="AT198" i="1" s="1"/>
  <c r="AO667" i="1"/>
  <c r="AT667" i="1" s="1"/>
  <c r="AA904" i="1"/>
  <c r="AA905" i="1"/>
  <c r="AT710" i="1"/>
  <c r="AT534" i="1"/>
  <c r="AT744" i="1"/>
  <c r="AT708" i="1"/>
  <c r="AT518" i="1"/>
  <c r="AT179" i="1"/>
  <c r="B81" i="8"/>
  <c r="D80" i="8"/>
  <c r="J80" i="8"/>
  <c r="H80" i="8"/>
  <c r="AT727" i="1"/>
  <c r="G74" i="4"/>
  <c r="K76" i="8"/>
  <c r="AT809" i="1"/>
  <c r="AT793" i="1"/>
  <c r="AT825" i="1"/>
  <c r="AT650" i="1"/>
  <c r="N6" i="36"/>
  <c r="M8" i="36" s="1"/>
  <c r="G14" i="4"/>
  <c r="AT358" i="1"/>
  <c r="AT587" i="1"/>
  <c r="AT535" i="1"/>
  <c r="AT546" i="1"/>
  <c r="AT677" i="1"/>
  <c r="AT756" i="1"/>
  <c r="AT772" i="1"/>
  <c r="AT583" i="1"/>
  <c r="H100" i="30"/>
  <c r="K100" i="30"/>
  <c r="G100" i="30"/>
  <c r="AA273" i="31"/>
  <c r="AT709" i="1"/>
  <c r="N36" i="30"/>
  <c r="H37" i="30"/>
  <c r="H38" i="30" s="1"/>
  <c r="AT625" i="1"/>
  <c r="AT743" i="1"/>
  <c r="M34" i="4"/>
  <c r="D85" i="30"/>
  <c r="AT178" i="1"/>
  <c r="O18" i="36"/>
  <c r="N18" i="36" s="1"/>
  <c r="D37" i="30"/>
  <c r="N48" i="8"/>
  <c r="AT357" i="1"/>
  <c r="E37" i="30"/>
  <c r="E38" i="30" s="1"/>
  <c r="AT832" i="1"/>
  <c r="AP94" i="1"/>
  <c r="AT94" i="1" s="1"/>
  <c r="G45" i="29"/>
  <c r="E107" i="30"/>
  <c r="J107" i="30"/>
  <c r="AT707" i="1"/>
  <c r="AT750" i="1"/>
  <c r="Q44" i="8"/>
  <c r="N44" i="8" s="1"/>
  <c r="N44" i="4"/>
  <c r="D107" i="30"/>
  <c r="M61" i="8"/>
  <c r="N61" i="8"/>
  <c r="B47" i="30"/>
  <c r="K47" i="30" s="1"/>
  <c r="K46" i="30"/>
  <c r="J46" i="30"/>
  <c r="D46" i="30"/>
  <c r="O39" i="36"/>
  <c r="N39" i="36"/>
  <c r="AT762" i="1"/>
  <c r="O38" i="36"/>
  <c r="N81" i="4"/>
  <c r="Q81" i="8"/>
  <c r="M36" i="30"/>
  <c r="B18" i="36"/>
  <c r="N19" i="36"/>
  <c r="J101" i="30"/>
  <c r="G101" i="30"/>
  <c r="H101" i="30"/>
  <c r="B39" i="36"/>
  <c r="B48" i="30"/>
  <c r="E48" i="30" s="1"/>
  <c r="J47" i="30"/>
  <c r="G47" i="30"/>
  <c r="D47" i="30"/>
  <c r="E47" i="30"/>
  <c r="G74" i="8"/>
  <c r="B82" i="8"/>
  <c r="J81" i="8"/>
  <c r="D81" i="8"/>
  <c r="G81" i="8"/>
  <c r="T115" i="25"/>
  <c r="V115" i="25"/>
  <c r="T117" i="25"/>
  <c r="AA117" i="1" s="1"/>
  <c r="AP117" i="1" s="1"/>
  <c r="AT117" i="1" s="1"/>
  <c r="V117" i="25"/>
  <c r="T115" i="26"/>
  <c r="T117" i="26"/>
  <c r="V117" i="26"/>
  <c r="V115" i="26"/>
  <c r="AV115" i="1"/>
  <c r="J42" i="4"/>
  <c r="J42" i="8" s="1"/>
  <c r="T115" i="1"/>
  <c r="AX115" i="1"/>
  <c r="AH117" i="1"/>
  <c r="AX117" i="1"/>
  <c r="AH115" i="1"/>
  <c r="AV117" i="1"/>
  <c r="AV13" i="1" s="1"/>
  <c r="T117" i="1"/>
  <c r="T115" i="20"/>
  <c r="T829" i="20" s="1"/>
  <c r="T890" i="20" s="1"/>
  <c r="V117" i="20"/>
  <c r="T115" i="27"/>
  <c r="T829" i="27"/>
  <c r="T892" i="27" s="1"/>
  <c r="E45" i="8"/>
  <c r="H45" i="8"/>
  <c r="H67" i="7"/>
  <c r="Q13" i="26"/>
  <c r="R896" i="26"/>
  <c r="AT480" i="1"/>
  <c r="AT391" i="1"/>
  <c r="P13" i="26"/>
  <c r="R37" i="36"/>
  <c r="P896" i="26"/>
  <c r="AT274" i="1"/>
  <c r="M66" i="7"/>
  <c r="M67" i="7"/>
  <c r="M69" i="7" s="1"/>
  <c r="AS887" i="1"/>
  <c r="AA894" i="1"/>
  <c r="AA4" i="1" s="1"/>
  <c r="O890" i="25"/>
  <c r="O13" i="25" s="1"/>
  <c r="R35" i="36" s="1"/>
  <c r="R36" i="36" s="1"/>
  <c r="R13" i="25"/>
  <c r="R896" i="25"/>
  <c r="G101" i="8"/>
  <c r="G104" i="8"/>
  <c r="G93" i="4"/>
  <c r="G19" i="29"/>
  <c r="AT438" i="1"/>
  <c r="G64" i="4"/>
  <c r="G64" i="8" s="1"/>
  <c r="S829" i="25"/>
  <c r="S890" i="25"/>
  <c r="S13" i="25" s="1"/>
  <c r="G69" i="7"/>
  <c r="AR193" i="1"/>
  <c r="AT857" i="1"/>
  <c r="AS849" i="1"/>
  <c r="P890" i="20"/>
  <c r="P13" i="20"/>
  <c r="AP393" i="1"/>
  <c r="AT393" i="1" s="1"/>
  <c r="Q13" i="20"/>
  <c r="H77" i="4"/>
  <c r="H77" i="8" s="1"/>
  <c r="N77" i="8" s="1"/>
  <c r="G57" i="7"/>
  <c r="H75" i="4"/>
  <c r="H75" i="8" s="1"/>
  <c r="H76" i="4"/>
  <c r="H82" i="4"/>
  <c r="H82" i="8" s="1"/>
  <c r="M6" i="36"/>
  <c r="AT192" i="1"/>
  <c r="M79" i="8"/>
  <c r="M80" i="4"/>
  <c r="P892" i="20"/>
  <c r="P2" i="20"/>
  <c r="W914" i="1"/>
  <c r="W915" i="1" s="1"/>
  <c r="N23" i="8"/>
  <c r="N26" i="8"/>
  <c r="AS89" i="1"/>
  <c r="G14" i="8"/>
  <c r="M14" i="8" s="1"/>
  <c r="Y892" i="1"/>
  <c r="Y2" i="1"/>
  <c r="X914" i="1"/>
  <c r="X915" i="1" s="1"/>
  <c r="X890" i="1"/>
  <c r="X13" i="1" s="1"/>
  <c r="H12" i="8"/>
  <c r="H20" i="8"/>
  <c r="H28" i="8" s="1"/>
  <c r="N14" i="8"/>
  <c r="N12" i="8" s="1"/>
  <c r="V13" i="1"/>
  <c r="V914" i="1"/>
  <c r="V915" i="1"/>
  <c r="S829" i="20"/>
  <c r="S890" i="20" s="1"/>
  <c r="S13" i="20" s="1"/>
  <c r="W892" i="1"/>
  <c r="W2" i="1" s="1"/>
  <c r="AA456" i="31"/>
  <c r="AA393" i="31"/>
  <c r="AA351" i="31"/>
  <c r="E27" i="30"/>
  <c r="Y462" i="31"/>
  <c r="E40" i="29"/>
  <c r="E113" i="29" s="1"/>
  <c r="AA243" i="31"/>
  <c r="AA235" i="31"/>
  <c r="N109" i="29"/>
  <c r="E111" i="29"/>
  <c r="AA146" i="31"/>
  <c r="N64" i="29"/>
  <c r="N66" i="29"/>
  <c r="E66" i="29"/>
  <c r="AA85" i="31"/>
  <c r="AA84" i="31"/>
  <c r="N72" i="30"/>
  <c r="AA51" i="31"/>
  <c r="E46" i="30"/>
  <c r="AA43" i="31"/>
  <c r="AA40" i="31"/>
  <c r="AA35" i="31"/>
  <c r="AA29" i="31"/>
  <c r="AA27" i="31"/>
  <c r="AA25" i="31"/>
  <c r="AA23" i="31"/>
  <c r="S468" i="31"/>
  <c r="S4" i="31"/>
  <c r="H66" i="4"/>
  <c r="H62" i="4"/>
  <c r="N80" i="30"/>
  <c r="N81" i="30" s="1"/>
  <c r="E81" i="30"/>
  <c r="R470" i="31"/>
  <c r="AA373" i="31"/>
  <c r="N38" i="29"/>
  <c r="N27" i="29"/>
  <c r="N64" i="30"/>
  <c r="N66" i="30" s="1"/>
  <c r="E66" i="30"/>
  <c r="N55" i="30"/>
  <c r="N51" i="29"/>
  <c r="N45" i="30"/>
  <c r="N43" i="30"/>
  <c r="P468" i="31"/>
  <c r="P4" i="31" s="1"/>
  <c r="E65" i="8"/>
  <c r="E66" i="8" s="1"/>
  <c r="E53" i="29"/>
  <c r="E77" i="29" s="1"/>
  <c r="H66" i="8"/>
  <c r="N63" i="8"/>
  <c r="AR275" i="1"/>
  <c r="N80" i="7"/>
  <c r="N23" i="7" s="1"/>
  <c r="R74" i="33"/>
  <c r="S2" i="33"/>
  <c r="P85" i="4"/>
  <c r="R73" i="33"/>
  <c r="AT207" i="1"/>
  <c r="M44" i="4"/>
  <c r="R67" i="33"/>
  <c r="AR182" i="1"/>
  <c r="AO181" i="1"/>
  <c r="AT181" i="1" s="1"/>
  <c r="D78" i="4"/>
  <c r="D78" i="8" s="1"/>
  <c r="O470" i="31"/>
  <c r="AS856" i="1"/>
  <c r="AT855" i="1"/>
  <c r="AS852" i="1"/>
  <c r="AT850" i="1"/>
  <c r="AT849" i="1"/>
  <c r="AT848" i="1"/>
  <c r="P890" i="1"/>
  <c r="E101" i="8"/>
  <c r="O890" i="1"/>
  <c r="O13" i="1"/>
  <c r="AP822" i="1"/>
  <c r="AO822" i="1"/>
  <c r="AT822" i="1" s="1"/>
  <c r="AT765" i="1"/>
  <c r="J72" i="30"/>
  <c r="M72" i="29"/>
  <c r="AP763" i="1"/>
  <c r="AT763" i="1" s="1"/>
  <c r="O37" i="36"/>
  <c r="B37" i="36" s="1"/>
  <c r="AT760" i="1"/>
  <c r="AP759" i="1"/>
  <c r="AO759" i="1"/>
  <c r="AT759" i="1"/>
  <c r="AT748" i="1"/>
  <c r="AT747" i="1"/>
  <c r="AT745" i="1"/>
  <c r="AT742" i="1"/>
  <c r="AT740" i="1"/>
  <c r="D79" i="30"/>
  <c r="D81" i="30" s="1"/>
  <c r="M79" i="29"/>
  <c r="M81" i="29" s="1"/>
  <c r="AT718" i="1"/>
  <c r="AT634" i="1"/>
  <c r="AT621" i="1"/>
  <c r="M15" i="29"/>
  <c r="AT553" i="1"/>
  <c r="AT513" i="1"/>
  <c r="AT457" i="1"/>
  <c r="AT452" i="1"/>
  <c r="AT450" i="1"/>
  <c r="AT448" i="1"/>
  <c r="AT447" i="1"/>
  <c r="AT429" i="1"/>
  <c r="AF896" i="1"/>
  <c r="AS396" i="1"/>
  <c r="AT396" i="1"/>
  <c r="AT388" i="1"/>
  <c r="AT386" i="1"/>
  <c r="AT385" i="1"/>
  <c r="AT384" i="1"/>
  <c r="D38" i="4"/>
  <c r="D35" i="8"/>
  <c r="D38" i="8"/>
  <c r="E38" i="8"/>
  <c r="E35" i="4"/>
  <c r="E30" i="8"/>
  <c r="M31" i="8"/>
  <c r="D30" i="4"/>
  <c r="K50" i="8"/>
  <c r="K47" i="8"/>
  <c r="D50" i="8"/>
  <c r="M48" i="4"/>
  <c r="AO294" i="1"/>
  <c r="AT294" i="1" s="1"/>
  <c r="D47" i="4"/>
  <c r="D50" i="4"/>
  <c r="E41" i="4"/>
  <c r="E43" i="4"/>
  <c r="E43" i="8" s="1"/>
  <c r="M78" i="7"/>
  <c r="M15" i="7" s="1"/>
  <c r="G6" i="4"/>
  <c r="G6" i="8" s="1"/>
  <c r="AT217" i="1"/>
  <c r="M44" i="8"/>
  <c r="AT200" i="1"/>
  <c r="AT199" i="1"/>
  <c r="AT193" i="1"/>
  <c r="AT180" i="1"/>
  <c r="D84" i="8"/>
  <c r="M85" i="8"/>
  <c r="D87" i="8"/>
  <c r="D26" i="8"/>
  <c r="M17" i="8"/>
  <c r="E28" i="4"/>
  <c r="N20" i="8"/>
  <c r="N28" i="8" s="1"/>
  <c r="N20" i="4"/>
  <c r="D14" i="8"/>
  <c r="D20" i="8" s="1"/>
  <c r="D20" i="4"/>
  <c r="D12" i="4"/>
  <c r="AO78" i="1"/>
  <c r="AT78" i="1"/>
  <c r="Q13" i="1"/>
  <c r="R896" i="1"/>
  <c r="U470" i="31"/>
  <c r="AT15" i="1"/>
  <c r="AD896" i="1"/>
  <c r="AD13" i="1"/>
  <c r="R39" i="36"/>
  <c r="J63" i="8"/>
  <c r="M63" i="4"/>
  <c r="AP14" i="1"/>
  <c r="AT14" i="1"/>
  <c r="P13" i="1"/>
  <c r="T2" i="27"/>
  <c r="T890" i="27"/>
  <c r="T896" i="27" s="1"/>
  <c r="R4" i="36"/>
  <c r="M2" i="36"/>
  <c r="M4" i="36"/>
  <c r="AA115" i="1"/>
  <c r="AT149" i="1"/>
  <c r="AT468" i="1"/>
  <c r="AT507" i="1"/>
  <c r="AT703" i="1"/>
  <c r="AP905" i="1"/>
  <c r="AT714" i="1"/>
  <c r="AT783" i="1"/>
  <c r="AT558" i="1"/>
  <c r="AT699" i="1"/>
  <c r="A3" i="1"/>
  <c r="M90" i="7"/>
  <c r="M57" i="7" s="1"/>
  <c r="M94" i="30"/>
  <c r="J12" i="8"/>
  <c r="J20" i="8"/>
  <c r="D34" i="8"/>
  <c r="D30" i="8"/>
  <c r="K20" i="35"/>
  <c r="S67" i="35" s="1"/>
  <c r="R67" i="35" s="1"/>
  <c r="Y914" i="1"/>
  <c r="Y915" i="1" s="1"/>
  <c r="E75" i="4"/>
  <c r="U468" i="31"/>
  <c r="H36" i="8"/>
  <c r="M84" i="4"/>
  <c r="G85" i="30"/>
  <c r="D77" i="4"/>
  <c r="D75" i="4"/>
  <c r="J47" i="8"/>
  <c r="J50" i="8"/>
  <c r="M72" i="30"/>
  <c r="G99" i="30"/>
  <c r="K77" i="29"/>
  <c r="K113" i="29" s="1"/>
  <c r="M64" i="30"/>
  <c r="D66" i="30"/>
  <c r="G14" i="30"/>
  <c r="H93" i="8"/>
  <c r="N92" i="8"/>
  <c r="H87" i="8"/>
  <c r="H84" i="8"/>
  <c r="N85" i="8"/>
  <c r="G25" i="8"/>
  <c r="M25" i="8" s="1"/>
  <c r="M25" i="4"/>
  <c r="M23" i="4" s="1"/>
  <c r="J68" i="8"/>
  <c r="K65" i="8"/>
  <c r="K66" i="8" s="1"/>
  <c r="H30" i="8"/>
  <c r="J23" i="8"/>
  <c r="J26" i="8"/>
  <c r="J30" i="8"/>
  <c r="M16" i="4"/>
  <c r="M52" i="29"/>
  <c r="M64" i="29"/>
  <c r="M66" i="29" s="1"/>
  <c r="AL898" i="1"/>
  <c r="AL899" i="1" s="1"/>
  <c r="N17" i="30"/>
  <c r="V13" i="27"/>
  <c r="V12" i="27" s="1"/>
  <c r="N13" i="30"/>
  <c r="N75" i="30"/>
  <c r="AS27" i="1"/>
  <c r="AS32" i="1"/>
  <c r="AS45" i="1"/>
  <c r="AS53" i="1"/>
  <c r="N75" i="29"/>
  <c r="H90" i="7"/>
  <c r="G76" i="4" s="1"/>
  <c r="H69" i="7"/>
  <c r="G19" i="30"/>
  <c r="P896" i="20"/>
  <c r="H73" i="4"/>
  <c r="H76" i="8"/>
  <c r="N76" i="4"/>
  <c r="N77" i="4"/>
  <c r="P85" i="8"/>
  <c r="R468" i="31"/>
  <c r="O468" i="31"/>
  <c r="R31" i="36"/>
  <c r="P896" i="1"/>
  <c r="N37" i="36"/>
  <c r="M79" i="30"/>
  <c r="M81" i="30" s="1"/>
  <c r="E41" i="8"/>
  <c r="E39" i="4"/>
  <c r="M87" i="8"/>
  <c r="M84" i="8"/>
  <c r="D12" i="8"/>
  <c r="G23" i="8"/>
  <c r="D77" i="8"/>
  <c r="E75" i="8"/>
  <c r="N75" i="8" s="1"/>
  <c r="N75" i="4"/>
  <c r="N87" i="8"/>
  <c r="N84" i="8"/>
  <c r="N93" i="8"/>
  <c r="D75" i="8"/>
  <c r="U115" i="35"/>
  <c r="O71" i="35"/>
  <c r="R101" i="35" s="1"/>
  <c r="U112" i="35"/>
  <c r="O85" i="35"/>
  <c r="R115" i="35" s="1"/>
  <c r="R74" i="35"/>
  <c r="P75" i="29"/>
  <c r="P76" i="29" s="1"/>
  <c r="P67" i="4"/>
  <c r="P67" i="8" s="1"/>
  <c r="U108" i="35"/>
  <c r="P55" i="29"/>
  <c r="P55" i="30" s="1"/>
  <c r="O74" i="35"/>
  <c r="R104" i="35" s="1"/>
  <c r="U71" i="35"/>
  <c r="R71" i="35"/>
  <c r="P32" i="29"/>
  <c r="P32" i="30" s="1"/>
  <c r="U118" i="35"/>
  <c r="U74" i="35"/>
  <c r="S20" i="35"/>
  <c r="R20" i="35" s="1"/>
  <c r="O34" i="35"/>
  <c r="P34" i="35" s="1"/>
  <c r="S40" i="35"/>
  <c r="R40" i="35" s="1"/>
  <c r="R34" i="35"/>
  <c r="S34" i="35" s="1"/>
  <c r="U99" i="35"/>
  <c r="V114" i="35"/>
  <c r="R28" i="35"/>
  <c r="S28" i="35" s="1"/>
  <c r="P77" i="29"/>
  <c r="P77" i="30" s="1"/>
  <c r="R88" i="35"/>
  <c r="U116" i="35"/>
  <c r="U102" i="35"/>
  <c r="P40" i="35"/>
  <c r="O40" i="35" s="1"/>
  <c r="J28" i="8"/>
  <c r="AP115" i="1"/>
  <c r="AT115" i="1" s="1"/>
  <c r="T13" i="27"/>
  <c r="G75" i="4"/>
  <c r="H57" i="7"/>
  <c r="N76" i="8"/>
  <c r="P75" i="30"/>
  <c r="P76" i="30" s="1"/>
  <c r="G75" i="8"/>
  <c r="M15" i="4" l="1"/>
  <c r="G15" i="8"/>
  <c r="M15" i="8" s="1"/>
  <c r="K123" i="29"/>
  <c r="K120" i="29" s="1"/>
  <c r="V466" i="31"/>
  <c r="K124" i="29"/>
  <c r="K121" i="29" s="1"/>
  <c r="S466" i="31"/>
  <c r="H123" i="29"/>
  <c r="H120" i="29" s="1"/>
  <c r="H124" i="29"/>
  <c r="H121" i="29" s="1"/>
  <c r="AV10" i="1"/>
  <c r="R21" i="36"/>
  <c r="AV12" i="1"/>
  <c r="E39" i="8"/>
  <c r="P466" i="31"/>
  <c r="E123" i="29"/>
  <c r="E120" i="29" s="1"/>
  <c r="E124" i="29"/>
  <c r="E121" i="29" s="1"/>
  <c r="R27" i="36"/>
  <c r="N93" i="4"/>
  <c r="N101" i="4"/>
  <c r="G18" i="30"/>
  <c r="J93" i="4"/>
  <c r="J101" i="4"/>
  <c r="J92" i="8"/>
  <c r="J93" i="8" s="1"/>
  <c r="J104" i="4"/>
  <c r="D92" i="4"/>
  <c r="AP843" i="1"/>
  <c r="AT843" i="1" s="1"/>
  <c r="AH888" i="1"/>
  <c r="AP836" i="1"/>
  <c r="AO823" i="1"/>
  <c r="D99" i="29"/>
  <c r="D24" i="30"/>
  <c r="D27" i="29"/>
  <c r="J14" i="29"/>
  <c r="D14" i="29"/>
  <c r="AO606" i="1"/>
  <c r="D65" i="4"/>
  <c r="D65" i="8" s="1"/>
  <c r="AP590" i="1"/>
  <c r="T829" i="1"/>
  <c r="J105" i="29"/>
  <c r="J65" i="4"/>
  <c r="AP589" i="1"/>
  <c r="D105" i="29"/>
  <c r="AO589" i="1"/>
  <c r="D52" i="7"/>
  <c r="E71" i="4"/>
  <c r="E74" i="4"/>
  <c r="M88" i="7"/>
  <c r="M52" i="7" s="1"/>
  <c r="J48" i="7"/>
  <c r="K74" i="4"/>
  <c r="E86" i="7"/>
  <c r="E69" i="7"/>
  <c r="K41" i="4"/>
  <c r="K41" i="8" s="1"/>
  <c r="K43" i="4"/>
  <c r="K43" i="8" s="1"/>
  <c r="N43" i="8" s="1"/>
  <c r="K42" i="4"/>
  <c r="K40" i="4"/>
  <c r="E78" i="7"/>
  <c r="E32" i="7"/>
  <c r="N22" i="7"/>
  <c r="N32" i="7" s="1"/>
  <c r="G20" i="4"/>
  <c r="G28" i="4" s="1"/>
  <c r="G13" i="4"/>
  <c r="AP95" i="1"/>
  <c r="AT95" i="1" s="1"/>
  <c r="G37" i="4"/>
  <c r="H11" i="7"/>
  <c r="G36" i="4"/>
  <c r="M32" i="7"/>
  <c r="H13" i="27"/>
  <c r="S829" i="1"/>
  <c r="V13" i="20"/>
  <c r="B49" i="30"/>
  <c r="AT461" i="1"/>
  <c r="G47" i="8"/>
  <c r="G50" i="8"/>
  <c r="N22" i="36"/>
  <c r="B22" i="36"/>
  <c r="AS754" i="1"/>
  <c r="G26" i="30"/>
  <c r="M26" i="30" s="1"/>
  <c r="M26" i="29"/>
  <c r="D32" i="30"/>
  <c r="M32" i="30" s="1"/>
  <c r="M32" i="29"/>
  <c r="J57" i="30"/>
  <c r="M57" i="29"/>
  <c r="AS637" i="1"/>
  <c r="AP736" i="1"/>
  <c r="AT736" i="1" s="1"/>
  <c r="D35" i="29"/>
  <c r="AO733" i="1"/>
  <c r="J35" i="29"/>
  <c r="N33" i="36"/>
  <c r="B33" i="36"/>
  <c r="N87" i="4"/>
  <c r="N84" i="4"/>
  <c r="AA829" i="1"/>
  <c r="E104" i="8"/>
  <c r="E59" i="39" s="1"/>
  <c r="E58" i="39" s="1"/>
  <c r="AM829" i="1"/>
  <c r="AO622" i="1"/>
  <c r="AT622" i="1" s="1"/>
  <c r="N104" i="4"/>
  <c r="I59" i="39"/>
  <c r="I58" i="39" s="1"/>
  <c r="I57" i="39" s="1"/>
  <c r="G38" i="29"/>
  <c r="M57" i="30"/>
  <c r="N31" i="36"/>
  <c r="B31" i="36"/>
  <c r="O28" i="35"/>
  <c r="P28" i="35" s="1"/>
  <c r="U83" i="35"/>
  <c r="P20" i="35"/>
  <c r="O20" i="35" s="1"/>
  <c r="U69" i="35"/>
  <c r="P54" i="29"/>
  <c r="P54" i="30" s="1"/>
  <c r="M26" i="4"/>
  <c r="N43" i="4"/>
  <c r="E82" i="4"/>
  <c r="E82" i="8" s="1"/>
  <c r="AK829" i="1"/>
  <c r="M24" i="8"/>
  <c r="R8" i="36"/>
  <c r="N31" i="8"/>
  <c r="AP899" i="1"/>
  <c r="E35" i="8"/>
  <c r="N111" i="29"/>
  <c r="Y464" i="31"/>
  <c r="Y470" i="31" s="1"/>
  <c r="J39" i="8"/>
  <c r="V13" i="25"/>
  <c r="K48" i="30"/>
  <c r="G46" i="30"/>
  <c r="M46" i="30" s="1"/>
  <c r="N100" i="30"/>
  <c r="M88" i="30"/>
  <c r="AP910" i="1"/>
  <c r="AP904" i="1"/>
  <c r="AT404" i="1"/>
  <c r="AT407" i="1"/>
  <c r="H107" i="30"/>
  <c r="N107" i="30" s="1"/>
  <c r="K107" i="30"/>
  <c r="B108" i="30"/>
  <c r="G107" i="30"/>
  <c r="M107" i="30" s="1"/>
  <c r="K101" i="30"/>
  <c r="K102" i="30" s="1"/>
  <c r="E101" i="30"/>
  <c r="D101" i="30"/>
  <c r="M101" i="30" s="1"/>
  <c r="X462" i="31"/>
  <c r="AT713" i="1"/>
  <c r="AT590" i="1"/>
  <c r="AP606" i="1"/>
  <c r="AP885" i="1"/>
  <c r="AT885" i="1" s="1"/>
  <c r="D17" i="29"/>
  <c r="J28" i="4"/>
  <c r="K71" i="4"/>
  <c r="J15" i="7"/>
  <c r="D30" i="30"/>
  <c r="M30" i="30" s="1"/>
  <c r="M30" i="29"/>
  <c r="M87" i="4"/>
  <c r="N35" i="36"/>
  <c r="R34" i="36"/>
  <c r="G44" i="7"/>
  <c r="M84" i="7"/>
  <c r="M44" i="7" s="1"/>
  <c r="H69" i="4"/>
  <c r="G48" i="7"/>
  <c r="M86" i="7"/>
  <c r="M48" i="7" s="1"/>
  <c r="M48" i="8"/>
  <c r="D47" i="8"/>
  <c r="N88" i="7"/>
  <c r="N52" i="7" s="1"/>
  <c r="E52" i="7"/>
  <c r="D82" i="4"/>
  <c r="D82" i="8" s="1"/>
  <c r="B38" i="36"/>
  <c r="N38" i="36"/>
  <c r="M45" i="29"/>
  <c r="G45" i="30"/>
  <c r="M45" i="30" s="1"/>
  <c r="N21" i="36"/>
  <c r="B21" i="36"/>
  <c r="AL829" i="1"/>
  <c r="AL890" i="1" s="1"/>
  <c r="AM888" i="1"/>
  <c r="AA907" i="1"/>
  <c r="AA908" i="1"/>
  <c r="AP56" i="1"/>
  <c r="G71" i="4"/>
  <c r="G50" i="4"/>
  <c r="G47" i="4"/>
  <c r="M49" i="4"/>
  <c r="G48" i="30"/>
  <c r="O52" i="35"/>
  <c r="P52" i="35" s="1"/>
  <c r="P64" i="35"/>
  <c r="O64" i="35" s="1"/>
  <c r="O77" i="35"/>
  <c r="R107" i="35" s="1"/>
  <c r="R85" i="35"/>
  <c r="U85" i="35"/>
  <c r="U101" i="35"/>
  <c r="R68" i="35"/>
  <c r="S80" i="35" s="1"/>
  <c r="U89" i="35"/>
  <c r="V117" i="35"/>
  <c r="V10" i="27"/>
  <c r="E46" i="4"/>
  <c r="E52" i="4" s="1"/>
  <c r="P896" i="25"/>
  <c r="N33" i="8"/>
  <c r="N34" i="8" s="1"/>
  <c r="H83" i="8"/>
  <c r="S64" i="35"/>
  <c r="R64" i="35" s="1"/>
  <c r="P115" i="29"/>
  <c r="P115" i="30" s="1"/>
  <c r="U98" i="35"/>
  <c r="U86" i="35"/>
  <c r="U119" i="35"/>
  <c r="R82" i="35"/>
  <c r="S91" i="35" s="1"/>
  <c r="R52" i="35"/>
  <c r="S52" i="35" s="1"/>
  <c r="U72" i="35"/>
  <c r="U75" i="35"/>
  <c r="O68" i="35"/>
  <c r="P66" i="4"/>
  <c r="P66" i="8" s="1"/>
  <c r="R77" i="35"/>
  <c r="O82" i="35"/>
  <c r="R112" i="35" s="1"/>
  <c r="U78" i="35"/>
  <c r="N41" i="8"/>
  <c r="T892" i="20"/>
  <c r="T2" i="20" s="1"/>
  <c r="H83" i="4"/>
  <c r="Q85" i="4"/>
  <c r="K66" i="4"/>
  <c r="Y896" i="1"/>
  <c r="M14" i="4"/>
  <c r="D28" i="8"/>
  <c r="N41" i="4"/>
  <c r="AP898" i="1"/>
  <c r="N55" i="8"/>
  <c r="N46" i="30"/>
  <c r="H59" i="39"/>
  <c r="H58" i="39" s="1"/>
  <c r="AH829" i="1"/>
  <c r="AH890" i="1" s="1"/>
  <c r="AH13" i="1" s="1"/>
  <c r="H48" i="30"/>
  <c r="Z829" i="1"/>
  <c r="K81" i="8"/>
  <c r="E81" i="8"/>
  <c r="N81" i="8" s="1"/>
  <c r="H81" i="8"/>
  <c r="H73" i="8" s="1"/>
  <c r="AP403" i="1"/>
  <c r="AT403" i="1" s="1"/>
  <c r="G65" i="4"/>
  <c r="AT121" i="1"/>
  <c r="K37" i="30"/>
  <c r="K38" i="30" s="1"/>
  <c r="G37" i="30"/>
  <c r="AT422" i="1"/>
  <c r="AT646" i="1"/>
  <c r="Q108" i="30"/>
  <c r="Q125" i="30"/>
  <c r="D69" i="8"/>
  <c r="M69" i="4"/>
  <c r="M70" i="4"/>
  <c r="K36" i="8"/>
  <c r="N36" i="8" s="1"/>
  <c r="N36" i="4"/>
  <c r="P81" i="8"/>
  <c r="M81" i="8" s="1"/>
  <c r="M81" i="4"/>
  <c r="AS21" i="1"/>
  <c r="AN829" i="1"/>
  <c r="G98" i="30"/>
  <c r="M98" i="29"/>
  <c r="H21" i="30"/>
  <c r="G21" i="30"/>
  <c r="E21" i="30"/>
  <c r="N21" i="30" s="1"/>
  <c r="H49" i="8"/>
  <c r="H50" i="4"/>
  <c r="H47" i="4"/>
  <c r="N49" i="4"/>
  <c r="M61" i="29"/>
  <c r="J61" i="30"/>
  <c r="AA911" i="1"/>
  <c r="G82" i="4" s="1"/>
  <c r="G82" i="8" s="1"/>
  <c r="AP65" i="1"/>
  <c r="AT65" i="1" s="1"/>
  <c r="R71" i="33"/>
  <c r="R2" i="33" s="1"/>
  <c r="AO214" i="1"/>
  <c r="AT214" i="1" s="1"/>
  <c r="AP261" i="1"/>
  <c r="AT261" i="1" s="1"/>
  <c r="H78" i="7"/>
  <c r="G44" i="29"/>
  <c r="AO398" i="1"/>
  <c r="AT398" i="1" s="1"/>
  <c r="AT564" i="1"/>
  <c r="AP620" i="1"/>
  <c r="AT620" i="1" s="1"/>
  <c r="G17" i="29"/>
  <c r="G69" i="29"/>
  <c r="AO563" i="1"/>
  <c r="G108" i="29"/>
  <c r="AO600" i="1"/>
  <c r="W894" i="1"/>
  <c r="W4" i="1" s="1"/>
  <c r="W890" i="1"/>
  <c r="D64" i="8"/>
  <c r="D66" i="8" s="1"/>
  <c r="D66" i="4"/>
  <c r="AP874" i="1"/>
  <c r="AT874" i="1" s="1"/>
  <c r="AS865" i="1"/>
  <c r="AN888" i="1"/>
  <c r="V13" i="26"/>
  <c r="R26" i="36" s="1"/>
  <c r="T829" i="25"/>
  <c r="H47" i="30"/>
  <c r="AT409" i="1"/>
  <c r="AA300" i="31"/>
  <c r="AT440" i="1"/>
  <c r="AT444" i="1"/>
  <c r="G34" i="4"/>
  <c r="M59" i="39"/>
  <c r="M58" i="39" s="1"/>
  <c r="M57" i="39" s="1"/>
  <c r="B29" i="36"/>
  <c r="M61" i="30"/>
  <c r="H23" i="8"/>
  <c r="K22" i="30"/>
  <c r="J72" i="8"/>
  <c r="N85" i="29"/>
  <c r="D21" i="30"/>
  <c r="G33" i="8"/>
  <c r="H37" i="4"/>
  <c r="G11" i="7"/>
  <c r="AO853" i="1"/>
  <c r="AO888" i="1" s="1"/>
  <c r="AG888" i="1"/>
  <c r="AH894" i="1" s="1"/>
  <c r="AH4" i="1" s="1"/>
  <c r="AP826" i="1"/>
  <c r="AT826" i="1" s="1"/>
  <c r="D100" i="29"/>
  <c r="J98" i="29"/>
  <c r="AP802" i="1"/>
  <c r="AT802" i="1" s="1"/>
  <c r="D93" i="29"/>
  <c r="AP674" i="1"/>
  <c r="AT674" i="1" s="1"/>
  <c r="J19" i="29"/>
  <c r="AT629" i="1"/>
  <c r="AP626" i="1"/>
  <c r="AT626" i="1" s="1"/>
  <c r="J25" i="29"/>
  <c r="AT600" i="1"/>
  <c r="AT598" i="1"/>
  <c r="AT808" i="1"/>
  <c r="AT794" i="1"/>
  <c r="AT853" i="1"/>
  <c r="J21" i="30"/>
  <c r="N34" i="4"/>
  <c r="J55" i="30"/>
  <c r="J58" i="29"/>
  <c r="H61" i="4"/>
  <c r="J10" i="4"/>
  <c r="AO820" i="1"/>
  <c r="AT820" i="1" s="1"/>
  <c r="D97" i="29"/>
  <c r="AP693" i="1"/>
  <c r="AT693" i="1" s="1"/>
  <c r="J83" i="29"/>
  <c r="J60" i="29"/>
  <c r="J50" i="29"/>
  <c r="D50" i="29"/>
  <c r="AO471" i="1"/>
  <c r="AT471" i="1" s="1"/>
  <c r="D56" i="29"/>
  <c r="AP451" i="1"/>
  <c r="AT451" i="1" s="1"/>
  <c r="J49" i="29"/>
  <c r="J48" i="29"/>
  <c r="D48" i="29"/>
  <c r="AP382" i="1"/>
  <c r="AT382" i="1" s="1"/>
  <c r="K76" i="7"/>
  <c r="N76" i="7" s="1"/>
  <c r="N11" i="7" s="1"/>
  <c r="T829" i="26"/>
  <c r="M47" i="30"/>
  <c r="N80" i="8"/>
  <c r="AT389" i="1"/>
  <c r="AT470" i="1"/>
  <c r="AT613" i="1"/>
  <c r="AT631" i="1"/>
  <c r="AT618" i="1"/>
  <c r="AT645" i="1"/>
  <c r="AT460" i="1"/>
  <c r="AT851" i="1"/>
  <c r="AT733" i="1"/>
  <c r="N20" i="30"/>
  <c r="O2" i="33"/>
  <c r="N34" i="36"/>
  <c r="N24" i="4"/>
  <c r="M55" i="4"/>
  <c r="M56" i="4" s="1"/>
  <c r="J55" i="8"/>
  <c r="O13" i="27"/>
  <c r="R38" i="36" s="1"/>
  <c r="P896" i="27"/>
  <c r="T888" i="1"/>
  <c r="T894" i="1" s="1"/>
  <c r="T4" i="1" s="1"/>
  <c r="D89" i="29"/>
  <c r="AP726" i="1"/>
  <c r="AT726" i="1" s="1"/>
  <c r="D34" i="29"/>
  <c r="AP567" i="1"/>
  <c r="AT567" i="1" s="1"/>
  <c r="D75" i="29"/>
  <c r="J69" i="29"/>
  <c r="J69" i="30" s="1"/>
  <c r="AP532" i="1"/>
  <c r="AT532" i="1" s="1"/>
  <c r="D69" i="29"/>
  <c r="AO526" i="1"/>
  <c r="AT526" i="1" s="1"/>
  <c r="D68" i="29"/>
  <c r="AS562" i="1"/>
  <c r="AS224" i="1"/>
  <c r="AS864" i="1"/>
  <c r="AS888" i="1" s="1"/>
  <c r="J92" i="29"/>
  <c r="H40" i="4"/>
  <c r="AS458" i="1"/>
  <c r="G80" i="8"/>
  <c r="M80" i="8" s="1"/>
  <c r="AS470" i="1"/>
  <c r="AS736" i="1"/>
  <c r="AS693" i="1"/>
  <c r="AP823" i="1"/>
  <c r="AO817" i="1"/>
  <c r="AT817" i="1" s="1"/>
  <c r="AO800" i="1"/>
  <c r="AT800" i="1" s="1"/>
  <c r="AO794" i="1"/>
  <c r="AO722" i="1"/>
  <c r="AT722" i="1" s="1"/>
  <c r="AO647" i="1"/>
  <c r="AT647" i="1" s="1"/>
  <c r="D13" i="29"/>
  <c r="AP563" i="1"/>
  <c r="AS375" i="1"/>
  <c r="AS572" i="1"/>
  <c r="N19" i="30"/>
  <c r="G43" i="29"/>
  <c r="G24" i="29"/>
  <c r="AS728" i="1"/>
  <c r="AS513" i="1"/>
  <c r="AL908" i="1"/>
  <c r="AO819" i="1"/>
  <c r="AT819" i="1" s="1"/>
  <c r="J37" i="29"/>
  <c r="AO738" i="1"/>
  <c r="AT738" i="1" s="1"/>
  <c r="AP629" i="1"/>
  <c r="J18" i="29"/>
  <c r="J18" i="30" s="1"/>
  <c r="J68" i="29"/>
  <c r="AO483" i="1"/>
  <c r="AT483" i="1" s="1"/>
  <c r="AT401" i="1"/>
  <c r="AO215" i="1"/>
  <c r="AT215" i="1" s="1"/>
  <c r="AO679" i="1"/>
  <c r="AT679" i="1" s="1"/>
  <c r="AO439" i="1"/>
  <c r="AT439" i="1" s="1"/>
  <c r="K66" i="7"/>
  <c r="K67" i="7" s="1"/>
  <c r="AT205" i="1"/>
  <c r="G32" i="7"/>
  <c r="AO293" i="1"/>
  <c r="AT293" i="1" s="1"/>
  <c r="AA247" i="31"/>
  <c r="AA357" i="31"/>
  <c r="AO779" i="1"/>
  <c r="AT779" i="1" s="1"/>
  <c r="AP764" i="1"/>
  <c r="AT764" i="1" s="1"/>
  <c r="AP530" i="1"/>
  <c r="AT530" i="1" s="1"/>
  <c r="AO527" i="1"/>
  <c r="AP514" i="1"/>
  <c r="AT514" i="1" s="1"/>
  <c r="AP511" i="1"/>
  <c r="AT511" i="1" s="1"/>
  <c r="AP508" i="1"/>
  <c r="AT508" i="1" s="1"/>
  <c r="AO504" i="1"/>
  <c r="AT504" i="1" s="1"/>
  <c r="AO501" i="1"/>
  <c r="AT501" i="1" s="1"/>
  <c r="AP492" i="1"/>
  <c r="AT492" i="1" s="1"/>
  <c r="AO488" i="1"/>
  <c r="AT488" i="1" s="1"/>
  <c r="AO469" i="1"/>
  <c r="AT469" i="1" s="1"/>
  <c r="AP466" i="1"/>
  <c r="AT466" i="1" s="1"/>
  <c r="AP463" i="1"/>
  <c r="AT463" i="1" s="1"/>
  <c r="AP460" i="1"/>
  <c r="AO459" i="1"/>
  <c r="AT459" i="1" s="1"/>
  <c r="AO453" i="1"/>
  <c r="AT453" i="1" s="1"/>
  <c r="AP431" i="1"/>
  <c r="AT431" i="1" s="1"/>
  <c r="AP428" i="1"/>
  <c r="AT428" i="1" s="1"/>
  <c r="AO427" i="1"/>
  <c r="AT427" i="1" s="1"/>
  <c r="AO421" i="1"/>
  <c r="AT421" i="1" s="1"/>
  <c r="AP418" i="1"/>
  <c r="AT418" i="1" s="1"/>
  <c r="AO410" i="1"/>
  <c r="AT410" i="1" s="1"/>
  <c r="AP390" i="1"/>
  <c r="AT390" i="1" s="1"/>
  <c r="AO329" i="1"/>
  <c r="AT329" i="1" s="1"/>
  <c r="AO281" i="1"/>
  <c r="AT281" i="1" s="1"/>
  <c r="AP279" i="1"/>
  <c r="AT279" i="1" s="1"/>
  <c r="AO277" i="1"/>
  <c r="AT277" i="1" s="1"/>
  <c r="AO275" i="1"/>
  <c r="AT275" i="1" s="1"/>
  <c r="AO216" i="1"/>
  <c r="AT216" i="1" s="1"/>
  <c r="AP177" i="1"/>
  <c r="AP143" i="1"/>
  <c r="AT143" i="1" s="1"/>
  <c r="AP67" i="1"/>
  <c r="AT67" i="1" s="1"/>
  <c r="AA383" i="31"/>
  <c r="AS132" i="1"/>
  <c r="J84" i="29"/>
  <c r="AX405" i="1"/>
  <c r="AX13" i="1" s="1"/>
  <c r="AP569" i="1"/>
  <c r="AT569" i="1" s="1"/>
  <c r="AA348" i="31"/>
  <c r="AA406" i="31"/>
  <c r="AA429" i="31"/>
  <c r="AS366" i="1"/>
  <c r="AP525" i="1"/>
  <c r="AT525" i="1" s="1"/>
  <c r="AP502" i="1"/>
  <c r="AT502" i="1" s="1"/>
  <c r="AO278" i="1"/>
  <c r="AT278" i="1" s="1"/>
  <c r="AO276" i="1"/>
  <c r="AT276" i="1" s="1"/>
  <c r="AO272" i="1"/>
  <c r="AT272" i="1" s="1"/>
  <c r="AO212" i="1"/>
  <c r="AT212" i="1" s="1"/>
  <c r="AP203" i="1"/>
  <c r="AT203" i="1" s="1"/>
  <c r="AP202" i="1"/>
  <c r="AT202" i="1" s="1"/>
  <c r="AP572" i="1"/>
  <c r="AT572" i="1" s="1"/>
  <c r="N88" i="30"/>
  <c r="N90" i="30" s="1"/>
  <c r="N98" i="30"/>
  <c r="K57" i="30"/>
  <c r="K58" i="30" s="1"/>
  <c r="AP17" i="1"/>
  <c r="AT17" i="1" s="1"/>
  <c r="AP24" i="1"/>
  <c r="AT24" i="1" s="1"/>
  <c r="AO25" i="1"/>
  <c r="AT25" i="1" s="1"/>
  <c r="AO289" i="1"/>
  <c r="AT289" i="1" s="1"/>
  <c r="N32" i="30"/>
  <c r="E57" i="30"/>
  <c r="E16" i="30"/>
  <c r="N69" i="30"/>
  <c r="N70" i="30" s="1"/>
  <c r="H18" i="30"/>
  <c r="N18" i="30" s="1"/>
  <c r="AS356" i="1"/>
  <c r="H97" i="8"/>
  <c r="H116" i="30"/>
  <c r="Q74" i="8"/>
  <c r="AS39" i="1"/>
  <c r="AS48" i="1"/>
  <c r="AS44" i="1"/>
  <c r="AR834" i="1"/>
  <c r="AR840" i="1"/>
  <c r="AS28" i="1"/>
  <c r="AS46" i="1"/>
  <c r="AS47" i="1"/>
  <c r="AS43" i="1"/>
  <c r="AS30" i="1"/>
  <c r="AS50" i="1"/>
  <c r="AS52" i="1"/>
  <c r="S94" i="35"/>
  <c r="S92" i="35"/>
  <c r="S93" i="35"/>
  <c r="G76" i="8"/>
  <c r="S82" i="35"/>
  <c r="S81" i="35"/>
  <c r="P64" i="4"/>
  <c r="S83" i="35"/>
  <c r="P45" i="4"/>
  <c r="P82" i="4"/>
  <c r="P65" i="4"/>
  <c r="P40" i="4"/>
  <c r="P78" i="4"/>
  <c r="E57" i="39"/>
  <c r="H57" i="39"/>
  <c r="G58" i="39"/>
  <c r="G61" i="39"/>
  <c r="T13" i="20"/>
  <c r="T896" i="20"/>
  <c r="V10" i="26"/>
  <c r="V12" i="26"/>
  <c r="H13" i="26"/>
  <c r="T892" i="25"/>
  <c r="T2" i="25" s="1"/>
  <c r="T890" i="25"/>
  <c r="G77" i="4"/>
  <c r="G83" i="4" s="1"/>
  <c r="E46" i="8"/>
  <c r="E52" i="8" s="1"/>
  <c r="E54" i="8" s="1"/>
  <c r="M63" i="8"/>
  <c r="G12" i="4"/>
  <c r="G22" i="8"/>
  <c r="M22" i="4"/>
  <c r="G59" i="39"/>
  <c r="U82" i="35"/>
  <c r="U107" i="35"/>
  <c r="U105" i="35"/>
  <c r="P67" i="35"/>
  <c r="O67" i="35" s="1"/>
  <c r="P30" i="29"/>
  <c r="U113" i="35"/>
  <c r="V121" i="35" s="1"/>
  <c r="U77" i="35"/>
  <c r="P114" i="29"/>
  <c r="P114" i="30" s="1"/>
  <c r="U68" i="35"/>
  <c r="V80" i="35" s="1"/>
  <c r="U88" i="35"/>
  <c r="O88" i="35"/>
  <c r="U104" i="35"/>
  <c r="V110" i="35" s="1"/>
  <c r="AL13" i="1"/>
  <c r="T890" i="26"/>
  <c r="T892" i="26"/>
  <c r="T2" i="26" s="1"/>
  <c r="E83" i="4"/>
  <c r="E73" i="4"/>
  <c r="E54" i="4"/>
  <c r="V10" i="20"/>
  <c r="H13" i="20"/>
  <c r="V12" i="20"/>
  <c r="G95" i="30"/>
  <c r="J39" i="4"/>
  <c r="H102" i="30"/>
  <c r="AT50" i="1"/>
  <c r="AP911" i="1"/>
  <c r="AP101" i="1"/>
  <c r="AT458" i="1"/>
  <c r="AT610" i="1"/>
  <c r="AT682" i="1"/>
  <c r="J46" i="4"/>
  <c r="AT397" i="1"/>
  <c r="AT691" i="1"/>
  <c r="M69" i="8"/>
  <c r="K38" i="8"/>
  <c r="K35" i="8"/>
  <c r="M49" i="8"/>
  <c r="A3" i="31"/>
  <c r="A3" i="33"/>
  <c r="A3" i="27"/>
  <c r="M16" i="30"/>
  <c r="M106" i="30"/>
  <c r="M65" i="30"/>
  <c r="M66" i="30" s="1"/>
  <c r="B2" i="36"/>
  <c r="A3" i="20"/>
  <c r="Q45" i="30"/>
  <c r="Q69" i="30" s="1"/>
  <c r="AT602" i="1"/>
  <c r="A3" i="26"/>
  <c r="AT683" i="1"/>
  <c r="AT551" i="1"/>
  <c r="AT856" i="1"/>
  <c r="AT527" i="1"/>
  <c r="N14" i="30"/>
  <c r="N34" i="30"/>
  <c r="M92" i="4"/>
  <c r="AS75" i="1"/>
  <c r="N46" i="29"/>
  <c r="M97" i="8"/>
  <c r="M116" i="30"/>
  <c r="M116" i="29"/>
  <c r="N61" i="29"/>
  <c r="N62" i="29" s="1"/>
  <c r="AR408" i="1"/>
  <c r="AR829" i="1" s="1"/>
  <c r="AR860" i="1"/>
  <c r="AR888" i="1" s="1"/>
  <c r="AS36" i="1"/>
  <c r="AS49" i="1"/>
  <c r="AS51" i="1"/>
  <c r="AX12" i="1" l="1"/>
  <c r="AX10" i="1"/>
  <c r="R29" i="36"/>
  <c r="E58" i="30"/>
  <c r="N57" i="30"/>
  <c r="N58" i="30" s="1"/>
  <c r="J68" i="30"/>
  <c r="J70" i="30" s="1"/>
  <c r="J70" i="29"/>
  <c r="J37" i="30"/>
  <c r="M37" i="29"/>
  <c r="D34" i="30"/>
  <c r="M34" i="29"/>
  <c r="D38" i="29"/>
  <c r="Q48" i="8"/>
  <c r="Q48" i="4"/>
  <c r="M97" i="29"/>
  <c r="D102" i="29"/>
  <c r="D97" i="30"/>
  <c r="D93" i="30"/>
  <c r="D95" i="29"/>
  <c r="M93" i="29"/>
  <c r="H37" i="8"/>
  <c r="H38" i="4"/>
  <c r="N37" i="4"/>
  <c r="N38" i="4" s="1"/>
  <c r="H35" i="4"/>
  <c r="M21" i="30"/>
  <c r="G17" i="30"/>
  <c r="G22" i="30" s="1"/>
  <c r="G22" i="29"/>
  <c r="G44" i="30"/>
  <c r="M44" i="30" s="1"/>
  <c r="M44" i="29"/>
  <c r="P48" i="4"/>
  <c r="P48" i="8"/>
  <c r="H47" i="8"/>
  <c r="H50" i="8"/>
  <c r="N49" i="8"/>
  <c r="G38" i="30"/>
  <c r="M37" i="30"/>
  <c r="G65" i="8"/>
  <c r="G66" i="8" s="1"/>
  <c r="G66" i="4"/>
  <c r="K62" i="4"/>
  <c r="M47" i="4"/>
  <c r="M50" i="4"/>
  <c r="AP907" i="1"/>
  <c r="AP908" i="1"/>
  <c r="AT56" i="1"/>
  <c r="AN894" i="1"/>
  <c r="AN4" i="1" s="1"/>
  <c r="M17" i="29"/>
  <c r="D17" i="30"/>
  <c r="M17" i="30" s="1"/>
  <c r="E102" i="30"/>
  <c r="N101" i="30"/>
  <c r="N102" i="30" s="1"/>
  <c r="M26" i="8"/>
  <c r="M23" i="8"/>
  <c r="AA892" i="1"/>
  <c r="AA2" i="1" s="1"/>
  <c r="AA914" i="1"/>
  <c r="AA915" i="1" s="1"/>
  <c r="AA890" i="1"/>
  <c r="AA13" i="1" s="1"/>
  <c r="R23" i="36"/>
  <c r="AW13" i="1"/>
  <c r="G37" i="8"/>
  <c r="M13" i="4"/>
  <c r="M20" i="4" s="1"/>
  <c r="G13" i="8"/>
  <c r="K74" i="8"/>
  <c r="K83" i="4"/>
  <c r="K73" i="4"/>
  <c r="E72" i="4"/>
  <c r="E68" i="4"/>
  <c r="N71" i="4"/>
  <c r="E71" i="8"/>
  <c r="J14" i="30"/>
  <c r="J22" i="29"/>
  <c r="AG890" i="1"/>
  <c r="M18" i="30"/>
  <c r="N16" i="30"/>
  <c r="E22" i="30"/>
  <c r="E40" i="30" s="1"/>
  <c r="AR890" i="1"/>
  <c r="AR13" i="1" s="1"/>
  <c r="AR10" i="1" s="1"/>
  <c r="J84" i="30"/>
  <c r="M84" i="30" s="1"/>
  <c r="M84" i="29"/>
  <c r="G24" i="30"/>
  <c r="G27" i="30" s="1"/>
  <c r="G27" i="29"/>
  <c r="J92" i="30"/>
  <c r="J95" i="29"/>
  <c r="M92" i="29"/>
  <c r="D68" i="30"/>
  <c r="M68" i="29"/>
  <c r="D70" i="29"/>
  <c r="N26" i="4"/>
  <c r="N28" i="4" s="1"/>
  <c r="N23" i="4"/>
  <c r="D53" i="29"/>
  <c r="D48" i="30"/>
  <c r="D56" i="30"/>
  <c r="M56" i="29"/>
  <c r="M58" i="29" s="1"/>
  <c r="D58" i="29"/>
  <c r="J60" i="30"/>
  <c r="M60" i="30" s="1"/>
  <c r="M62" i="30" s="1"/>
  <c r="J62" i="29"/>
  <c r="M60" i="29"/>
  <c r="M62" i="29" s="1"/>
  <c r="J58" i="30"/>
  <c r="M55" i="30"/>
  <c r="H22" i="30"/>
  <c r="H40" i="30" s="1"/>
  <c r="N47" i="30"/>
  <c r="W13" i="1"/>
  <c r="R33" i="36" s="1"/>
  <c r="M2" i="4" s="1"/>
  <c r="W896" i="1"/>
  <c r="M108" i="29"/>
  <c r="G108" i="30"/>
  <c r="G109" i="30" s="1"/>
  <c r="G109" i="29"/>
  <c r="G111" i="29" s="1"/>
  <c r="G43" i="4"/>
  <c r="G43" i="8" s="1"/>
  <c r="H15" i="7"/>
  <c r="G41" i="4"/>
  <c r="G41" i="8" s="1"/>
  <c r="G45" i="4"/>
  <c r="G45" i="8" s="1"/>
  <c r="G40" i="4"/>
  <c r="G42" i="4"/>
  <c r="G42" i="8" s="1"/>
  <c r="N47" i="4"/>
  <c r="N50" i="4"/>
  <c r="G102" i="30"/>
  <c r="K40" i="30"/>
  <c r="Z890" i="1"/>
  <c r="Z914" i="1"/>
  <c r="Z915" i="1" s="1"/>
  <c r="H72" i="4"/>
  <c r="H89" i="4" s="1"/>
  <c r="H91" i="4" s="1"/>
  <c r="H68" i="4"/>
  <c r="N69" i="4"/>
  <c r="H69" i="8"/>
  <c r="X470" i="31"/>
  <c r="X2" i="31"/>
  <c r="AK890" i="1"/>
  <c r="AL892" i="1"/>
  <c r="AL2" i="1" s="1"/>
  <c r="D35" i="30"/>
  <c r="M35" i="29"/>
  <c r="T892" i="1"/>
  <c r="T2" i="1" s="1"/>
  <c r="S890" i="1"/>
  <c r="N78" i="7"/>
  <c r="N15" i="7" s="1"/>
  <c r="E15" i="7"/>
  <c r="D41" i="4"/>
  <c r="D40" i="4"/>
  <c r="D43" i="4"/>
  <c r="D45" i="4"/>
  <c r="D45" i="8" s="1"/>
  <c r="D42" i="4"/>
  <c r="J65" i="8"/>
  <c r="J66" i="8" s="1"/>
  <c r="J66" i="4"/>
  <c r="M24" i="29"/>
  <c r="D99" i="30"/>
  <c r="M99" i="30" s="1"/>
  <c r="M99" i="29"/>
  <c r="O4" i="31"/>
  <c r="O466" i="31"/>
  <c r="G111" i="30"/>
  <c r="AO829" i="1"/>
  <c r="N22" i="30"/>
  <c r="E89" i="4"/>
  <c r="E91" i="4" s="1"/>
  <c r="M28" i="4"/>
  <c r="AT177" i="1"/>
  <c r="O17" i="36"/>
  <c r="K90" i="7"/>
  <c r="K69" i="7"/>
  <c r="G43" i="30"/>
  <c r="M43" i="29"/>
  <c r="G53" i="29"/>
  <c r="D75" i="30"/>
  <c r="M75" i="30" s="1"/>
  <c r="M75" i="29"/>
  <c r="D89" i="30"/>
  <c r="M89" i="29"/>
  <c r="M90" i="29" s="1"/>
  <c r="D90" i="29"/>
  <c r="J104" i="8"/>
  <c r="L59" i="39" s="1"/>
  <c r="L58" i="39" s="1"/>
  <c r="M55" i="8"/>
  <c r="M56" i="8" s="1"/>
  <c r="J101" i="8"/>
  <c r="J56" i="8"/>
  <c r="N66" i="7"/>
  <c r="N67" i="7" s="1"/>
  <c r="N69" i="7" s="1"/>
  <c r="J53" i="29"/>
  <c r="J77" i="29" s="1"/>
  <c r="J48" i="30"/>
  <c r="J83" i="30"/>
  <c r="J85" i="29"/>
  <c r="M83" i="29"/>
  <c r="M85" i="29" s="1"/>
  <c r="K10" i="4"/>
  <c r="J61" i="4"/>
  <c r="J19" i="30"/>
  <c r="M19" i="30" s="1"/>
  <c r="M19" i="29"/>
  <c r="J98" i="30"/>
  <c r="J102" i="30" s="1"/>
  <c r="J102" i="29"/>
  <c r="M33" i="8"/>
  <c r="G30" i="8"/>
  <c r="G34" i="8"/>
  <c r="AT563" i="1"/>
  <c r="AN890" i="1"/>
  <c r="AN13" i="1" s="1"/>
  <c r="N104" i="8"/>
  <c r="Q59" i="39" s="1"/>
  <c r="Q58" i="39" s="1"/>
  <c r="Q57" i="39" s="1"/>
  <c r="N101" i="8"/>
  <c r="N56" i="8"/>
  <c r="R98" i="35"/>
  <c r="S110" i="35" s="1"/>
  <c r="P80" i="35"/>
  <c r="N37" i="30"/>
  <c r="N38" i="30" s="1"/>
  <c r="K72" i="4"/>
  <c r="K89" i="4" s="1"/>
  <c r="K91" i="4" s="1"/>
  <c r="K68" i="4"/>
  <c r="K71" i="8"/>
  <c r="N30" i="8"/>
  <c r="AN892" i="1"/>
  <c r="AN2" i="1" s="1"/>
  <c r="AM890" i="1"/>
  <c r="G36" i="8"/>
  <c r="G38" i="4"/>
  <c r="G35" i="4"/>
  <c r="K40" i="8"/>
  <c r="K46" i="4"/>
  <c r="K52" i="4" s="1"/>
  <c r="K54" i="4" s="1"/>
  <c r="K39" i="4"/>
  <c r="AT589" i="1"/>
  <c r="J105" i="30"/>
  <c r="J109" i="29"/>
  <c r="AT606" i="1"/>
  <c r="AT823" i="1"/>
  <c r="D104" i="4"/>
  <c r="M104" i="4" s="1"/>
  <c r="D92" i="8"/>
  <c r="D101" i="4"/>
  <c r="E93" i="4"/>
  <c r="U4" i="31"/>
  <c r="U466" i="31"/>
  <c r="D22" i="29"/>
  <c r="D40" i="29" s="1"/>
  <c r="D13" i="30"/>
  <c r="M13" i="29"/>
  <c r="H46" i="4"/>
  <c r="H39" i="4"/>
  <c r="H40" i="8"/>
  <c r="D69" i="30"/>
  <c r="M69" i="29"/>
  <c r="J37" i="4"/>
  <c r="J37" i="8" s="1"/>
  <c r="J36" i="4"/>
  <c r="K11" i="7"/>
  <c r="J49" i="30"/>
  <c r="M49" i="29"/>
  <c r="M50" i="29"/>
  <c r="J25" i="30"/>
  <c r="J27" i="29"/>
  <c r="M25" i="29"/>
  <c r="D100" i="30"/>
  <c r="M100" i="30" s="1"/>
  <c r="M100" i="29"/>
  <c r="AA462" i="31"/>
  <c r="G70" i="29"/>
  <c r="G69" i="30"/>
  <c r="G70" i="30" s="1"/>
  <c r="J62" i="30"/>
  <c r="N35" i="4"/>
  <c r="G71" i="8"/>
  <c r="G72" i="4"/>
  <c r="G89" i="4" s="1"/>
  <c r="G91" i="4" s="1"/>
  <c r="G68" i="4"/>
  <c r="AH892" i="1"/>
  <c r="AH2" i="1" s="1"/>
  <c r="K108" i="30"/>
  <c r="K109" i="30" s="1"/>
  <c r="K111" i="30" s="1"/>
  <c r="H108" i="30"/>
  <c r="H109" i="30" s="1"/>
  <c r="H111" i="30" s="1"/>
  <c r="E108" i="30"/>
  <c r="D108" i="30"/>
  <c r="J108" i="30"/>
  <c r="H13" i="25"/>
  <c r="V10" i="25"/>
  <c r="R25" i="36"/>
  <c r="V12" i="25"/>
  <c r="J35" i="30"/>
  <c r="J38" i="30" s="1"/>
  <c r="J38" i="29"/>
  <c r="E49" i="30"/>
  <c r="G49" i="30"/>
  <c r="B50" i="30"/>
  <c r="K49" i="30"/>
  <c r="H49" i="30"/>
  <c r="D49" i="30"/>
  <c r="M49" i="30" s="1"/>
  <c r="K42" i="8"/>
  <c r="N42" i="8" s="1"/>
  <c r="N42" i="4"/>
  <c r="E48" i="7"/>
  <c r="D74" i="4"/>
  <c r="D71" i="4"/>
  <c r="N86" i="7"/>
  <c r="N48" i="7" s="1"/>
  <c r="N74" i="4"/>
  <c r="E74" i="8"/>
  <c r="D105" i="30"/>
  <c r="M105" i="30" s="1"/>
  <c r="D109" i="29"/>
  <c r="M105" i="29"/>
  <c r="M109" i="29" s="1"/>
  <c r="T890" i="1"/>
  <c r="T13" i="1" s="1"/>
  <c r="D14" i="30"/>
  <c r="M14" i="30" s="1"/>
  <c r="M14" i="29"/>
  <c r="D27" i="30"/>
  <c r="M24" i="30"/>
  <c r="AT836" i="1"/>
  <c r="AT888" i="1" s="1"/>
  <c r="AP888" i="1"/>
  <c r="AP894" i="1" s="1"/>
  <c r="AP4" i="1" s="1"/>
  <c r="M18" i="29"/>
  <c r="R466" i="31"/>
  <c r="R4" i="31"/>
  <c r="AS829" i="1"/>
  <c r="AS890" i="1" s="1"/>
  <c r="AS13" i="1" s="1"/>
  <c r="AS10" i="1" s="1"/>
  <c r="AT101" i="1"/>
  <c r="AP829" i="1"/>
  <c r="AP890" i="1" s="1"/>
  <c r="AP13" i="1" s="1"/>
  <c r="M12" i="4"/>
  <c r="P91" i="35"/>
  <c r="R118" i="35"/>
  <c r="S121" i="35" s="1"/>
  <c r="S113" i="35" s="1"/>
  <c r="T13" i="25"/>
  <c r="T896" i="25"/>
  <c r="P40" i="8"/>
  <c r="P46" i="4"/>
  <c r="M40" i="4"/>
  <c r="G73" i="4"/>
  <c r="M93" i="4"/>
  <c r="M101" i="4"/>
  <c r="M50" i="8"/>
  <c r="M47" i="8"/>
  <c r="V122" i="35"/>
  <c r="V124" i="35"/>
  <c r="V123" i="35"/>
  <c r="M65" i="4"/>
  <c r="P65" i="8"/>
  <c r="M65" i="8" s="1"/>
  <c r="M66" i="8" s="1"/>
  <c r="P64" i="8"/>
  <c r="M64" i="8" s="1"/>
  <c r="M64" i="4"/>
  <c r="M66" i="4" s="1"/>
  <c r="S111" i="35"/>
  <c r="S112" i="35"/>
  <c r="AO890" i="1"/>
  <c r="AT829" i="1"/>
  <c r="P31" i="29"/>
  <c r="P30" i="30"/>
  <c r="P31" i="30" s="1"/>
  <c r="V91" i="35"/>
  <c r="P74" i="29" s="1"/>
  <c r="M22" i="8"/>
  <c r="G12" i="8"/>
  <c r="P82" i="8"/>
  <c r="E100" i="4"/>
  <c r="E103" i="4"/>
  <c r="T896" i="26"/>
  <c r="T13" i="26"/>
  <c r="Q48" i="29"/>
  <c r="V111" i="35"/>
  <c r="Q29" i="29"/>
  <c r="Q74" i="29"/>
  <c r="V113" i="35"/>
  <c r="V112" i="35"/>
  <c r="G77" i="8"/>
  <c r="M78" i="4"/>
  <c r="P78" i="8"/>
  <c r="P83" i="4"/>
  <c r="P45" i="8"/>
  <c r="M45" i="8" s="1"/>
  <c r="M45" i="4"/>
  <c r="E109" i="30" l="1"/>
  <c r="N108" i="30"/>
  <c r="N109" i="30" s="1"/>
  <c r="N111" i="30" s="1"/>
  <c r="J36" i="8"/>
  <c r="M36" i="8" s="1"/>
  <c r="J38" i="4"/>
  <c r="J52" i="4" s="1"/>
  <c r="J54" i="4" s="1"/>
  <c r="J35" i="4"/>
  <c r="H39" i="8"/>
  <c r="H46" i="8"/>
  <c r="M13" i="30"/>
  <c r="M22" i="30" s="1"/>
  <c r="D22" i="30"/>
  <c r="K39" i="8"/>
  <c r="K46" i="8"/>
  <c r="K52" i="8" s="1"/>
  <c r="K54" i="8" s="1"/>
  <c r="G35" i="8"/>
  <c r="G38" i="8"/>
  <c r="K61" i="4"/>
  <c r="M10" i="4"/>
  <c r="G77" i="29"/>
  <c r="K57" i="7"/>
  <c r="J75" i="4"/>
  <c r="N90" i="7"/>
  <c r="N57" i="7" s="1"/>
  <c r="J76" i="4"/>
  <c r="J77" i="4"/>
  <c r="J82" i="4"/>
  <c r="D42" i="8"/>
  <c r="M42" i="8" s="1"/>
  <c r="M42" i="4"/>
  <c r="M41" i="4"/>
  <c r="M39" i="4" s="1"/>
  <c r="D41" i="8"/>
  <c r="M41" i="8" s="1"/>
  <c r="AK13" i="1"/>
  <c r="AL896" i="1"/>
  <c r="N69" i="8"/>
  <c r="H68" i="8"/>
  <c r="H72" i="8"/>
  <c r="H89" i="8" s="1"/>
  <c r="H91" i="8" s="1"/>
  <c r="M98" i="30"/>
  <c r="G40" i="8"/>
  <c r="G39" i="8" s="1"/>
  <c r="G39" i="4"/>
  <c r="G46" i="4"/>
  <c r="G52" i="4" s="1"/>
  <c r="G54" i="4" s="1"/>
  <c r="M56" i="30"/>
  <c r="D58" i="30"/>
  <c r="J40" i="29"/>
  <c r="K83" i="8"/>
  <c r="K73" i="8"/>
  <c r="M37" i="8"/>
  <c r="G40" i="29"/>
  <c r="G113" i="29" s="1"/>
  <c r="M102" i="29"/>
  <c r="D72" i="4"/>
  <c r="D89" i="4" s="1"/>
  <c r="D91" i="4" s="1"/>
  <c r="D71" i="8"/>
  <c r="M71" i="4"/>
  <c r="D68" i="4"/>
  <c r="H50" i="30"/>
  <c r="N50" i="30" s="1"/>
  <c r="E50" i="30"/>
  <c r="B51" i="30"/>
  <c r="K50" i="30"/>
  <c r="G50" i="30"/>
  <c r="M36" i="4"/>
  <c r="AM13" i="1"/>
  <c r="AN896" i="1"/>
  <c r="K72" i="8"/>
  <c r="K68" i="8"/>
  <c r="M22" i="29"/>
  <c r="J113" i="29"/>
  <c r="M89" i="30"/>
  <c r="M90" i="30" s="1"/>
  <c r="D90" i="30"/>
  <c r="N17" i="36"/>
  <c r="B17" i="36"/>
  <c r="M27" i="29"/>
  <c r="N68" i="4"/>
  <c r="N72" i="4"/>
  <c r="Z13" i="1"/>
  <c r="AA896" i="1"/>
  <c r="M2" i="29"/>
  <c r="M2" i="8"/>
  <c r="M2" i="30"/>
  <c r="M58" i="30"/>
  <c r="J111" i="29"/>
  <c r="J22" i="30"/>
  <c r="J40" i="30" s="1"/>
  <c r="M13" i="8"/>
  <c r="M20" i="8" s="1"/>
  <c r="G20" i="8"/>
  <c r="G28" i="8" s="1"/>
  <c r="AV8" i="1"/>
  <c r="AW10" i="1"/>
  <c r="H13" i="1"/>
  <c r="AW12" i="1"/>
  <c r="R22" i="36"/>
  <c r="N47" i="8"/>
  <c r="N50" i="8"/>
  <c r="G40" i="30"/>
  <c r="H52" i="4"/>
  <c r="H54" i="4" s="1"/>
  <c r="D95" i="30"/>
  <c r="M93" i="30"/>
  <c r="M95" i="30" s="1"/>
  <c r="J50" i="30"/>
  <c r="M38" i="29"/>
  <c r="P48" i="29"/>
  <c r="P53" i="29" s="1"/>
  <c r="AT890" i="1"/>
  <c r="AT13" i="1" s="1"/>
  <c r="AT10" i="1" s="1"/>
  <c r="N74" i="8"/>
  <c r="E83" i="8"/>
  <c r="E89" i="8" s="1"/>
  <c r="E91" i="8" s="1"/>
  <c r="E73" i="8"/>
  <c r="D74" i="8"/>
  <c r="D83" i="4"/>
  <c r="M74" i="4"/>
  <c r="D73" i="4"/>
  <c r="J109" i="30"/>
  <c r="G72" i="8"/>
  <c r="G68" i="8"/>
  <c r="M25" i="30"/>
  <c r="M27" i="30" s="1"/>
  <c r="J27" i="30"/>
  <c r="M34" i="8"/>
  <c r="M30" i="8"/>
  <c r="L57" i="39"/>
  <c r="K61" i="39"/>
  <c r="K58" i="39"/>
  <c r="K59" i="39"/>
  <c r="M43" i="30"/>
  <c r="D43" i="8"/>
  <c r="M43" i="8" s="1"/>
  <c r="M43" i="4"/>
  <c r="M35" i="30"/>
  <c r="M38" i="30" s="1"/>
  <c r="D77" i="29"/>
  <c r="M70" i="29"/>
  <c r="J95" i="30"/>
  <c r="J111" i="30" s="1"/>
  <c r="M92" i="30"/>
  <c r="N71" i="8"/>
  <c r="E68" i="8"/>
  <c r="E72" i="8"/>
  <c r="R24" i="36"/>
  <c r="E111" i="30"/>
  <c r="N37" i="8"/>
  <c r="H38" i="8"/>
  <c r="H35" i="8"/>
  <c r="D102" i="30"/>
  <c r="D111" i="30" s="1"/>
  <c r="M97" i="30"/>
  <c r="M102" i="30" s="1"/>
  <c r="M34" i="30"/>
  <c r="D38" i="30"/>
  <c r="AP892" i="1"/>
  <c r="AP2" i="1" s="1"/>
  <c r="N49" i="30"/>
  <c r="D109" i="30"/>
  <c r="M108" i="30"/>
  <c r="M109" i="30" s="1"/>
  <c r="D50" i="30"/>
  <c r="M69" i="30"/>
  <c r="D101" i="8"/>
  <c r="M92" i="8"/>
  <c r="E93" i="8"/>
  <c r="D104" i="8"/>
  <c r="D59" i="39" s="1"/>
  <c r="D58" i="39" s="1"/>
  <c r="K103" i="4"/>
  <c r="K100" i="4"/>
  <c r="J85" i="30"/>
  <c r="M83" i="30"/>
  <c r="M85" i="30" s="1"/>
  <c r="D111" i="29"/>
  <c r="D113" i="29" s="1"/>
  <c r="D40" i="8"/>
  <c r="D39" i="4"/>
  <c r="D46" i="4"/>
  <c r="D52" i="4" s="1"/>
  <c r="D54" i="4" s="1"/>
  <c r="S13" i="1"/>
  <c r="T896" i="1"/>
  <c r="M68" i="30"/>
  <c r="D70" i="30"/>
  <c r="AH896" i="1"/>
  <c r="AG13" i="1"/>
  <c r="M37" i="4"/>
  <c r="M95" i="29"/>
  <c r="V93" i="35"/>
  <c r="V94" i="35"/>
  <c r="V92" i="35"/>
  <c r="P29" i="29"/>
  <c r="S122" i="35"/>
  <c r="S123" i="35"/>
  <c r="S124" i="35"/>
  <c r="N29" i="29"/>
  <c r="N40" i="29" s="1"/>
  <c r="Q29" i="30"/>
  <c r="V81" i="35"/>
  <c r="V83" i="35"/>
  <c r="AP896" i="1"/>
  <c r="AO13" i="1"/>
  <c r="M46" i="4"/>
  <c r="P93" i="35"/>
  <c r="P83" i="35"/>
  <c r="Q40" i="4"/>
  <c r="P92" i="35"/>
  <c r="P94" i="35"/>
  <c r="Q64" i="4"/>
  <c r="P82" i="35"/>
  <c r="Q65" i="4"/>
  <c r="Q78" i="4"/>
  <c r="Q45" i="4"/>
  <c r="P81" i="35"/>
  <c r="Q82" i="4"/>
  <c r="G73" i="8"/>
  <c r="G83" i="8"/>
  <c r="G89" i="8" s="1"/>
  <c r="G91" i="8" s="1"/>
  <c r="Q53" i="29"/>
  <c r="Q113" i="29" s="1"/>
  <c r="Q121" i="29" s="1"/>
  <c r="Q120" i="29" s="1"/>
  <c r="N48" i="29"/>
  <c r="N53" i="29" s="1"/>
  <c r="Q48" i="30"/>
  <c r="P74" i="30"/>
  <c r="M74" i="30" s="1"/>
  <c r="M74" i="29"/>
  <c r="P101" i="4"/>
  <c r="P100" i="4"/>
  <c r="M78" i="8"/>
  <c r="P83" i="8"/>
  <c r="N74" i="29"/>
  <c r="Q74" i="30"/>
  <c r="N74" i="30" s="1"/>
  <c r="M28" i="8"/>
  <c r="M12" i="8"/>
  <c r="V82" i="35"/>
  <c r="P46" i="8"/>
  <c r="D124" i="29" l="1"/>
  <c r="D121" i="29" s="1"/>
  <c r="D123" i="29"/>
  <c r="D120" i="29" s="1"/>
  <c r="M38" i="8"/>
  <c r="M35" i="8"/>
  <c r="D103" i="4"/>
  <c r="D100" i="4"/>
  <c r="C61" i="39"/>
  <c r="C59" i="39"/>
  <c r="D57" i="39"/>
  <c r="C58" i="39"/>
  <c r="M70" i="30"/>
  <c r="H103" i="4"/>
  <c r="H100" i="4"/>
  <c r="J2" i="4"/>
  <c r="E2" i="4"/>
  <c r="A9" i="4"/>
  <c r="A9" i="29"/>
  <c r="A9" i="30" s="1"/>
  <c r="N27" i="32"/>
  <c r="M111" i="29"/>
  <c r="K89" i="8"/>
  <c r="K91" i="8" s="1"/>
  <c r="K103" i="8" s="1"/>
  <c r="J76" i="8"/>
  <c r="M76" i="8" s="1"/>
  <c r="M76" i="4"/>
  <c r="E3" i="39"/>
  <c r="E2" i="39" s="1"/>
  <c r="E1" i="39" s="1"/>
  <c r="E100" i="8"/>
  <c r="E103" i="8"/>
  <c r="N68" i="8"/>
  <c r="N72" i="8"/>
  <c r="M40" i="8"/>
  <c r="P48" i="30"/>
  <c r="M48" i="29"/>
  <c r="M53" i="29" s="1"/>
  <c r="M77" i="29" s="1"/>
  <c r="G46" i="8"/>
  <c r="G52" i="8" s="1"/>
  <c r="M50" i="30"/>
  <c r="H52" i="8"/>
  <c r="H54" i="8" s="1"/>
  <c r="M74" i="8"/>
  <c r="D73" i="8"/>
  <c r="D83" i="8"/>
  <c r="G54" i="8"/>
  <c r="G103" i="8" s="1"/>
  <c r="D53" i="30"/>
  <c r="D77" i="30" s="1"/>
  <c r="M35" i="4"/>
  <c r="M38" i="4"/>
  <c r="E51" i="30"/>
  <c r="J51" i="30"/>
  <c r="J53" i="30" s="1"/>
  <c r="J77" i="30" s="1"/>
  <c r="J113" i="30" s="1"/>
  <c r="H51" i="30"/>
  <c r="H53" i="30" s="1"/>
  <c r="H77" i="30" s="1"/>
  <c r="H113" i="30" s="1"/>
  <c r="D51" i="30"/>
  <c r="K51" i="30"/>
  <c r="K53" i="30" s="1"/>
  <c r="K77" i="30" s="1"/>
  <c r="K113" i="30" s="1"/>
  <c r="G51" i="30"/>
  <c r="G53" i="30" s="1"/>
  <c r="G77" i="30" s="1"/>
  <c r="G113" i="30" s="1"/>
  <c r="M68" i="4"/>
  <c r="M72" i="4"/>
  <c r="G124" i="29"/>
  <c r="G121" i="29" s="1"/>
  <c r="G123" i="29"/>
  <c r="G120" i="29" s="1"/>
  <c r="G103" i="4"/>
  <c r="G100" i="4"/>
  <c r="D40" i="30"/>
  <c r="D113" i="30" s="1"/>
  <c r="M52" i="4"/>
  <c r="M54" i="4" s="1"/>
  <c r="D39" i="8"/>
  <c r="D46" i="8"/>
  <c r="D52" i="8" s="1"/>
  <c r="D54" i="8" s="1"/>
  <c r="M93" i="8"/>
  <c r="M101" i="8"/>
  <c r="M104" i="8"/>
  <c r="P59" i="39" s="1"/>
  <c r="N35" i="8"/>
  <c r="N38" i="8"/>
  <c r="M111" i="30"/>
  <c r="M71" i="8"/>
  <c r="D68" i="8"/>
  <c r="D72" i="8"/>
  <c r="D89" i="8" s="1"/>
  <c r="D91" i="8" s="1"/>
  <c r="J82" i="8"/>
  <c r="M82" i="8" s="1"/>
  <c r="M82" i="4"/>
  <c r="J75" i="8"/>
  <c r="M75" i="4"/>
  <c r="M83" i="4" s="1"/>
  <c r="M89" i="4" s="1"/>
  <c r="M91" i="4" s="1"/>
  <c r="M103" i="4" s="1"/>
  <c r="J73" i="4"/>
  <c r="J83" i="4"/>
  <c r="J89" i="4" s="1"/>
  <c r="J91" i="4" s="1"/>
  <c r="J100" i="4" s="1"/>
  <c r="M61" i="4"/>
  <c r="N10" i="4"/>
  <c r="N61" i="4" s="1"/>
  <c r="J103" i="4"/>
  <c r="J124" i="29"/>
  <c r="J121" i="29" s="1"/>
  <c r="J123" i="29"/>
  <c r="J120" i="29" s="1"/>
  <c r="J77" i="8"/>
  <c r="M77" i="8" s="1"/>
  <c r="M77" i="4"/>
  <c r="M3" i="39"/>
  <c r="M2" i="39" s="1"/>
  <c r="M1" i="39" s="1"/>
  <c r="K100" i="8"/>
  <c r="J35" i="8"/>
  <c r="J38" i="8"/>
  <c r="J52" i="8" s="1"/>
  <c r="J54" i="8" s="1"/>
  <c r="M39" i="8"/>
  <c r="M46" i="8"/>
  <c r="M52" i="8" s="1"/>
  <c r="M54" i="8" s="1"/>
  <c r="N77" i="29"/>
  <c r="N113" i="29" s="1"/>
  <c r="Q78" i="8"/>
  <c r="N78" i="4"/>
  <c r="Q83" i="4"/>
  <c r="H3" i="39"/>
  <c r="Q82" i="8"/>
  <c r="N82" i="8" s="1"/>
  <c r="N82" i="4"/>
  <c r="Q65" i="8"/>
  <c r="N65" i="8" s="1"/>
  <c r="N65" i="4"/>
  <c r="Y468" i="31" s="1"/>
  <c r="M100" i="4"/>
  <c r="M29" i="29"/>
  <c r="M40" i="29" s="1"/>
  <c r="M113" i="29" s="1"/>
  <c r="P113" i="29"/>
  <c r="P121" i="29" s="1"/>
  <c r="P120" i="29" s="1"/>
  <c r="P29" i="30"/>
  <c r="N40" i="4"/>
  <c r="Q40" i="8"/>
  <c r="Q46" i="4"/>
  <c r="V95" i="35"/>
  <c r="P100" i="8"/>
  <c r="P101" i="8"/>
  <c r="P53" i="30"/>
  <c r="M48" i="30"/>
  <c r="Q53" i="30"/>
  <c r="N48" i="30"/>
  <c r="Q45" i="8"/>
  <c r="N45" i="8" s="1"/>
  <c r="N45" i="4"/>
  <c r="N64" i="4"/>
  <c r="N66" i="4" s="1"/>
  <c r="Q64" i="8"/>
  <c r="N64" i="8" s="1"/>
  <c r="N66" i="8" s="1"/>
  <c r="N29" i="30"/>
  <c r="N40" i="30" s="1"/>
  <c r="Q113" i="30"/>
  <c r="Q122" i="30" s="1"/>
  <c r="Q121" i="30" s="1"/>
  <c r="H124" i="30" l="1"/>
  <c r="H125" i="30"/>
  <c r="H122" i="30" s="1"/>
  <c r="G125" i="30"/>
  <c r="G122" i="30" s="1"/>
  <c r="G124" i="30"/>
  <c r="J125" i="30"/>
  <c r="J122" i="30" s="1"/>
  <c r="J124" i="30"/>
  <c r="K125" i="30"/>
  <c r="K122" i="30" s="1"/>
  <c r="K124" i="30"/>
  <c r="N51" i="30"/>
  <c r="N53" i="30" s="1"/>
  <c r="N77" i="30" s="1"/>
  <c r="N113" i="30" s="1"/>
  <c r="E53" i="30"/>
  <c r="E77" i="30" s="1"/>
  <c r="E113" i="30" s="1"/>
  <c r="A9" i="8"/>
  <c r="A60" i="8" s="1"/>
  <c r="A60" i="4"/>
  <c r="G100" i="8"/>
  <c r="M73" i="4"/>
  <c r="M75" i="8"/>
  <c r="J83" i="8"/>
  <c r="J89" i="8" s="1"/>
  <c r="J91" i="8" s="1"/>
  <c r="J73" i="8"/>
  <c r="D3" i="39"/>
  <c r="D2" i="39" s="1"/>
  <c r="D100" i="8"/>
  <c r="D103" i="8"/>
  <c r="M51" i="30"/>
  <c r="H100" i="8"/>
  <c r="H103" i="8"/>
  <c r="I3" i="39"/>
  <c r="I2" i="39" s="1"/>
  <c r="I1" i="39" s="1"/>
  <c r="E2" i="29"/>
  <c r="E2" i="8"/>
  <c r="E2" i="30"/>
  <c r="M68" i="8"/>
  <c r="M72" i="8"/>
  <c r="A59" i="39"/>
  <c r="P58" i="39"/>
  <c r="J2" i="30"/>
  <c r="J2" i="8"/>
  <c r="J2" i="29"/>
  <c r="M53" i="30"/>
  <c r="M77" i="30" s="1"/>
  <c r="D124" i="30"/>
  <c r="D125" i="30"/>
  <c r="D122" i="30" s="1"/>
  <c r="N39" i="4"/>
  <c r="N46" i="4"/>
  <c r="N52" i="4" s="1"/>
  <c r="N54" i="4" s="1"/>
  <c r="H2" i="39"/>
  <c r="M124" i="29"/>
  <c r="M121" i="29" s="1"/>
  <c r="M123" i="29"/>
  <c r="M120" i="29" s="1"/>
  <c r="N62" i="4"/>
  <c r="Q101" i="4"/>
  <c r="Q100" i="4"/>
  <c r="N123" i="29"/>
  <c r="N120" i="29" s="1"/>
  <c r="N124" i="29"/>
  <c r="N121" i="29" s="1"/>
  <c r="Y466" i="31"/>
  <c r="N73" i="4"/>
  <c r="N83" i="4"/>
  <c r="N89" i="4" s="1"/>
  <c r="N91" i="4" s="1"/>
  <c r="Q46" i="8"/>
  <c r="N40" i="8"/>
  <c r="P113" i="30"/>
  <c r="P122" i="30" s="1"/>
  <c r="P121" i="30" s="1"/>
  <c r="M29" i="30"/>
  <c r="M40" i="30" s="1"/>
  <c r="Y4" i="31"/>
  <c r="X468" i="31"/>
  <c r="Q83" i="8"/>
  <c r="N78" i="8"/>
  <c r="N125" i="30" l="1"/>
  <c r="N122" i="30" s="1"/>
  <c r="N124" i="30"/>
  <c r="N121" i="30" s="1"/>
  <c r="J103" i="8"/>
  <c r="L3" i="39"/>
  <c r="L2" i="39" s="1"/>
  <c r="J100" i="8"/>
  <c r="K121" i="30"/>
  <c r="M128" i="39"/>
  <c r="M127" i="39" s="1"/>
  <c r="M66" i="39" s="1"/>
  <c r="G121" i="30"/>
  <c r="H128" i="39"/>
  <c r="H127" i="39" s="1"/>
  <c r="M73" i="8"/>
  <c r="M83" i="8"/>
  <c r="M89" i="8" s="1"/>
  <c r="M91" i="8" s="1"/>
  <c r="O59" i="39"/>
  <c r="O58" i="39"/>
  <c r="O61" i="39"/>
  <c r="P57" i="39"/>
  <c r="M113" i="30"/>
  <c r="D128" i="39"/>
  <c r="D127" i="39" s="1"/>
  <c r="D121" i="30"/>
  <c r="A61" i="39"/>
  <c r="A63" i="39"/>
  <c r="A62" i="39"/>
  <c r="C2" i="39"/>
  <c r="C3" i="39"/>
  <c r="C53" i="39"/>
  <c r="D1" i="39"/>
  <c r="C5" i="39"/>
  <c r="E125" i="30"/>
  <c r="E122" i="30" s="1"/>
  <c r="E124" i="30"/>
  <c r="J121" i="30"/>
  <c r="L128" i="39"/>
  <c r="L127" i="39" s="1"/>
  <c r="H121" i="30"/>
  <c r="I128" i="39"/>
  <c r="I127" i="39" s="1"/>
  <c r="I66" i="39" s="1"/>
  <c r="Q101" i="8"/>
  <c r="Q100" i="8"/>
  <c r="N46" i="8"/>
  <c r="N52" i="8" s="1"/>
  <c r="N54" i="8" s="1"/>
  <c r="N39" i="8"/>
  <c r="N100" i="4"/>
  <c r="N103" i="4"/>
  <c r="N83" i="8"/>
  <c r="N89" i="8" s="1"/>
  <c r="N91" i="8" s="1"/>
  <c r="N73" i="8"/>
  <c r="X466" i="31"/>
  <c r="X4" i="31"/>
  <c r="M125" i="30"/>
  <c r="M122" i="30" s="1"/>
  <c r="M124" i="30"/>
  <c r="H1" i="39"/>
  <c r="G53" i="39"/>
  <c r="G2" i="39"/>
  <c r="G5" i="39"/>
  <c r="G3" i="39"/>
  <c r="Q128" i="39"/>
  <c r="Q127" i="39" s="1"/>
  <c r="Q66" i="39" s="1"/>
  <c r="L1" i="39" l="1"/>
  <c r="K5" i="39"/>
  <c r="K53" i="39"/>
  <c r="K3" i="39"/>
  <c r="K2" i="39"/>
  <c r="D66" i="39"/>
  <c r="C127" i="39"/>
  <c r="C130" i="39"/>
  <c r="H66" i="39"/>
  <c r="G128" i="39"/>
  <c r="G127" i="39"/>
  <c r="G130" i="39"/>
  <c r="E128" i="39"/>
  <c r="E127" i="39" s="1"/>
  <c r="E66" i="39" s="1"/>
  <c r="E121" i="30"/>
  <c r="P3" i="39"/>
  <c r="P2" i="39" s="1"/>
  <c r="P1" i="39" s="1"/>
  <c r="M103" i="8"/>
  <c r="M100" i="8"/>
  <c r="L66" i="39"/>
  <c r="K127" i="39"/>
  <c r="K128" i="39"/>
  <c r="K130" i="39"/>
  <c r="N100" i="8"/>
  <c r="N103" i="8"/>
  <c r="Q3" i="39"/>
  <c r="M121" i="30"/>
  <c r="P128" i="39"/>
  <c r="C128" i="39" l="1"/>
  <c r="Q2" i="39"/>
  <c r="A3" i="39"/>
  <c r="P127" i="39"/>
  <c r="A128" i="39"/>
  <c r="A5" i="39" l="1"/>
  <c r="A54" i="39"/>
  <c r="A6" i="39"/>
  <c r="A55" i="39"/>
  <c r="A53" i="39"/>
  <c r="A7" i="39"/>
  <c r="A133" i="39"/>
  <c r="A132" i="39"/>
  <c r="A130" i="39"/>
  <c r="A131" i="39"/>
  <c r="P66" i="39"/>
  <c r="O128" i="39"/>
  <c r="O130" i="39"/>
  <c r="O127" i="39"/>
  <c r="Q1" i="39"/>
  <c r="O2" i="39"/>
  <c r="O5" i="39"/>
  <c r="O53" i="39"/>
  <c r="O3" i="39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 shapeId="0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1 г.
                3 0   ю н и   2 0 2 1 г.
                30  септември  2021 г.
                31  декември  2021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<sst xmlns="http://schemas.openxmlformats.org/spreadsheetml/2006/main" count="8526" uniqueCount="2307">
  <si>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</si>
  <si>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</si>
  <si>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</si>
  <si>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</si>
  <si>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</si>
  <si>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</si>
  <si>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</si>
  <si>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</si>
  <si>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</si>
  <si>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</si>
  <si>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</si>
  <si>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</si>
  <si>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</si>
  <si>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</si>
  <si>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</si>
  <si>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</si>
  <si>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</si>
  <si>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</si>
  <si>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</si>
  <si>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</si>
  <si>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</si>
  <si>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</si>
  <si>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</si>
  <si>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</si>
  <si>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</si>
  <si>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</si>
  <si>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</si>
  <si>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</si>
  <si>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</si>
  <si>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</si>
  <si>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</si>
  <si>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</si>
  <si>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</si>
  <si>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</si>
  <si>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</si>
  <si>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</si>
  <si>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</si>
  <si>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</si>
  <si>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</si>
  <si>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</si>
  <si>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</si>
  <si>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</si>
  <si>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</si>
  <si>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</si>
  <si>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</si>
  <si>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</si>
  <si>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</si>
  <si>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</si>
  <si>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</si>
  <si>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</si>
  <si>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</si>
  <si>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</si>
  <si>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</si>
  <si>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</si>
  <si>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</si>
  <si>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</si>
  <si>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</si>
  <si>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</si>
  <si>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</si>
  <si>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</si>
  <si>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</si>
  <si>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</si>
  <si>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</si>
  <si>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</si>
  <si>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</si>
  <si>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</si>
  <si>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</si>
  <si>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</si>
  <si>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</si>
  <si>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</si>
  <si>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</si>
  <si>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</si>
  <si>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</si>
  <si>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</si>
  <si>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</si>
  <si>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</si>
  <si>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</si>
  <si>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</si>
  <si>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</si>
  <si>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</si>
  <si>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</si>
  <si>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</si>
  <si>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</si>
  <si>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</si>
  <si>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</si>
  <si>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</si>
  <si>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</si>
  <si>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</si>
  <si>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</si>
  <si>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</si>
  <si>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</si>
  <si>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</si>
  <si>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</si>
  <si>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</si>
  <si>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</si>
  <si>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</si>
  <si>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</si>
  <si>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</si>
  <si>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</si>
  <si>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</si>
  <si>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</si>
  <si>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</si>
  <si>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</si>
  <si>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</si>
  <si>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</si>
  <si>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</si>
  <si>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</si>
  <si>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</si>
  <si>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</si>
  <si>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</si>
  <si>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</si>
  <si>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</si>
  <si>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</si>
  <si>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</si>
  <si>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</si>
  <si>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</si>
  <si>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</si>
  <si>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</si>
  <si>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</si>
  <si>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</si>
  <si>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</si>
  <si>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</si>
  <si>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</si>
  <si>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</si>
  <si>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</si>
  <si>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</si>
  <si>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</si>
  <si>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</si>
  <si>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</si>
  <si>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</si>
  <si>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</si>
  <si>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</si>
  <si>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</si>
  <si>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</si>
  <si>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</si>
  <si>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</si>
  <si>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</si>
  <si>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</si>
  <si>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</si>
  <si>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</si>
  <si>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</si>
  <si>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</si>
  <si>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</si>
  <si>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</si>
  <si>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</si>
  <si>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</si>
  <si>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</si>
  <si>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</si>
  <si>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</si>
  <si>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</si>
  <si>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</si>
  <si>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</si>
  <si>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</si>
  <si>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</si>
  <si>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</si>
  <si>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</si>
  <si>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</si>
  <si>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</si>
  <si>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</si>
  <si>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</si>
  <si>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</si>
  <si>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</si>
  <si>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</si>
  <si>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</si>
  <si>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</si>
  <si>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</si>
  <si>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</si>
  <si>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</si>
  <si>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</si>
  <si>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</si>
  <si>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</si>
  <si>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</si>
  <si>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</si>
  <si>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</si>
  <si>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</si>
  <si>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</si>
  <si>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</si>
  <si>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</si>
  <si>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</si>
  <si>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</si>
  <si>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</si>
  <si>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</si>
  <si>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</si>
  <si>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</si>
  <si>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</si>
  <si>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</si>
  <si>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</si>
  <si>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</si>
  <si>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</si>
  <si>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</si>
  <si>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</si>
  <si>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</si>
  <si>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</si>
  <si>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</si>
  <si>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</si>
  <si>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</si>
  <si>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</si>
  <si>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</si>
  <si>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</si>
  <si>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</si>
  <si>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</si>
  <si>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</si>
  <si>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</si>
  <si>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</si>
  <si>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</si>
  <si>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</si>
  <si>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</si>
  <si>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</si>
  <si>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</si>
  <si>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</si>
  <si>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</si>
  <si>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</si>
  <si>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</si>
  <si>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</si>
  <si>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</si>
  <si>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</si>
  <si>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</si>
  <si>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</si>
  <si>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</si>
  <si>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</si>
  <si>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</si>
  <si>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</si>
  <si>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</si>
  <si>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</si>
  <si>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</si>
  <si>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</si>
  <si>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</si>
  <si>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</si>
  <si>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</si>
  <si>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</si>
  <si>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</si>
  <si>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</si>
  <si>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</si>
  <si>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</si>
  <si>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</si>
  <si>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</si>
  <si>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</si>
  <si>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</si>
  <si>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</si>
  <si>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</si>
  <si>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</si>
  <si>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</si>
  <si>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</si>
  <si>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</si>
  <si>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</si>
  <si>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</si>
  <si>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</si>
  <si>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</si>
  <si>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</si>
  <si>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</si>
  <si>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</si>
  <si>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</si>
  <si>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</si>
  <si>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</si>
  <si>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</si>
  <si>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</si>
  <si>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</si>
  <si>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</si>
  <si>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</si>
  <si>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</si>
  <si>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</si>
  <si>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</si>
  <si>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</si>
  <si>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</si>
  <si>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</si>
  <si>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</si>
  <si>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</si>
  <si>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</si>
  <si>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</si>
  <si>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</si>
  <si>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</si>
  <si>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</si>
  <si>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</si>
  <si>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</si>
  <si>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</si>
  <si>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</si>
  <si>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</si>
  <si>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</si>
  <si>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</si>
  <si>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</si>
  <si>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</si>
  <si>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</si>
  <si>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</si>
  <si>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</si>
  <si>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</si>
  <si>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</si>
  <si>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</si>
  <si>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</si>
  <si>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</si>
  <si>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</si>
  <si>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</si>
  <si>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</si>
  <si>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</si>
  <si>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</si>
  <si>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</si>
  <si>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</si>
  <si>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</si>
  <si>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</si>
  <si>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</si>
  <si>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</si>
  <si>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</si>
  <si>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</si>
  <si>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</si>
  <si>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</si>
  <si>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</si>
  <si>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</si>
  <si>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</si>
  <si>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</si>
  <si>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</si>
  <si>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</si>
  <si>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</si>
  <si>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</si>
  <si>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</si>
  <si>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</si>
  <si>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</si>
  <si>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</si>
  <si>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</si>
  <si>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</si>
  <si>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</si>
  <si>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</si>
  <si>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</si>
  <si>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</si>
  <si>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</si>
  <si>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</si>
  <si>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</si>
  <si>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</si>
  <si>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</si>
  <si>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</si>
  <si>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</si>
  <si>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</si>
  <si>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</si>
  <si>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</si>
  <si>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</si>
  <si>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</si>
  <si>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</si>
  <si>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</si>
  <si>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</si>
  <si>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</si>
  <si>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</si>
  <si>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</si>
  <si>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</si>
  <si>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</si>
  <si>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</si>
  <si>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</si>
  <si>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</si>
  <si>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</si>
  <si>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</si>
  <si>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</si>
  <si>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</si>
  <si>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</si>
  <si>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</si>
  <si>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</si>
  <si>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</si>
  <si>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</si>
  <si>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</si>
  <si>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</si>
  <si>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</si>
  <si>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</si>
  <si>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</si>
  <si>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</si>
  <si>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</si>
  <si>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</si>
  <si>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</si>
  <si>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</si>
  <si>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</si>
  <si>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</si>
  <si>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</si>
  <si>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</si>
  <si>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</si>
  <si>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</si>
  <si>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</si>
  <si>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</si>
  <si>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</si>
  <si>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r>
      <t>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</t>
    </r>
  </si>
  <si>
    <r>
      <t xml:space="preserve">                        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</si>
  <si>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</si>
  <si>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</si>
  <si>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</si>
  <si>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</si>
  <si>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</si>
  <si>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</si>
  <si>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</si>
  <si>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</si>
  <si>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</si>
  <si>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</si>
  <si>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</si>
  <si>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</si>
  <si>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</si>
  <si>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</si>
  <si>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</si>
  <si>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</si>
  <si>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</si>
  <si>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</si>
  <si>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</si>
  <si>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</si>
  <si>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</si>
  <si>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</si>
  <si>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</si>
  <si>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</si>
  <si>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</si>
  <si>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</si>
  <si>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</si>
  <si>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</si>
  <si>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</si>
  <si>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</si>
  <si>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</si>
  <si>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</si>
  <si>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</si>
  <si>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</si>
  <si>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</si>
  <si>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</si>
  <si>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</si>
  <si>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</si>
  <si>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</si>
  <si>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</si>
  <si>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</si>
  <si>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</si>
  <si>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В.  ЗАДБАЛАНСОВИ АКТИВИ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</si>
  <si>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</si>
  <si>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</si>
  <si>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</si>
  <si>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</si>
  <si>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</si>
  <si>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</si>
  <si>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</si>
  <si>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</si>
  <si>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</si>
  <si>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</si>
  <si>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</si>
  <si>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r>
      <t xml:space="preserve"> </t>
    </r>
    <r>
      <rPr>
        <b/>
        <i/>
        <sz val="12"/>
        <rFont val="Times New Roman CYR"/>
        <family val="1"/>
        <charset val="204"/>
      </rPr>
      <t>В.  ЗАДБАЛАНСОВИ ПАСИВИ</t>
    </r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</si>
  <si>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</si>
  <si>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</si>
  <si>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</si>
  <si>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</si>
  <si>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</si>
  <si>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</si>
  <si>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</si>
  <si>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</si>
  <si>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</si>
  <si>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</si>
  <si>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</si>
  <si>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</si>
  <si>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</si>
  <si>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</si>
  <si>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</si>
  <si>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</si>
  <si>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</si>
  <si>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</si>
  <si>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</si>
  <si>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</si>
  <si>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</si>
  <si>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</si>
  <si>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</si>
  <si>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</si>
  <si>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</si>
  <si>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</si>
  <si>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</si>
  <si>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</si>
  <si>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</si>
  <si>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</si>
  <si>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</si>
  <si>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</si>
  <si>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</si>
  <si>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</si>
  <si>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</si>
  <si>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</si>
  <si>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</si>
  <si>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</si>
  <si>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</si>
  <si>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</si>
  <si>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</si>
  <si>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</si>
  <si>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</si>
  <si>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</si>
  <si>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</si>
  <si>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</si>
  <si>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</si>
  <si>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</si>
  <si>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</si>
  <si>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</si>
  <si>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</si>
  <si>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</si>
  <si>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</si>
  <si>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</si>
  <si>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</si>
  <si>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</si>
  <si>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</si>
  <si>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</si>
  <si>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</si>
  <si>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</si>
  <si>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</si>
  <si>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</si>
  <si>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</si>
  <si>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</si>
  <si>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</si>
  <si>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</si>
  <si>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</si>
  <si>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</si>
  <si>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</si>
  <si>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</si>
  <si>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</si>
  <si>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</si>
  <si>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</si>
  <si>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</si>
  <si>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</si>
  <si>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</si>
  <si>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</si>
  <si>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</si>
  <si>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</si>
  <si>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</si>
  <si>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</si>
  <si>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</si>
  <si>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</si>
  <si>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</si>
  <si>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</si>
  <si>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</si>
  <si>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</si>
  <si>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</si>
  <si>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</si>
  <si>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</si>
  <si>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</si>
  <si>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</si>
  <si>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</si>
  <si>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</si>
  <si>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</si>
  <si>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</si>
  <si>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</si>
  <si>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</si>
  <si>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</si>
  <si>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</si>
  <si>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</si>
  <si>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</si>
  <si>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</si>
  <si>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</si>
  <si>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</si>
  <si>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</si>
  <si>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</si>
  <si>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</si>
  <si>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</si>
  <si>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</si>
  <si>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</si>
  <si>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</si>
  <si>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</si>
  <si>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</si>
  <si>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</si>
  <si>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</si>
  <si>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</si>
  <si>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</si>
  <si>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</si>
  <si>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</si>
  <si>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</si>
  <si>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</si>
  <si>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</si>
  <si>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</si>
  <si>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</si>
  <si>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</si>
  <si>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</si>
  <si>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</si>
  <si>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</si>
  <si>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</si>
  <si>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</si>
  <si>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</si>
  <si>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</si>
  <si>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</si>
  <si>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</si>
  <si>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</si>
  <si>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</si>
  <si>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</si>
  <si>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</si>
  <si>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</si>
  <si>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</si>
  <si>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</si>
  <si>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</si>
  <si>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</si>
  <si>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</si>
  <si>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</si>
  <si>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</si>
  <si>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</si>
  <si>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</si>
  <si>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</si>
  <si>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</si>
  <si>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</si>
  <si>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</si>
  <si>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</si>
  <si>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</si>
  <si>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</si>
  <si>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</si>
  <si>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</si>
  <si>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</si>
  <si>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</si>
  <si>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</si>
  <si>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</si>
  <si>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</si>
  <si>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</si>
  <si>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</si>
  <si>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</si>
  <si>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</si>
  <si>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</si>
  <si>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</si>
  <si>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</si>
  <si>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</si>
  <si>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</si>
  <si>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</si>
  <si>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</si>
  <si>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</si>
  <si>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</si>
  <si>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</si>
  <si>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</si>
  <si>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</si>
  <si>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</si>
  <si>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</si>
  <si>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</si>
  <si>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</si>
  <si>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</si>
  <si>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</si>
  <si>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</si>
  <si>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</si>
  <si>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</si>
  <si>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</si>
  <si>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</si>
  <si>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</si>
  <si>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</si>
  <si>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</si>
  <si>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</si>
  <si>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</si>
  <si>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</si>
  <si>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</si>
  <si>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</si>
  <si>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</si>
  <si>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</si>
  <si>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</si>
  <si>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</si>
  <si>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</si>
  <si>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</si>
  <si>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</si>
  <si>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</si>
  <si>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</si>
  <si>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</si>
  <si>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</si>
  <si>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</si>
  <si>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</si>
  <si>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</si>
  <si>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</si>
  <si>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</si>
  <si>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</si>
  <si>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</si>
  <si>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</si>
  <si>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</si>
  <si>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</si>
  <si>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</si>
  <si>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</si>
  <si>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</si>
  <si>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</si>
  <si>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</si>
  <si>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</si>
  <si>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</si>
  <si>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</si>
  <si>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</si>
  <si>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</si>
  <si>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</si>
  <si>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</si>
  <si>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</si>
  <si>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</si>
  <si>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</si>
  <si>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</si>
  <si>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</si>
  <si>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</si>
  <si>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</si>
  <si>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</si>
  <si>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</si>
  <si>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</si>
  <si>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</si>
  <si>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</si>
  <si>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</si>
  <si>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</si>
  <si>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</si>
  <si>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</si>
  <si>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</si>
  <si>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</si>
  <si>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</si>
  <si>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</si>
  <si>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</si>
  <si>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</si>
  <si>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</si>
  <si>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</si>
  <si>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</si>
  <si>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</si>
  <si>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</si>
  <si>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</si>
  <si>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</si>
  <si>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</si>
  <si>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</si>
  <si>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</si>
  <si>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</si>
  <si>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</si>
  <si>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</si>
  <si>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</si>
  <si>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</si>
  <si>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</si>
  <si>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</si>
  <si>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</si>
  <si>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</si>
  <si>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</si>
  <si>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</si>
  <si>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</si>
  <si>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</si>
  <si>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</si>
  <si>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</si>
  <si>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</si>
  <si>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</si>
  <si>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</si>
  <si>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</si>
  <si>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</si>
  <si>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</si>
  <si>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</si>
  <si>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</si>
  <si>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</si>
  <si>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</si>
  <si>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</si>
  <si>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</si>
  <si>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</si>
  <si>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</si>
  <si>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</si>
  <si>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</si>
  <si>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</si>
  <si>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</si>
  <si>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</si>
  <si>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</si>
  <si>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</si>
  <si>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</si>
  <si>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</si>
  <si>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</si>
  <si>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</si>
  <si>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</si>
  <si>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</si>
  <si>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</si>
  <si>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</si>
  <si>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</si>
  <si>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</si>
  <si>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</si>
  <si>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</si>
  <si>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</si>
  <si>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</si>
  <si>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</si>
  <si>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</si>
  <si>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</si>
  <si>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</si>
  <si>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</si>
  <si>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</si>
  <si>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</si>
  <si>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</si>
  <si>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</si>
  <si>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</si>
  <si>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</si>
  <si>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</si>
  <si>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</si>
  <si>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</si>
  <si>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</si>
  <si>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</si>
  <si>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</si>
  <si>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</si>
  <si>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</si>
  <si>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</si>
  <si>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</si>
  <si>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</si>
  <si>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</si>
  <si>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</si>
  <si>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</si>
  <si>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</si>
  <si>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</si>
  <si>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</si>
  <si>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</si>
  <si>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</si>
  <si>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</si>
  <si>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</si>
  <si>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</si>
  <si>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</si>
  <si>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</si>
  <si>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</si>
  <si>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</si>
  <si>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</si>
  <si>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</si>
  <si>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</si>
  <si>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</si>
  <si>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</si>
  <si>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</si>
  <si>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</si>
  <si>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</si>
  <si>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</si>
  <si>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</si>
  <si>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</si>
  <si>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</si>
  <si>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</si>
  <si>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</si>
  <si>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</si>
  <si>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</si>
  <si>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</si>
  <si>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</si>
  <si>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</si>
  <si>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</si>
  <si>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</si>
  <si>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</si>
  <si>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</si>
  <si>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</si>
  <si>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</si>
  <si>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</si>
  <si>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</si>
  <si>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</si>
  <si>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</si>
  <si>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</si>
  <si>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</si>
  <si>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</si>
  <si>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</si>
  <si>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</si>
  <si>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</si>
  <si>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</si>
  <si>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</si>
  <si>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</si>
  <si>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</si>
  <si>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</si>
  <si>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</si>
  <si>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</si>
  <si>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</si>
  <si>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</si>
  <si>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</si>
  <si>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</si>
  <si>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</si>
  <si>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</si>
  <si>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</si>
  <si>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</si>
  <si>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</si>
  <si>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</si>
  <si>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</si>
  <si>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</si>
  <si>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</si>
  <si>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</si>
  <si>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</si>
  <si>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</si>
  <si>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</si>
  <si>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</si>
  <si>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</si>
  <si>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</si>
  <si>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</si>
  <si>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</si>
  <si>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</si>
  <si>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</si>
  <si>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</si>
  <si>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</si>
  <si>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</si>
  <si>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</si>
  <si>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</si>
  <si>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</si>
  <si>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</si>
  <si>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</si>
  <si>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</si>
  <si>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</si>
  <si>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</si>
  <si>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</si>
  <si>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</si>
  <si>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</si>
  <si>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</si>
  <si>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</si>
  <si>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</si>
  <si>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</si>
  <si>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</si>
  <si>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</si>
  <si>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</si>
  <si>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</si>
  <si>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</si>
  <si>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</si>
  <si>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</si>
  <si>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</si>
  <si>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</si>
  <si>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</si>
  <si>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</si>
  <si>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</si>
  <si>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</si>
  <si>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</si>
  <si>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</si>
  <si>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</si>
  <si>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</si>
  <si>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</si>
  <si>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</si>
  <si>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</si>
  <si>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</si>
  <si>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</si>
  <si>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</si>
  <si>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</si>
  <si>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</si>
  <si>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</si>
  <si>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</si>
  <si>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</si>
  <si>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</si>
  <si>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</si>
  <si>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</si>
  <si>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</si>
  <si>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</si>
  <si>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</si>
  <si>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</si>
  <si>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</si>
  <si>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</si>
  <si>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</si>
  <si>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</si>
  <si>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</si>
  <si>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</si>
  <si>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</si>
  <si>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</si>
  <si>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</si>
  <si>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</si>
  <si>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</si>
  <si>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</si>
  <si>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</si>
  <si>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</si>
  <si>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</si>
  <si>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</si>
  <si>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</si>
  <si>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</si>
  <si>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</si>
  <si>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</si>
  <si>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</si>
  <si>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</si>
  <si>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</si>
  <si>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</si>
  <si>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</si>
  <si>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</si>
  <si>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</si>
  <si>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</si>
  <si>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</si>
  <si>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</si>
  <si>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</si>
  <si>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</si>
  <si>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</si>
  <si>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</si>
  <si>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</si>
  <si>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</si>
  <si>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</si>
  <si>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</si>
  <si>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</si>
  <si>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</si>
  <si>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</si>
  <si>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</si>
  <si>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</si>
  <si>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</si>
  <si>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</si>
  <si>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</si>
  <si>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</si>
  <si>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</si>
  <si>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</si>
  <si>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</si>
  <si>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</si>
  <si>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</si>
  <si>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</si>
  <si>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</si>
  <si>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</si>
  <si>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</si>
  <si>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</si>
  <si>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</si>
  <si>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</si>
  <si>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</si>
  <si>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</si>
  <si>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</si>
  <si>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</si>
  <si>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</si>
  <si>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</si>
  <si>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</si>
  <si>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</si>
  <si>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</si>
  <si>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</si>
  <si>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</si>
  <si>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</si>
  <si>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</si>
  <si>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</si>
  <si>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</si>
  <si>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</si>
  <si>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</si>
  <si>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</si>
  <si>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</si>
  <si>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</si>
  <si>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</si>
  <si>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</si>
  <si>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</si>
  <si>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</si>
  <si>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</si>
  <si>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</si>
  <si>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</si>
  <si>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</si>
  <si>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</si>
  <si>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</si>
  <si>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</si>
  <si>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</si>
  <si>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</si>
  <si>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</si>
  <si>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</si>
  <si>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</si>
  <si>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</si>
  <si>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</si>
  <si>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</si>
  <si>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</si>
  <si>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</si>
  <si>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</si>
  <si>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</si>
  <si>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</si>
  <si>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</si>
  <si>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</si>
  <si>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</si>
  <si>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</si>
  <si>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</si>
  <si>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</si>
  <si>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</si>
  <si>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</si>
  <si>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</si>
  <si>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</si>
  <si>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</si>
  <si>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</si>
  <si>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</si>
  <si>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</si>
  <si>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</si>
  <si>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</si>
  <si>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</si>
  <si>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</si>
  <si>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</si>
  <si>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</si>
  <si>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</si>
  <si>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</si>
  <si>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</si>
  <si>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</si>
  <si>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</si>
  <si>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</si>
  <si>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</si>
  <si>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</si>
  <si>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</si>
  <si>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</si>
  <si>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</si>
  <si>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</si>
  <si>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</si>
  <si>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</si>
  <si>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</si>
  <si>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</si>
  <si>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</si>
  <si>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</si>
  <si>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</si>
  <si>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</si>
  <si>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</si>
  <si>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</si>
  <si>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</si>
  <si>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</si>
  <si>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</si>
  <si>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</si>
  <si>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</si>
  <si>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</si>
  <si>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</si>
  <si>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</si>
  <si>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</si>
  <si>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</si>
  <si>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</si>
  <si>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</si>
  <si>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</si>
  <si>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</si>
  <si>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</si>
  <si>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</si>
  <si>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</si>
  <si>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</si>
  <si>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</si>
  <si>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</si>
  <si>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</si>
  <si>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</si>
  <si>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</si>
  <si>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</si>
  <si>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</si>
  <si>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</si>
  <si>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</si>
  <si>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</si>
  <si>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</si>
  <si>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</si>
  <si>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</si>
  <si>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</si>
  <si>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</si>
  <si>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</si>
  <si>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</si>
  <si>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</si>
  <si>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</si>
  <si>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</si>
  <si>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</si>
  <si>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</si>
  <si>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</si>
  <si>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</si>
  <si>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</si>
  <si>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</si>
  <si>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</si>
  <si>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</si>
  <si>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</si>
  <si>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</si>
  <si>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</si>
  <si>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</si>
  <si>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</si>
  <si>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</si>
  <si>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</si>
  <si>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</si>
  <si>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</si>
  <si>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</si>
  <si>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</si>
  <si>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</si>
  <si>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</si>
  <si>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</si>
  <si>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</si>
  <si>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</si>
  <si>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</si>
  <si>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</si>
  <si>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</si>
  <si>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</si>
  <si>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</si>
  <si>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</si>
  <si>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</si>
  <si>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</si>
  <si>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</si>
  <si>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</si>
  <si>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</si>
  <si>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</si>
  <si>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</si>
  <si>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</si>
  <si>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</si>
  <si>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</si>
  <si>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</si>
  <si>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</si>
  <si>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</si>
  <si>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</si>
  <si>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</si>
  <si>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</si>
  <si>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</si>
  <si>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</si>
  <si>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</si>
  <si>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</si>
  <si>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</si>
  <si>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</si>
  <si>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</si>
  <si>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</si>
  <si>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</si>
  <si>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</si>
  <si>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</si>
  <si>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</si>
  <si>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</si>
  <si>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</si>
  <si>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</si>
  <si>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</si>
  <si>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</si>
  <si>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</si>
  <si>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</si>
  <si>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</si>
  <si>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</si>
  <si>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</si>
  <si>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</si>
  <si>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</si>
  <si>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</si>
  <si>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</si>
  <si>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</si>
  <si>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</si>
  <si>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</si>
  <si>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</si>
  <si>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</si>
  <si>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</si>
  <si>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</si>
  <si>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</si>
  <si>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</si>
  <si>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</si>
  <si>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</si>
  <si>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</si>
  <si>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</si>
  <si>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</si>
  <si>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</si>
  <si>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</si>
  <si>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</si>
  <si>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</si>
  <si>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</si>
  <si>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</si>
  <si>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</si>
  <si>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</si>
  <si>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</si>
  <si>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</si>
  <si>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</si>
  <si>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</si>
  <si>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</si>
  <si>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</si>
  <si>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</si>
  <si>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</si>
  <si>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</si>
  <si>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</si>
  <si>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</si>
  <si>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</si>
  <si>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</si>
  <si>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</si>
  <si>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</si>
  <si>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</si>
  <si>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</si>
  <si>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</si>
  <si>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</si>
  <si>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</si>
  <si>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</si>
  <si>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</si>
  <si>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</si>
  <si>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</si>
  <si>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</si>
  <si>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t xml:space="preserve">          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</si>
  <si>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</si>
  <si>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r>
      <t>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</si>
  <si>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</si>
  <si>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</si>
  <si>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</si>
  <si>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</si>
  <si>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</si>
  <si>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</si>
  <si>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</si>
  <si>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</si>
  <si>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</si>
  <si>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</si>
  <si>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</si>
  <si>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</si>
  <si>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</si>
  <si>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</si>
  <si>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</si>
  <si>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</si>
  <si>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</si>
  <si>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</si>
  <si>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</si>
  <si>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</si>
  <si>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</si>
  <si>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</si>
  <si>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</si>
  <si>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</si>
  <si>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</si>
  <si>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</si>
  <si>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</si>
  <si>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</si>
  <si>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</si>
  <si>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</si>
  <si>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</si>
  <si>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</si>
  <si>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</si>
  <si>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</si>
  <si>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</si>
  <si>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</si>
  <si>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</si>
  <si>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</si>
  <si>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</si>
  <si>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</si>
  <si>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</si>
  <si>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</si>
  <si>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</si>
  <si>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</si>
  <si>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</si>
  <si>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</si>
  <si>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</si>
  <si>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</si>
  <si>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</si>
  <si>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</si>
  <si>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</si>
  <si>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</si>
  <si>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</si>
  <si>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</si>
  <si>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</si>
  <si>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</si>
  <si>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</si>
  <si>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</si>
  <si>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</si>
  <si>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</si>
  <si>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</si>
  <si>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</si>
  <si>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</si>
  <si>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</si>
  <si>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</si>
  <si>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</si>
  <si>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</si>
  <si>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</si>
  <si>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</si>
  <si>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</si>
  <si>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</si>
  <si>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</si>
  <si>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</si>
  <si>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</si>
  <si>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</si>
  <si>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</si>
  <si>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</si>
  <si>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</si>
  <si>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</si>
  <si>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</si>
  <si>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</si>
  <si>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</si>
  <si>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</si>
  <si>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</si>
  <si>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</si>
  <si>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</si>
  <si>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</si>
  <si>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</si>
  <si>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</si>
  <si>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</si>
  <si>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</si>
  <si>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</si>
  <si>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</si>
  <si>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</si>
  <si>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</si>
  <si>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</si>
  <si>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</si>
  <si>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</si>
  <si>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</si>
  <si>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</si>
  <si>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</si>
  <si>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</si>
  <si>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</si>
  <si>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</si>
  <si>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</si>
  <si>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</si>
  <si>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</si>
  <si>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</si>
  <si>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</si>
  <si>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</si>
  <si>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</si>
  <si>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</si>
  <si>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</si>
  <si>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</si>
  <si>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</si>
  <si>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</si>
  <si>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</si>
  <si>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</si>
  <si>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</si>
  <si>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</si>
  <si>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</si>
  <si>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</si>
  <si>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</si>
  <si>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</si>
  <si>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</si>
  <si>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</si>
  <si>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</si>
  <si>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</si>
  <si>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</si>
  <si>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</si>
  <si>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</si>
  <si>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</si>
  <si>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</si>
  <si>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</si>
  <si>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</si>
  <si>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</si>
  <si>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</si>
  <si>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</si>
  <si>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</si>
  <si>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</si>
  <si>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</si>
  <si>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</si>
  <si>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</si>
  <si>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</si>
  <si>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</si>
  <si>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</si>
  <si>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</si>
  <si>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</si>
  <si>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</si>
  <si>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</si>
  <si>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</si>
  <si>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</si>
  <si>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</si>
  <si>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</si>
  <si>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</si>
  <si>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</si>
  <si>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</si>
  <si>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</si>
  <si>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</si>
  <si>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</si>
  <si>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</si>
  <si>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</si>
  <si>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</si>
  <si>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</si>
  <si>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</si>
  <si>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</si>
  <si>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</si>
  <si>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</si>
  <si>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</si>
  <si>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</si>
  <si>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</si>
  <si>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</si>
  <si>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</si>
  <si>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</si>
  <si>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</si>
  <si>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</si>
  <si>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</si>
  <si>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</si>
  <si>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</si>
  <si>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</si>
  <si>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</si>
  <si>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</si>
  <si>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</si>
  <si>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</si>
  <si>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</si>
  <si>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</si>
  <si>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</si>
  <si>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</si>
  <si>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</si>
  <si>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</si>
  <si>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</si>
  <si>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</si>
  <si>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</si>
  <si>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</si>
  <si>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</si>
  <si>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</si>
  <si>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</si>
  <si>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</si>
  <si>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</si>
  <si>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</si>
  <si>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</si>
  <si>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</si>
  <si>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</si>
  <si>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</si>
  <si>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</si>
  <si>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</si>
  <si>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</si>
  <si>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</si>
  <si>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</si>
  <si>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</si>
  <si>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</si>
  <si>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</si>
  <si>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</si>
  <si>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</si>
  <si>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</si>
  <si>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</si>
  <si>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</si>
  <si>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</si>
  <si>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</si>
  <si>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</si>
  <si>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</si>
  <si>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</si>
  <si>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</si>
  <si>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</si>
  <si>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</si>
  <si>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</si>
  <si>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</si>
  <si>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</si>
  <si>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</si>
  <si>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</si>
  <si>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</si>
  <si>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</si>
  <si>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</si>
  <si>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</si>
  <si>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</si>
  <si>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</si>
  <si>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</si>
  <si>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</si>
  <si>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</si>
  <si>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</si>
  <si>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</si>
  <si>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</si>
  <si>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</si>
  <si>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</si>
  <si>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</si>
  <si>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</si>
  <si>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</si>
  <si>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</si>
  <si>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</si>
  <si>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</si>
  <si>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</si>
  <si>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</si>
  <si>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</si>
  <si>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</si>
  <si>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</si>
  <si>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</si>
  <si>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</si>
  <si>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</si>
  <si>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</si>
  <si>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</si>
  <si>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</si>
  <si>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</si>
  <si>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</si>
  <si>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</si>
  <si>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</si>
  <si>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</si>
  <si>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</si>
  <si>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</si>
  <si>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</si>
  <si>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</si>
  <si>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</si>
  <si>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</si>
  <si>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</si>
  <si>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</si>
  <si>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</si>
  <si>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</si>
  <si>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</si>
  <si>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</si>
  <si>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</si>
  <si>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</si>
  <si>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</si>
  <si>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</si>
  <si>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</si>
  <si>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</si>
  <si>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</si>
  <si>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</si>
  <si>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</si>
  <si>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</si>
  <si>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</si>
  <si>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</si>
  <si>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</si>
  <si>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</si>
  <si>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</si>
  <si>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</si>
  <si>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</si>
  <si>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</si>
  <si>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</si>
  <si>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</si>
  <si>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</si>
  <si>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</si>
  <si>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</si>
  <si>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</si>
  <si>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</si>
  <si>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</si>
  <si>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</si>
  <si>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</si>
  <si>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</si>
  <si>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</si>
  <si>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</si>
  <si>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</si>
  <si>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</si>
  <si>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</si>
  <si>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</si>
  <si>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</si>
  <si>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</si>
  <si>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</si>
  <si>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</si>
  <si>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</si>
  <si>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</si>
  <si>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</si>
  <si>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</si>
  <si>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</si>
  <si>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</si>
  <si>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</si>
  <si>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</si>
  <si>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</si>
  <si>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</si>
  <si>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</si>
  <si>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</si>
  <si>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</si>
  <si>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</si>
  <si>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</si>
  <si>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</si>
  <si>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</si>
  <si>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</si>
  <si>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</si>
  <si>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</si>
  <si>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</si>
  <si>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</si>
  <si>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</si>
  <si>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</si>
  <si>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</si>
  <si>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</si>
  <si>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</si>
  <si>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</si>
  <si>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</si>
  <si>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</si>
  <si>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</si>
  <si>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</si>
  <si>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</si>
  <si>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</si>
  <si>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</si>
  <si>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</si>
  <si>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</si>
  <si>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</si>
  <si>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</si>
  <si>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</si>
  <si>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</si>
  <si>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</si>
  <si>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</si>
  <si>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</si>
  <si>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</si>
  <si>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</si>
  <si>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</si>
  <si>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</si>
  <si>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</si>
  <si>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</si>
  <si>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</si>
  <si>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</si>
  <si>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</si>
  <si>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</si>
  <si>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</si>
  <si>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</si>
  <si>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</si>
  <si>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</si>
  <si>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</si>
  <si>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</si>
  <si>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</si>
  <si>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</si>
  <si>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</si>
  <si>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</si>
  <si>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</si>
  <si>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</si>
  <si>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</si>
  <si>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</si>
  <si>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</si>
  <si>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</si>
  <si>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</si>
  <si>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</si>
  <si>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</si>
  <si>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</si>
  <si>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</si>
  <si>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</si>
  <si>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</si>
  <si>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</si>
  <si>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</si>
  <si>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</si>
  <si>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</si>
  <si>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</si>
  <si>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</si>
  <si>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</si>
  <si>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</si>
  <si>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</si>
  <si>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</si>
  <si>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</si>
  <si>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</si>
  <si>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</si>
  <si>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</si>
  <si>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</si>
  <si>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</si>
  <si>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</si>
  <si>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</si>
  <si>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</si>
  <si>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</si>
  <si>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</si>
  <si>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</si>
  <si>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</si>
  <si>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</si>
  <si>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</si>
  <si>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</si>
  <si>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</si>
  <si>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</si>
  <si>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</si>
  <si>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</si>
  <si>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</si>
  <si>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</si>
  <si>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</si>
  <si>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</si>
  <si>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</si>
  <si>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</si>
  <si>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</si>
  <si>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</si>
  <si>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</si>
  <si>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</si>
  <si>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</si>
  <si>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</si>
  <si>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</si>
  <si>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</si>
  <si>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</si>
  <si>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</si>
  <si>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</si>
  <si>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</si>
  <si>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</si>
  <si>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</si>
  <si>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</si>
  <si>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</si>
  <si>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</si>
  <si>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</si>
  <si>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</si>
  <si>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</si>
  <si>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</si>
  <si>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</si>
  <si>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</si>
  <si>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</si>
  <si>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</si>
  <si>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</si>
  <si>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</si>
  <si>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</si>
  <si>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</si>
  <si>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</si>
  <si>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</si>
  <si>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</si>
  <si>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</si>
  <si>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</si>
  <si>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</si>
  <si>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</si>
  <si>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</si>
  <si>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</si>
  <si>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</si>
  <si>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</si>
  <si>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</si>
  <si>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</si>
  <si>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</si>
  <si>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</si>
  <si>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</si>
  <si>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</si>
  <si>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</si>
  <si>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</si>
  <si>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</si>
  <si>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</si>
  <si>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</si>
  <si>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</si>
  <si>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</si>
  <si>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</si>
  <si>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</si>
  <si>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</si>
  <si>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</si>
  <si>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</si>
  <si>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</si>
  <si>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</si>
  <si>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</si>
  <si>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</si>
  <si>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</si>
  <si>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</si>
  <si>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</si>
  <si>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</si>
  <si>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</si>
  <si>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</si>
  <si>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</si>
  <si>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</si>
  <si>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</si>
  <si>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</si>
  <si>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</si>
  <si>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</si>
  <si>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</si>
  <si>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</si>
  <si>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</si>
  <si>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</si>
  <si>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</si>
  <si>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</si>
  <si>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</si>
  <si>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</si>
  <si>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</si>
  <si>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</si>
  <si>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</si>
  <si>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</si>
  <si>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</si>
  <si>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</si>
  <si>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</si>
  <si>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</si>
  <si>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</si>
  <si>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</si>
  <si>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</si>
  <si>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</si>
  <si>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</si>
  <si>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</si>
  <si>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</si>
  <si>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</si>
  <si>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</si>
  <si>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</si>
  <si>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</si>
  <si>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</si>
  <si>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</si>
  <si>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</si>
  <si>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</si>
  <si>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</si>
  <si>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</si>
  <si>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</si>
  <si>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</si>
  <si>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</si>
  <si>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</si>
  <si>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</si>
  <si>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</si>
  <si>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</si>
  <si>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</si>
  <si>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</si>
  <si>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</si>
  <si>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</si>
  <si>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</si>
  <si>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</si>
  <si>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</si>
  <si>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</si>
  <si>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</si>
  <si>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</si>
  <si>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</si>
  <si>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</si>
  <si>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</si>
  <si>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</si>
  <si>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</si>
  <si>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</si>
  <si>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</si>
  <si>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</si>
  <si>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</si>
  <si>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</si>
  <si>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</si>
  <si>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</si>
  <si>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</si>
  <si>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</si>
  <si>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</si>
  <si>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</si>
  <si>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</si>
  <si>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</si>
  <si>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</si>
  <si>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</si>
  <si>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</si>
  <si>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</si>
  <si>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</si>
  <si>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</si>
  <si>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</si>
  <si>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</si>
  <si>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</si>
  <si>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</si>
  <si>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</si>
  <si>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</si>
  <si>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</si>
  <si>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</si>
  <si>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</si>
  <si>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</si>
  <si>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</si>
  <si>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</si>
  <si>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</si>
  <si>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</si>
  <si>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</si>
  <si>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</si>
  <si>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</si>
  <si>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</si>
  <si>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</si>
  <si>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</si>
  <si>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</si>
  <si>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</si>
  <si>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</si>
  <si>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</si>
  <si>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</si>
  <si>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</si>
  <si>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</si>
  <si>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</si>
  <si>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</si>
  <si>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</si>
  <si>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</si>
  <si>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</si>
  <si>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</si>
  <si>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</si>
  <si>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</si>
  <si>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</si>
  <si>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</si>
  <si>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</si>
  <si>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</si>
  <si>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</si>
  <si>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</si>
  <si>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</si>
  <si>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</si>
  <si>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</si>
  <si>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</si>
  <si>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</si>
  <si>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</si>
  <si>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</si>
  <si>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</si>
  <si>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</si>
  <si>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</si>
  <si>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</si>
  <si>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</si>
  <si>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</si>
  <si>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</si>
  <si>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</si>
  <si>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</si>
  <si>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</si>
  <si>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</si>
  <si>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</si>
  <si>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</si>
  <si>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</si>
  <si>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</si>
  <si>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</si>
  <si>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</si>
  <si>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</si>
  <si>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</si>
  <si>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</si>
  <si>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</si>
  <si>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</si>
  <si>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</si>
  <si>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</si>
  <si>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</si>
  <si>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</si>
  <si>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</si>
  <si>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</si>
  <si>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</si>
  <si>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</si>
  <si>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</si>
  <si>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</si>
  <si>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</si>
  <si>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</si>
  <si>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</si>
  <si>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</si>
  <si>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</si>
  <si>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</si>
  <si>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</si>
  <si>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</si>
  <si>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</si>
  <si>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</si>
  <si>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</si>
  <si>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</si>
  <si>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</si>
  <si>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</si>
  <si>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</si>
  <si>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</si>
  <si>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</si>
  <si>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</si>
  <si>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</si>
  <si>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</si>
  <si>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</si>
  <si>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</si>
  <si>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</si>
  <si>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</si>
  <si>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</si>
  <si>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</si>
  <si>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</si>
  <si>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</si>
  <si>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</si>
  <si>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</si>
  <si>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</si>
  <si>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</si>
  <si>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</si>
  <si>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</si>
  <si>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</si>
  <si>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</si>
  <si>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</si>
  <si>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</si>
  <si>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</si>
  <si>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</si>
  <si>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</si>
  <si>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</si>
  <si>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</si>
  <si>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</si>
  <si>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</si>
  <si>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</si>
  <si>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</si>
  <si>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</si>
  <si>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</si>
  <si>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</si>
  <si>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</si>
  <si>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</si>
  <si>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</si>
  <si>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</si>
  <si>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color indexed="16"/>
        <rFont val="Times New Roman CYR"/>
      </rPr>
      <t xml:space="preserve"> </t>
    </r>
    <r>
      <rPr>
        <sz val="12"/>
        <color indexed="62"/>
        <rFont val="Times New Roman CYR"/>
        <family val="1"/>
      </rPr>
      <t>п</t>
    </r>
    <r>
      <rPr>
        <sz val="12"/>
        <color indexed="18"/>
        <rFont val="Times New Roman CYR"/>
      </rPr>
      <t>ри трансформирането</t>
    </r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</si>
  <si>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</si>
  <si>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</si>
  <si>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</si>
  <si>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</si>
  <si>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</si>
  <si>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</si>
  <si>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</si>
  <si>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</si>
  <si>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</si>
  <si>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се попълват данните за средствата по други международни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</si>
  <si>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</si>
  <si>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</si>
  <si>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</si>
  <si>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</si>
  <si>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</si>
  <si>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</si>
  <si>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</si>
  <si>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</si>
  <si>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</si>
  <si>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</si>
  <si>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</si>
  <si>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</si>
  <si>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</si>
  <si>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</si>
  <si>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</si>
  <si>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</si>
  <si>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</si>
  <si>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</si>
  <si>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</si>
  <si>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</si>
  <si>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</si>
  <si>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</si>
  <si>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</si>
  <si>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</si>
  <si>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</si>
  <si>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</si>
  <si>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</si>
  <si>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</si>
  <si>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</si>
  <si>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</si>
  <si>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</si>
  <si>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</si>
  <si>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</si>
  <si>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</si>
  <si>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</si>
  <si>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</si>
  <si>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</si>
  <si>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</si>
  <si>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</si>
  <si>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</si>
  <si>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</si>
  <si>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</si>
  <si>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</si>
  <si>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</si>
  <si>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</si>
  <si>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</si>
  <si>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</si>
  <si>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</si>
  <si>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</si>
  <si>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</si>
  <si>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</si>
  <si>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</si>
  <si>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</si>
  <si>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</si>
  <si>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</si>
  <si>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</si>
  <si>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</si>
  <si>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</si>
  <si>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</si>
  <si>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</si>
  <si>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</si>
  <si>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</si>
  <si>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</si>
  <si>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</si>
  <si>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</si>
  <si>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</si>
  <si>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</si>
  <si>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</si>
  <si>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</si>
  <si>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</si>
  <si>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</si>
  <si>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</si>
  <si>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</si>
  <si>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</si>
  <si>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</si>
  <si>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</si>
  <si>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</si>
  <si>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</si>
  <si>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</si>
  <si>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</si>
  <si>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</si>
  <si>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</si>
  <si>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</si>
  <si>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</si>
  <si>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</si>
  <si>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</si>
  <si>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</si>
  <si>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</si>
  <si>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</si>
  <si>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</si>
  <si>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</si>
  <si>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</si>
  <si>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</si>
  <si>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</si>
  <si>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</si>
  <si>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</si>
  <si>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</si>
  <si>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</si>
  <si>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</si>
  <si>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</si>
  <si>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</si>
  <si>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</si>
  <si>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</si>
  <si>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</si>
  <si>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</si>
  <si>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</si>
  <si>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</si>
  <si>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</si>
  <si>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</si>
  <si>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</si>
  <si>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</si>
  <si>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</si>
  <si>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</si>
  <si>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</si>
  <si>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</si>
  <si>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</si>
  <si>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r>
      <t xml:space="preserve">(виж </t>
    </r>
    <r>
      <rPr>
        <b/>
        <sz val="12"/>
        <color indexed="18"/>
        <rFont val="Times New Roman Cyr"/>
        <charset val="204"/>
      </rPr>
      <t>т. 68</t>
    </r>
    <r>
      <rPr>
        <sz val="12"/>
        <color indexed="18"/>
        <rFont val="Times New Roman CYR"/>
        <family val="1"/>
        <charset val="204"/>
      </rPr>
      <t xml:space="preserve"> и </t>
    </r>
    <r>
      <rPr>
        <b/>
        <sz val="12"/>
        <color indexed="18"/>
        <rFont val="Times New Roman Cyr"/>
        <charset val="204"/>
      </rPr>
      <t>69</t>
    </r>
    <r>
      <rPr>
        <sz val="12"/>
        <color indexed="18"/>
        <rFont val="Times New Roman CYR"/>
        <family val="1"/>
        <charset val="204"/>
      </rPr>
      <t xml:space="preserve"> по-долу)</t>
    </r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</si>
  <si>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</si>
  <si>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</si>
  <si>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</si>
  <si>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</si>
  <si>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</si>
  <si>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</si>
  <si>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</si>
  <si>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</si>
  <si>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</si>
  <si>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</si>
  <si>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</si>
  <si>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</si>
  <si>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</si>
  <si>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</si>
  <si>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</si>
  <si>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</si>
  <si>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</si>
  <si>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</si>
  <si>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</si>
  <si>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</si>
  <si>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</si>
  <si>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</si>
  <si>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</si>
  <si>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</si>
  <si>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</si>
  <si>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</si>
  <si>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</si>
  <si>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</si>
  <si>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</si>
  <si>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</si>
  <si>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</si>
  <si>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</si>
  <si>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</si>
  <si>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</si>
  <si>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</si>
  <si>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</si>
  <si>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</si>
  <si>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</si>
  <si>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</si>
  <si>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</si>
  <si>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</si>
  <si>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</si>
  <si>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</si>
  <si>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</si>
  <si>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</si>
  <si>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</si>
  <si>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</si>
  <si>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</si>
  <si>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</si>
  <si>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</si>
  <si>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</si>
  <si>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</si>
  <si>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</si>
  <si>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</si>
  <si>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</si>
  <si>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</si>
  <si>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</si>
  <si>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</si>
  <si>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</si>
  <si>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</si>
  <si>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</si>
  <si>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</si>
  <si>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</si>
  <si>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</si>
  <si>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</si>
  <si>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</si>
  <si>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</si>
  <si>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</si>
  <si>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</si>
  <si>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</si>
  <si>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</si>
  <si>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</si>
  <si>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</si>
  <si>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</si>
  <si>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</si>
  <si>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</si>
  <si>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</si>
  <si>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</si>
  <si>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</si>
  <si>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</si>
  <si>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</si>
  <si>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</si>
  <si>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</si>
  <si>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</si>
  <si>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</si>
  <si>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</si>
  <si>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</si>
  <si>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</si>
  <si>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</si>
  <si>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</si>
  <si>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</si>
  <si>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</si>
  <si>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</si>
  <si>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</si>
  <si>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</si>
  <si>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</si>
  <si>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</si>
  <si>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</si>
  <si>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</si>
  <si>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</si>
  <si>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</si>
  <si>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</si>
  <si>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</si>
  <si>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</si>
  <si>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</si>
  <si>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</si>
  <si>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</si>
  <si>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</si>
  <si>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</si>
  <si>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</si>
  <si>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</si>
  <si>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</si>
  <si>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</si>
  <si>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</si>
  <si>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</si>
  <si>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</si>
  <si>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</si>
  <si>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</si>
  <si>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</si>
  <si>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</si>
  <si>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</si>
  <si>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</si>
  <si>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</si>
  <si>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</si>
  <si>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</si>
  <si>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</si>
  <si>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</si>
  <si>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</si>
  <si>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</si>
  <si>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</si>
  <si>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</si>
  <si>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</si>
  <si>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</si>
  <si>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</si>
  <si>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</si>
  <si>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</si>
  <si>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</si>
  <si>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</si>
  <si>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</si>
  <si>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</si>
  <si>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</si>
  <si>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</si>
  <si>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</si>
  <si>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t>31 март 2021 г.</t>
  </si>
  <si>
    <t>30 юни 2021 г.</t>
  </si>
  <si>
    <t>30 септември 2021 г.</t>
  </si>
  <si>
    <t>31 декември 2021 г.</t>
  </si>
  <si>
    <t>31.01.2021 г.</t>
  </si>
  <si>
    <t>28.02.2021 г.</t>
  </si>
  <si>
    <t>30.04.2021 г.</t>
  </si>
  <si>
    <t>31.05.2021 г.</t>
  </si>
  <si>
    <t>31.07.2021 г.</t>
  </si>
  <si>
    <t>31.08.2021 г.</t>
  </si>
  <si>
    <t>31.10.2021 г.</t>
  </si>
  <si>
    <t>30.11.2021 г.</t>
  </si>
  <si>
    <t>Знакът "х" в някои полета от различните таблици означава, че в тях не следва да се въвеждат или</t>
  </si>
  <si>
    <t xml:space="preserve">за дълготрайни активи и материални запаси). Защрихованите в сиво полета със знак "х" в </t>
  </si>
  <si>
    <t>(например за сметка 7170) в отчетността на бюджетната организация.</t>
  </si>
  <si>
    <t>В тази таблица се маркира чрез избор от падащото меню в клетка K4 дали файлът, който се попълва,</t>
  </si>
  <si>
    <r>
      <t xml:space="preserve">Полетата за ръчно въвеждане на суми във всички таблици се попълват </t>
    </r>
    <r>
      <rPr>
        <i/>
        <sz val="12"/>
        <rFont val="Times New Roman Cyr"/>
        <family val="1"/>
        <charset val="204"/>
      </rPr>
      <t>в ЛЕВОВЕ със стотинки</t>
    </r>
    <r>
      <rPr>
        <sz val="12"/>
        <rFont val="Times New Roman CYR"/>
        <family val="1"/>
        <charset val="204"/>
      </rPr>
      <t>.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</si>
  <si>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</si>
  <si>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family val="1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family val="1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family val="1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</si>
  <si>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family val="1"/>
        <charset val="204"/>
      </rPr>
      <t>съответната</t>
    </r>
    <r>
      <rPr>
        <sz val="12"/>
        <rFont val="Times New Roman CYR"/>
        <family val="1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</si>
  <si>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charset val="204"/>
      </rPr>
      <t xml:space="preserve"> във файла, който ще се представя в МФ,</t>
    </r>
    <r>
      <rPr>
        <sz val="12"/>
        <color indexed="18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е равно на нула</t>
    </r>
    <r>
      <rPr>
        <sz val="12"/>
        <rFont val="Times New Roman CYR"/>
        <charset val="204"/>
      </rPr>
      <t>. Ако е налице такава</t>
    </r>
  </si>
  <si>
    <t xml:space="preserve">ситуация, ще се появи съответното съобщение в клетки N2 и/или N6, съпроводено със съобщение в </t>
  </si>
  <si>
    <t>в клетка N4/N8, че салдото трябва да е равно на нула и следва да се отстрани грешката, и със съобщение "ДА"</t>
  </si>
  <si>
    <t>в клетка P4/P8.</t>
  </si>
  <si>
    <r>
      <t xml:space="preserve">Тъй като в повечето случаи </t>
    </r>
    <r>
      <rPr>
        <i/>
        <sz val="12"/>
        <rFont val="Times New Roman Cyr"/>
        <family val="1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</si>
  <si>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family val="1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колони AK/AL, </t>
    </r>
  </si>
  <si>
    <r>
      <t xml:space="preserve">респективно в колони AO/AP, на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</si>
  <si>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t>съобщенията в клетки N2/N6, N4/N8 и P4/P8 ще изчезнат.</t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</si>
  <si>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family val="1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</si>
  <si>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family val="1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</si>
  <si>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t>(т.е. наличито на сума, различна от нула в нетното салдото не е грешка), тогава от клетка P4/P8 се избира "НE",</t>
  </si>
  <si>
    <t>в резултат на което ще се появи съответното съобщение в клетка R4/R8 и текстът "ДА" в клетка T4/T8,</t>
  </si>
  <si>
    <t>а съобщенията в клетки N2/N6, N4/N8 и P4/P8 ще изчезнат.</t>
  </si>
  <si>
    <t>За визуализираните съобщения в клетки N2/N6, N4/N8 и P4/P8 ще фигурира  съответното съобщение в таблици</t>
  </si>
  <si>
    <r>
      <t xml:space="preserve">грешката съгласно </t>
    </r>
    <r>
      <rPr>
        <b/>
        <sz val="12"/>
        <rFont val="Times New Roman CYR"/>
        <family val="1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family val="1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</si>
  <si>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</si>
  <si>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t>в интервала от клетки R21:R39, а за общините - и клетка B2.</t>
  </si>
  <si>
    <t>За визуализираните съобщения в клетки R21:R29 ще фигурират съответните съобщения в таблици</t>
  </si>
  <si>
    <r>
      <t>отчетна група</t>
    </r>
    <r>
      <rPr>
        <i/>
        <sz val="12"/>
        <rFont val="Times New Roman Cyr"/>
        <family val="1"/>
        <charset val="204"/>
      </rPr>
      <t xml:space="preserve"> "БЮДЖЕТ"</t>
    </r>
    <r>
      <rPr>
        <sz val="12"/>
        <rFont val="Times New Roman CYR"/>
        <family val="1"/>
        <charset val="204"/>
      </rPr>
      <t xml:space="preserve"> и отчетна група </t>
    </r>
    <r>
      <rPr>
        <i/>
        <sz val="12"/>
        <rFont val="Times New Roman Cyr"/>
        <family val="1"/>
        <charset val="204"/>
      </rPr>
      <t>"Други сметки и дейности" (ДСД)</t>
    </r>
    <r>
      <rPr>
        <sz val="12"/>
        <rFont val="Times New Roman CYR"/>
        <family val="1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</si>
  <si>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family val="1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</si>
  <si>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  <charset val="204"/>
      </rPr>
      <t>не се въвеждат</t>
    </r>
    <r>
      <rPr>
        <i/>
        <u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- те се получават автоматично</t>
    </r>
  </si>
  <si>
    <t>на сборен баланс и оборотна ведомост, текстовете /с б о р е н/ и /СБОРНА/ може да се изтрият.</t>
  </si>
  <si>
    <t>Редове 13 и 890 за съответните колони показват сумата на дебитните и кредитните салда и обороти.</t>
  </si>
  <si>
    <t>Ред 829 за съответните колони показва сумата на дебитните и кредитните салда и обороти</t>
  </si>
  <si>
    <t>на сметките от раздели 1 - 7, а ред 888 - съответните суми от раздел 9.</t>
  </si>
  <si>
    <t>При постигнато равнение съответните полета на редове 2 и 4 ще показват състояние "О К".</t>
  </si>
  <si>
    <r>
      <rPr>
        <sz val="12"/>
        <rFont val="Times New Roman CYR"/>
        <charset val="204"/>
      </rPr>
      <t>При неравнение на данните, в тези полета на червен 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</si>
  <si>
    <t>въвеждането на данните ще се покаже текстът "О К"). Тези контроли идентифицират само неравнението</t>
  </si>
  <si>
    <t>В таблицата след колона "AI" ще фигурират обобщените данни от трите отчетни групи (стопански</t>
  </si>
  <si>
    <r>
      <rPr>
        <sz val="12"/>
        <rFont val="Times New Roman CYR"/>
        <charset val="204"/>
      </rPr>
      <t>в таблицата след колона "AI"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 !"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в резултат от сумирането на данните</t>
    </r>
  </si>
  <si>
    <t>От ред 898 до ред 911 фигурират данни, необходими за баланса, които се получават автоматично</t>
  </si>
  <si>
    <t>в резултат на нанасяне на данни се окаже, че дадена сметка в БЮДЖЕТ и ДСД е с недопустимо  крайно салдо</t>
  </si>
  <si>
    <t>(например сметка за задължения да фигурира с крайно дебитно салдо), в колона AV (за БЮДЖЕТ), респективно</t>
  </si>
  <si>
    <t>в колона AX (за ДСД) на реда за съответната сметка ще се маркира неравнението (За СЕС подобни контроли</t>
  </si>
  <si>
    <t>разположени в колони AV:AX, редове 8:13 ще се визуализират събщения за брой грешни крайни салда</t>
  </si>
  <si>
    <t>и в клетка H13 (подобни съобщения ще се визуализират в клетки V10:V113 и клетка H13 и във всяка една</t>
  </si>
  <si>
    <t>В таблицата са заложени контроли (редове 78-92) за равнение на сумите, попълнени в справката,</t>
  </si>
  <si>
    <r>
      <t xml:space="preserve">1527 и 1528, 1917 и 1918, 1927 и 1928, и 4970, фигуриращи в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>.</t>
    </r>
  </si>
  <si>
    <r>
      <t>"НЕРАВНЕНИЕ !"</t>
    </r>
    <r>
      <rPr>
        <sz val="12"/>
        <rFont val="Times New Roman CYR"/>
        <charset val="204"/>
      </rPr>
      <t>, а на редове 78-92 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</si>
  <si>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family val="1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</si>
  <si>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при изготвяне на </t>
    </r>
    <r>
      <rPr>
        <i/>
        <u/>
        <sz val="12"/>
        <rFont val="Times New Roman CYR"/>
        <family val="1"/>
        <charset val="204"/>
      </rPr>
      <t>годишната</t>
    </r>
    <r>
      <rPr>
        <sz val="12"/>
        <rFont val="Times New Roman CYR"/>
        <family val="1"/>
        <charset val="204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</si>
  <si>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family val="1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</si>
  <si>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family val="1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</si>
  <si>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преди</t>
    </r>
    <r>
      <rPr>
        <sz val="12"/>
        <color indexed="62"/>
        <rFont val="Times New Roman CYR"/>
        <charset val="204"/>
      </rPr>
      <t xml:space="preserve"> </t>
    </r>
    <r>
      <rPr>
        <sz val="12"/>
        <rFont val="Times New Roman CYR"/>
        <charset val="204"/>
      </rPr>
      <t>приключвателните операции по сметките от раздели 6 и 7.</t>
    </r>
  </si>
  <si>
    <t>На редове 833 и 835 са заложени контроли за равнение с отчета за приходите и разходите</t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</si>
  <si>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</si>
  <si>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z val="12"/>
        <rFont val="Times New Roman CYR"/>
        <family val="1"/>
        <charset val="204"/>
      </rPr>
      <t>"Задбалансови активи"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"Задбалансовите пасиви"</t>
    </r>
    <r>
      <rPr>
        <sz val="12"/>
        <rFont val="Times New Roman CYR"/>
        <family val="1"/>
        <charset val="204"/>
      </rPr>
      <t xml:space="preserve">  се включват само условните</t>
    </r>
  </si>
  <si>
    <r>
      <rPr>
        <sz val="12"/>
        <rFont val="Times New Roman CYR"/>
        <charset val="204"/>
      </rPr>
      <t>активи и пасиви, а не салдата на всички задбалансови сметки. В тази връзка, в баланса</t>
    </r>
    <r>
      <rPr>
        <sz val="12"/>
        <color indexed="62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фигури-</t>
    </r>
  </si>
  <si>
    <r>
      <rPr>
        <i/>
        <u/>
        <sz val="12"/>
        <color indexed="10"/>
        <rFont val="Times New Roman CYR"/>
        <charset val="204"/>
      </rPr>
      <t>рат</t>
    </r>
    <r>
      <rPr>
        <sz val="12"/>
        <rFont val="Times New Roman CYR"/>
        <charset val="204"/>
      </rPr>
      <t xml:space="preserve"> данните за салдата на сметки от </t>
    </r>
    <r>
      <rPr>
        <b/>
        <sz val="12"/>
        <rFont val="Times New Roman CYR"/>
        <charset val="204"/>
      </rPr>
      <t>подгрупи 980, 986 991, 992 и 994</t>
    </r>
    <r>
      <rPr>
        <sz val="12"/>
        <rFont val="Times New Roman CYR"/>
        <charset val="204"/>
      </rPr>
      <t xml:space="preserve"> и </t>
    </r>
    <r>
      <rPr>
        <b/>
        <sz val="12"/>
        <rFont val="Times New Roman CYR"/>
        <charset val="204"/>
      </rPr>
      <t>сметки 9981 и 9989</t>
    </r>
    <r>
      <rPr>
        <sz val="12"/>
        <rFont val="Times New Roman CYR"/>
        <charset val="204"/>
      </rPr>
      <t>.</t>
    </r>
  </si>
  <si>
    <t>В таблиците са заложени контроли (редове 101-105) за равнение на сумите с оборотната ведомост</t>
  </si>
  <si>
    <r>
      <rPr>
        <sz val="12"/>
        <rFont val="Times New Roman CYR"/>
        <charset val="204"/>
      </rPr>
      <t>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</t>
    </r>
    <r>
      <rPr>
        <sz val="12"/>
        <rFont val="Times New Roman CYR"/>
        <charset val="204"/>
      </rPr>
      <t xml:space="preserve">". При коректно попълване на данните ще се показва  </t>
    </r>
    <r>
      <rPr>
        <sz val="12"/>
        <color indexed="16"/>
        <rFont val="Times New Roman CYR"/>
      </rPr>
      <t>"О К"</t>
    </r>
    <r>
      <rPr>
        <sz val="12"/>
        <rFont val="Times New Roman CYR"/>
        <charset val="204"/>
      </rPr>
      <t>.</t>
    </r>
  </si>
  <si>
    <r>
      <t xml:space="preserve">В случай на неравнение на данните за 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</rPr>
      <t xml:space="preserve"> </t>
    </r>
    <r>
      <rPr>
        <sz val="12"/>
        <rFont val="Times New Roman CYR"/>
      </rPr>
      <t>групи 10 и 11, въведени в</t>
    </r>
  </si>
  <si>
    <r>
      <t xml:space="preserve">таблица </t>
    </r>
    <r>
      <rPr>
        <i/>
        <sz val="12"/>
        <rFont val="Times New Roman CYR"/>
      </rPr>
      <t>'TRIAL-BALANCE'</t>
    </r>
    <r>
      <rPr>
        <sz val="12"/>
        <rFont val="Times New Roman CYR"/>
      </rPr>
      <t xml:space="preserve"> 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</si>
  <si>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rPr>
        <sz val="12"/>
        <rFont val="Times New Roman CYR"/>
        <charset val="204"/>
      </rPr>
      <t>съответните отчетни групи, на ред 64 в колоните за начален баланс ще се появи текста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"НЕРАВНЕНИЕ"</t>
    </r>
    <r>
      <rPr>
        <sz val="12"/>
        <color indexed="62"/>
        <rFont val="Times New Roman CYR"/>
        <charset val="204"/>
      </rPr>
      <t>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</si>
  <si>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</si>
  <si>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sz val="12"/>
        <rFont val="Times New Roman CYR"/>
        <charset val="204"/>
      </rPr>
      <t>Възможно е при коректно попълване на данните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family val="1"/>
        <charset val="204"/>
      </rPr>
      <t xml:space="preserve">"НЕРАВНЕНИЕ !" </t>
    </r>
    <r>
      <rPr>
        <sz val="12"/>
        <rFont val="Times New Roman CYR"/>
        <charset val="204"/>
      </rPr>
      <t>в таблица</t>
    </r>
  </si>
  <si>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и</t>
    </r>
    <r>
      <rPr>
        <i/>
        <sz val="12"/>
        <rFont val="Times New Roman Cyr"/>
        <family val="1"/>
        <charset val="204"/>
      </rPr>
      <t xml:space="preserve"> </t>
    </r>
  </si>
  <si>
    <r>
      <t>'Municipal-Bal'</t>
    </r>
    <r>
      <rPr>
        <sz val="12"/>
        <rFont val="Times New Roman CYR"/>
        <family val="1"/>
        <charset val="204"/>
      </rPr>
      <t>)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</si>
  <si>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  <family val="1"/>
        <charset val="204"/>
      </rPr>
      <t>което да е в резултат от закръгления на сумите</t>
    </r>
    <r>
      <rPr>
        <i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>при трансформирането</t>
    </r>
  </si>
  <si>
    <r>
      <t xml:space="preserve">в таблица </t>
    </r>
    <r>
      <rPr>
        <i/>
        <sz val="12"/>
        <rFont val="Times New Roman Cyr"/>
        <family val="1"/>
        <charset val="204"/>
      </rPr>
      <t>'Rounding'</t>
    </r>
    <r>
      <rPr>
        <sz val="12"/>
        <rFont val="Times New Roman CYR"/>
        <family val="1"/>
        <charset val="204"/>
      </rPr>
      <t>.</t>
    </r>
  </si>
  <si>
    <t>В таблиците са заложени контроли (редове 117-121) за равнение на отразената в отчета за приходите  и раз-</t>
  </si>
  <si>
    <t>ходите сума на изменението на нетните активи за периода (шифър 1000) с отчетената в баланса сума на то-</t>
  </si>
  <si>
    <t>зи показател (шифър 0403) и общия размер на салдата от сметки от раздел 6 и 7, отразени в оборотната ве-</t>
  </si>
  <si>
    <r>
      <t>домост за текущата година (таблица</t>
    </r>
    <r>
      <rPr>
        <i/>
        <sz val="12"/>
        <rFont val="Times New Roman Cyr"/>
        <family val="1"/>
        <charset val="204"/>
      </rPr>
      <t xml:space="preserve"> 'TRIAL-BALANCE'</t>
    </r>
    <r>
      <rPr>
        <sz val="12"/>
        <rFont val="Times New Roman CYR"/>
        <family val="1"/>
        <charset val="204"/>
      </rPr>
      <t>), съответно - в оборотната ведомост за предходната</t>
    </r>
  </si>
  <si>
    <r>
      <rPr>
        <sz val="12"/>
        <rFont val="Times New Roman CYR"/>
        <charset val="204"/>
      </rPr>
      <t>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>. При коректно попълване на данните ще се показва  "О К".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</si>
  <si>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</si>
  <si>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</rPr>
      <t>'Status'</t>
    </r>
    <r>
      <rPr>
        <sz val="12"/>
        <rFont val="Times New Roman CYR"/>
      </rPr>
      <t xml:space="preserve">    и</t>
    </r>
  </si>
  <si>
    <t>ните данни, който се изпраща на МФ. (При некоректно попълване се показват в колони "P" и "Q" съответните</t>
  </si>
  <si>
    <r>
      <rPr>
        <sz val="12"/>
        <rFont val="Times New Roman CYR"/>
        <charset val="204"/>
      </rPr>
      <t xml:space="preserve">Възможно е при коректно попълване на данните да се появи текстът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 xml:space="preserve"> в таблица</t>
    </r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</si>
  <si>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</si>
  <si>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t>изменението на нетните активи за периода (клетки A3, А59 и A128).</t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</si>
  <si>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</si>
  <si>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</si>
  <si>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</si>
  <si>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t>съобщение за неравнение в клетки A3, А59 и A128, заедно със съответните полета, в които да се въведе</t>
  </si>
  <si>
    <t>корекция за отстраняване на неравнението, разположени от колона "C" до колона "Q".</t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</si>
  <si>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</si>
  <si>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</si>
  <si>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</si>
  <si>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family val="1"/>
        <charset val="204"/>
      </rPr>
      <t xml:space="preserve"> "Шифър"</t>
    </r>
    <r>
      <rPr>
        <sz val="12"/>
        <rFont val="Times New Roman CYR"/>
        <family val="1"/>
        <charset val="204"/>
      </rPr>
      <t xml:space="preserve"> (разположена в колони "C", "G", "K", "O") чрез избор на съответния</t>
    </r>
  </si>
  <si>
    <r>
      <rPr>
        <sz val="12"/>
        <rFont val="Times New Roman CYR"/>
        <charset val="204"/>
      </rP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charset val="204"/>
      </rPr>
      <t xml:space="preserve"> числа в интервала </t>
    </r>
    <r>
      <rPr>
        <i/>
        <sz val="12"/>
        <color indexed="18"/>
        <rFont val="Times New Roman CYR"/>
        <charset val="204"/>
      </rPr>
      <t>[</t>
    </r>
    <r>
      <rPr>
        <i/>
        <sz val="12"/>
        <color indexed="10"/>
        <rFont val="Times New Roman CYR"/>
        <charset val="204"/>
      </rPr>
      <t>- 2</t>
    </r>
    <r>
      <rPr>
        <i/>
        <sz val="12"/>
        <color indexed="18"/>
        <rFont val="Times New Roman CYR"/>
        <charset val="204"/>
      </rPr>
      <t>;</t>
    </r>
    <r>
      <rPr>
        <i/>
        <sz val="12"/>
        <color indexed="12"/>
        <rFont val="Times New Roman Cyr"/>
        <charset val="204"/>
      </rPr>
      <t>+2</t>
    </r>
    <r>
      <rPr>
        <i/>
        <sz val="12"/>
        <color indexed="18"/>
        <rFont val="Times New Roman CYR"/>
        <charset val="204"/>
      </rPr>
      <t>]</t>
    </r>
    <r>
      <rPr>
        <sz val="12"/>
        <color indexed="18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</si>
  <si>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family val="1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</si>
  <si>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family val="1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</si>
  <si>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family val="1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</si>
  <si>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family val="1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family val="1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family val="1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</si>
  <si>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t>активи)  в клетки A3, А59 и A128, като клетките за попълване на числата за отстраняване на неравнението ще</t>
  </si>
  <si>
    <r>
      <t>В таблица  '</t>
    </r>
    <r>
      <rPr>
        <i/>
        <sz val="12"/>
        <rFont val="Times New Roman Cyr"/>
        <family val="1"/>
        <charset val="204"/>
      </rPr>
      <t>NF-KSF</t>
    </r>
    <r>
      <rPr>
        <sz val="12"/>
        <rFont val="Times New Roman CYR"/>
        <family val="1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</si>
  <si>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family val="1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2.1</t>
    </r>
    <r>
      <rPr>
        <sz val="12"/>
        <rFont val="Times New Roman CYR"/>
        <family val="1"/>
        <charset val="204"/>
      </rPr>
      <t xml:space="preserve">    от</t>
    </r>
  </si>
  <si>
    <r>
      <t>В таблица  '</t>
    </r>
    <r>
      <rPr>
        <i/>
        <sz val="12"/>
        <rFont val="Times New Roman Cyr"/>
        <family val="1"/>
        <charset val="204"/>
      </rPr>
      <t>RA</t>
    </r>
    <r>
      <rPr>
        <sz val="12"/>
        <rFont val="Times New Roman CYR"/>
        <family val="1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</si>
  <si>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family val="1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2.2</t>
    </r>
    <r>
      <rPr>
        <sz val="12"/>
        <rFont val="Times New Roman CYR"/>
        <family val="1"/>
        <charset val="204"/>
      </rPr>
      <t xml:space="preserve">    от</t>
    </r>
  </si>
  <si>
    <r>
      <rPr>
        <sz val="12"/>
        <rFont val="Times New Roman CYR"/>
        <charset val="204"/>
      </rPr>
      <t>и от съответните бенефициенти за тези средства. Тази таблица</t>
    </r>
    <r>
      <rPr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</rPr>
      <t>не се попълва</t>
    </r>
    <r>
      <rPr>
        <sz val="12"/>
        <rFont val="Times New Roman CYR"/>
        <charset val="204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</si>
  <si>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</si>
  <si>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</si>
  <si>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</si>
  <si>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>В таблица  '</t>
    </r>
    <r>
      <rPr>
        <i/>
        <sz val="12"/>
        <rFont val="Times New Roman CYR"/>
        <charset val="204"/>
      </rPr>
      <t>DES</t>
    </r>
    <r>
      <rPr>
        <sz val="12"/>
        <rFont val="Times New Roman CYR"/>
        <charset val="204"/>
      </rPr>
      <t xml:space="preserve">-TRIAL-BAL-2016' се попълват данните за всички други средства от Европейския съюз, </t>
    </r>
  </si>
  <si>
    <r>
      <t xml:space="preserve">съюз, посочени   в   </t>
    </r>
    <r>
      <rPr>
        <i/>
        <sz val="12"/>
        <rFont val="Times New Roman"/>
        <family val="1"/>
        <charset val="204"/>
      </rPr>
      <t>т. 2.3</t>
    </r>
    <r>
      <rPr>
        <sz val="12"/>
        <rFont val="Times New Roman CYR"/>
        <family val="1"/>
        <charset val="204"/>
      </rPr>
      <t xml:space="preserve">     от </t>
    </r>
  </si>
  <si>
    <r>
      <t xml:space="preserve">програми, посочени в  </t>
    </r>
    <r>
      <rPr>
        <i/>
        <sz val="12"/>
        <rFont val="Times New Roman"/>
        <family val="1"/>
        <charset val="204"/>
      </rPr>
      <t xml:space="preserve">т.  2.4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 2.5</t>
    </r>
    <r>
      <rPr>
        <sz val="12"/>
        <rFont val="Times New Roman CYR"/>
        <family val="1"/>
        <charset val="204"/>
      </rPr>
      <t xml:space="preserve">   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</si>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</sst>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0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ДДС № 01/&quot;0000&quot; г.).&quot;"/>
    <numFmt numFmtId="217" formatCode="&quot;ДДС № 01/&quot;0000&quot; г.) - &quot;"/>
    <numFmt numFmtId="218" formatCode="&quot;ДДС № 01/&quot;0000&quot; г.&quot;"/>
    <numFmt numFmtId="219" formatCode="&quot;'BALANCE-SHEET-&quot;0000&quot;-leva',&quot;"/>
    <numFmt numFmtId="220" formatCode="&quot;'BALANCE-SHEET-&quot;0000&quot;',&quot;"/>
    <numFmt numFmtId="221" formatCode="&quot;'Income-&quot;0000&quot;'.&quot;"/>
    <numFmt numFmtId="222" formatCode="&quot;'Income-&quot;0000&quot;-leva'  и&quot;"/>
    <numFmt numFmtId="223" formatCode="&quot;и    'BALANCE-SHEET-&quot;0000&quot;',&quot;"/>
    <numFmt numFmtId="224" formatCode="&quot;и    'BALANCE-SHEET-&quot;0000&quot;'&quot;"/>
    <numFmt numFmtId="225" formatCode="&quot;'Income-&quot;0000&quot;-leva'&quot;"/>
    <numFmt numFmtId="226" formatCode="&quot;'Municipal-Bal-&quot;0000&quot;!&quot;"/>
    <numFmt numFmtId="227" formatCode="&quot;Данни от &quot;0000&quot; г.&quot;"/>
    <numFmt numFmtId="228" formatCode="&quot;за &quot;0000&quot; - ВЪВЕДИ ДАННИТЕ!&quot;"/>
    <numFmt numFmtId="229" formatCode="&quot;ИЗМЕНЕНИЕ ЗА &quot;0000&quot; г.&quot;"/>
    <numFmt numFmtId="230" formatCode="&quot;Начално салдо за &quot;0000&quot; г.&quot;"/>
    <numFmt numFmtId="231" formatCode="&quot;Крайно салдо за &quot;0000&quot; г. = &quot;"/>
    <numFmt numFmtId="232" formatCode="&quot;НАЧАЛНО САЛДО &quot;0000&quot; г.&quot;"/>
    <numFmt numFmtId="233" formatCode="&quot;МАКЕТ за &quot;0000&quot; г.&quot;"/>
  </numFmts>
  <fonts count="373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9"/>
      <color indexed="60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sz val="12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b/>
      <sz val="12"/>
      <color indexed="22"/>
      <name val="Times New Roman CYR"/>
      <family val="1"/>
      <charset val="204"/>
    </font>
    <font>
      <sz val="12"/>
      <color indexed="16"/>
      <name val="Times New Roman CYR"/>
    </font>
    <font>
      <sz val="12"/>
      <color indexed="16"/>
      <name val="Times New Roman CYR"/>
      <charset val="204"/>
    </font>
    <font>
      <i/>
      <u/>
      <sz val="12"/>
      <color indexed="10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family val="1"/>
      <charset val="204"/>
    </font>
    <font>
      <sz val="12"/>
      <color indexed="10"/>
      <name val="Times New Roman CYR"/>
      <charset val="204"/>
    </font>
    <font>
      <sz val="12"/>
      <color indexed="62"/>
      <name val="Times New Roman CYR"/>
      <charset val="204"/>
    </font>
    <font>
      <sz val="12"/>
      <color indexed="20"/>
      <name val="Times New Roman CYR"/>
    </font>
    <font>
      <i/>
      <u/>
      <sz val="12"/>
      <name val="Times New Roman CYR"/>
    </font>
    <font>
      <i/>
      <sz val="12"/>
      <color indexed="16"/>
      <name val="Times New Roman CYR"/>
    </font>
    <font>
      <sz val="12"/>
      <color indexed="62"/>
      <name val="Times New Roman CYR"/>
      <family val="1"/>
    </font>
    <font>
      <i/>
      <u/>
      <sz val="12"/>
      <color indexed="10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i/>
      <sz val="12"/>
      <color indexed="12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i/>
      <u/>
      <sz val="12"/>
      <name val="Times New Roman CYR"/>
      <family val="1"/>
      <charset val="204"/>
    </font>
    <font>
      <i/>
      <sz val="12"/>
      <name val="Times New Roman CYR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sz val="12"/>
      <color rgb="FF000099"/>
      <name val="Times New Roman CYR"/>
      <family val="1"/>
      <charset val="204"/>
    </font>
    <font>
      <b/>
      <sz val="11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b/>
      <sz val="10"/>
      <color theme="0" tint="-0.249977111117893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b/>
      <sz val="10"/>
      <color theme="0" tint="-0.24994659260841701"/>
      <name val="Times New Roman"/>
      <family val="1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b/>
      <sz val="11"/>
      <color rgb="FFEEFEC6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1" fillId="0" borderId="0"/>
    <xf numFmtId="0" fontId="1" fillId="0" borderId="0"/>
    <xf numFmtId="0" fontId="220" fillId="0" borderId="0"/>
    <xf numFmtId="0" fontId="1" fillId="0" borderId="0"/>
    <xf numFmtId="0" fontId="21" fillId="0" borderId="0"/>
    <xf numFmtId="0" fontId="217" fillId="0" borderId="0"/>
    <xf numFmtId="0" fontId="22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268" fillId="0" borderId="0" applyNumberFormat="0" applyFill="0" applyBorder="0" applyAlignment="0" applyProtection="0"/>
  </cellStyleXfs>
  <cellXfs count="2652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9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9" applyNumberFormat="1" applyFont="1" applyFill="1" applyAlignment="1" applyProtection="1">
      <alignment horizontal="left" vertical="center"/>
    </xf>
    <xf numFmtId="38" fontId="6" fillId="2" borderId="0" xfId="9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8" applyFont="1" applyFill="1" applyProtection="1"/>
    <xf numFmtId="0" fontId="7" fillId="5" borderId="0" xfId="8" applyFont="1" applyFill="1" applyBorder="1" applyAlignment="1" applyProtection="1">
      <alignment horizontal="center"/>
    </xf>
    <xf numFmtId="0" fontId="22" fillId="5" borderId="0" xfId="8" applyFont="1" applyFill="1" applyProtection="1"/>
    <xf numFmtId="0" fontId="7" fillId="5" borderId="0" xfId="8" applyFont="1" applyFill="1" applyProtection="1"/>
    <xf numFmtId="0" fontId="7" fillId="2" borderId="0" xfId="8" applyFont="1" applyFill="1" applyProtection="1"/>
    <xf numFmtId="0" fontId="2" fillId="5" borderId="0" xfId="8" applyFont="1" applyFill="1" applyBorder="1" applyAlignment="1" applyProtection="1">
      <alignment horizontal="center"/>
    </xf>
    <xf numFmtId="164" fontId="3" fillId="5" borderId="0" xfId="9" applyNumberFormat="1" applyFont="1" applyFill="1" applyAlignment="1" applyProtection="1"/>
    <xf numFmtId="38" fontId="3" fillId="5" borderId="0" xfId="9" applyNumberFormat="1" applyFont="1" applyFill="1" applyProtection="1"/>
    <xf numFmtId="0" fontId="8" fillId="5" borderId="0" xfId="8" applyFont="1" applyFill="1" applyBorder="1" applyAlignment="1" applyProtection="1">
      <alignment horizontal="left"/>
    </xf>
    <xf numFmtId="0" fontId="8" fillId="5" borderId="48" xfId="8" applyFont="1" applyFill="1" applyBorder="1" applyAlignment="1" applyProtection="1">
      <alignment horizontal="left"/>
    </xf>
    <xf numFmtId="164" fontId="8" fillId="5" borderId="48" xfId="9" applyNumberFormat="1" applyFont="1" applyFill="1" applyBorder="1" applyAlignment="1" applyProtection="1">
      <alignment horizontal="left"/>
    </xf>
    <xf numFmtId="0" fontId="7" fillId="5" borderId="48" xfId="8" applyFont="1" applyFill="1" applyBorder="1" applyAlignment="1" applyProtection="1">
      <alignment horizontal="center"/>
    </xf>
    <xf numFmtId="38" fontId="15" fillId="5" borderId="0" xfId="9" applyNumberFormat="1" applyFont="1" applyFill="1" applyAlignment="1" applyProtection="1"/>
    <xf numFmtId="38" fontId="24" fillId="5" borderId="81" xfId="9" applyNumberFormat="1" applyFont="1" applyFill="1" applyBorder="1" applyAlignment="1" applyProtection="1">
      <alignment horizontal="center"/>
    </xf>
    <xf numFmtId="38" fontId="2" fillId="5" borderId="0" xfId="9" applyNumberFormat="1" applyFont="1" applyFill="1" applyAlignment="1" applyProtection="1">
      <alignment horizontal="left"/>
    </xf>
    <xf numFmtId="38" fontId="24" fillId="5" borderId="0" xfId="9" applyNumberFormat="1" applyFont="1" applyFill="1" applyAlignment="1" applyProtection="1">
      <alignment horizontal="center"/>
    </xf>
    <xf numFmtId="164" fontId="3" fillId="5" borderId="0" xfId="9" applyNumberFormat="1" applyFont="1" applyFill="1" applyBorder="1" applyAlignment="1" applyProtection="1"/>
    <xf numFmtId="0" fontId="12" fillId="5" borderId="82" xfId="8" applyFont="1" applyFill="1" applyBorder="1" applyAlignment="1" applyProtection="1">
      <alignment vertical="center"/>
    </xf>
    <xf numFmtId="164" fontId="3" fillId="5" borderId="83" xfId="9" applyNumberFormat="1" applyFont="1" applyFill="1" applyBorder="1" applyAlignment="1" applyProtection="1">
      <alignment vertical="center"/>
    </xf>
    <xf numFmtId="0" fontId="25" fillId="5" borderId="82" xfId="8" applyFont="1" applyFill="1" applyBorder="1" applyAlignment="1" applyProtection="1">
      <alignment vertical="center"/>
    </xf>
    <xf numFmtId="0" fontId="7" fillId="5" borderId="83" xfId="8" applyFont="1" applyFill="1" applyBorder="1" applyProtection="1"/>
    <xf numFmtId="164" fontId="3" fillId="5" borderId="84" xfId="9" applyNumberFormat="1" applyFont="1" applyFill="1" applyBorder="1" applyAlignment="1" applyProtection="1">
      <alignment horizontal="center" vertical="center"/>
    </xf>
    <xf numFmtId="38" fontId="2" fillId="5" borderId="8" xfId="9" applyNumberFormat="1" applyFont="1" applyFill="1" applyBorder="1" applyAlignment="1" applyProtection="1"/>
    <xf numFmtId="167" fontId="2" fillId="5" borderId="85" xfId="9" applyNumberFormat="1" applyFont="1" applyFill="1" applyBorder="1" applyAlignment="1" applyProtection="1">
      <alignment horizontal="center"/>
    </xf>
    <xf numFmtId="38" fontId="2" fillId="0" borderId="8" xfId="9" applyNumberFormat="1" applyFont="1" applyBorder="1" applyAlignment="1" applyProtection="1"/>
    <xf numFmtId="167" fontId="2" fillId="0" borderId="85" xfId="9" applyNumberFormat="1" applyFont="1" applyBorder="1" applyAlignment="1" applyProtection="1">
      <alignment horizontal="center"/>
    </xf>
    <xf numFmtId="164" fontId="3" fillId="0" borderId="86" xfId="9" applyNumberFormat="1" applyFont="1" applyBorder="1" applyAlignment="1" applyProtection="1"/>
    <xf numFmtId="38" fontId="3" fillId="0" borderId="8" xfId="9" applyNumberFormat="1" applyFont="1" applyBorder="1" applyAlignment="1" applyProtection="1"/>
    <xf numFmtId="167" fontId="3" fillId="0" borderId="85" xfId="9" applyNumberFormat="1" applyFont="1" applyBorder="1" applyAlignment="1" applyProtection="1">
      <alignment horizontal="center"/>
    </xf>
    <xf numFmtId="38" fontId="2" fillId="8" borderId="87" xfId="9" applyNumberFormat="1" applyFont="1" applyFill="1" applyBorder="1" applyAlignment="1" applyProtection="1"/>
    <xf numFmtId="167" fontId="2" fillId="8" borderId="88" xfId="9" applyNumberFormat="1" applyFont="1" applyFill="1" applyBorder="1" applyAlignment="1" applyProtection="1">
      <alignment horizontal="center"/>
    </xf>
    <xf numFmtId="38" fontId="6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/>
    </xf>
    <xf numFmtId="167" fontId="8" fillId="5" borderId="0" xfId="9" applyNumberFormat="1" applyFont="1" applyFill="1" applyBorder="1" applyAlignment="1" applyProtection="1">
      <alignment horizontal="center"/>
    </xf>
    <xf numFmtId="164" fontId="2" fillId="5" borderId="0" xfId="9" applyNumberFormat="1" applyFont="1" applyFill="1" applyBorder="1" applyAlignment="1" applyProtection="1"/>
    <xf numFmtId="38" fontId="2" fillId="0" borderId="8" xfId="9" applyNumberFormat="1" applyFont="1" applyFill="1" applyBorder="1" applyAlignment="1" applyProtection="1"/>
    <xf numFmtId="167" fontId="2" fillId="0" borderId="85" xfId="9" applyNumberFormat="1" applyFont="1" applyFill="1" applyBorder="1" applyAlignment="1" applyProtection="1">
      <alignment horizontal="center" vertical="center"/>
    </xf>
    <xf numFmtId="167" fontId="2" fillId="5" borderId="85" xfId="9" applyNumberFormat="1" applyFont="1" applyFill="1" applyBorder="1" applyAlignment="1" applyProtection="1">
      <alignment horizontal="center" vertical="center"/>
    </xf>
    <xf numFmtId="167" fontId="2" fillId="8" borderId="88" xfId="9" applyNumberFormat="1" applyFont="1" applyFill="1" applyBorder="1" applyAlignment="1" applyProtection="1">
      <alignment horizontal="center" vertical="center"/>
    </xf>
    <xf numFmtId="167" fontId="2" fillId="0" borderId="85" xfId="9" applyNumberFormat="1" applyFont="1" applyBorder="1" applyAlignment="1" applyProtection="1">
      <alignment horizontal="center" vertical="center"/>
    </xf>
    <xf numFmtId="167" fontId="2" fillId="9" borderId="88" xfId="9" applyNumberFormat="1" applyFont="1" applyFill="1" applyBorder="1" applyAlignment="1" applyProtection="1">
      <alignment horizontal="center" vertical="center"/>
    </xf>
    <xf numFmtId="38" fontId="2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/>
    <xf numFmtId="0" fontId="15" fillId="5" borderId="0" xfId="8" applyFont="1" applyFill="1" applyProtection="1"/>
    <xf numFmtId="164" fontId="3" fillId="5" borderId="0" xfId="9" applyNumberFormat="1" applyFont="1" applyFill="1" applyProtection="1"/>
    <xf numFmtId="166" fontId="30" fillId="5" borderId="0" xfId="9" applyNumberFormat="1" applyFont="1" applyFill="1" applyProtection="1"/>
    <xf numFmtId="164" fontId="2" fillId="5" borderId="0" xfId="9" applyNumberFormat="1" applyFont="1" applyFill="1" applyProtection="1"/>
    <xf numFmtId="38" fontId="2" fillId="5" borderId="0" xfId="9" applyNumberFormat="1" applyFont="1" applyFill="1" applyAlignment="1" applyProtection="1">
      <alignment horizontal="right"/>
    </xf>
    <xf numFmtId="0" fontId="7" fillId="5" borderId="48" xfId="8" applyFont="1" applyFill="1" applyBorder="1" applyProtection="1"/>
    <xf numFmtId="164" fontId="3" fillId="2" borderId="0" xfId="9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9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9" applyNumberFormat="1" applyFont="1" applyFill="1" applyBorder="1" applyAlignment="1" applyProtection="1"/>
    <xf numFmtId="0" fontId="7" fillId="5" borderId="0" xfId="8" applyFont="1" applyFill="1" applyBorder="1" applyProtection="1"/>
    <xf numFmtId="164" fontId="8" fillId="5" borderId="0" xfId="9" applyNumberFormat="1" applyFont="1" applyFill="1" applyBorder="1" applyAlignment="1" applyProtection="1">
      <alignment horizontal="left"/>
    </xf>
    <xf numFmtId="38" fontId="6" fillId="5" borderId="48" xfId="9" applyNumberFormat="1" applyFont="1" applyFill="1" applyBorder="1" applyAlignment="1" applyProtection="1">
      <alignment horizontal="left"/>
    </xf>
    <xf numFmtId="168" fontId="3" fillId="0" borderId="86" xfId="9" applyNumberFormat="1" applyFont="1" applyBorder="1" applyAlignment="1" applyProtection="1"/>
    <xf numFmtId="168" fontId="2" fillId="0" borderId="91" xfId="9" applyNumberFormat="1" applyFont="1" applyBorder="1" applyAlignment="1" applyProtection="1"/>
    <xf numFmtId="168" fontId="3" fillId="5" borderId="0" xfId="9" applyNumberFormat="1" applyFont="1" applyFill="1" applyAlignment="1" applyProtection="1"/>
    <xf numFmtId="168" fontId="3" fillId="8" borderId="92" xfId="9" applyNumberFormat="1" applyFont="1" applyFill="1" applyBorder="1" applyAlignment="1" applyProtection="1"/>
    <xf numFmtId="168" fontId="2" fillId="8" borderId="93" xfId="9" applyNumberFormat="1" applyFont="1" applyFill="1" applyBorder="1" applyAlignment="1" applyProtection="1"/>
    <xf numFmtId="168" fontId="2" fillId="5" borderId="0" xfId="9" applyNumberFormat="1" applyFont="1" applyFill="1" applyBorder="1" applyAlignment="1" applyProtection="1"/>
    <xf numFmtId="168" fontId="3" fillId="5" borderId="0" xfId="9" applyNumberFormat="1" applyFont="1" applyFill="1" applyBorder="1" applyAlignment="1" applyProtection="1"/>
    <xf numFmtId="168" fontId="2" fillId="0" borderId="94" xfId="9" applyNumberFormat="1" applyFont="1" applyBorder="1" applyAlignment="1" applyProtection="1"/>
    <xf numFmtId="168" fontId="2" fillId="8" borderId="95" xfId="9" applyNumberFormat="1" applyFont="1" applyFill="1" applyBorder="1" applyAlignment="1" applyProtection="1"/>
    <xf numFmtId="1" fontId="3" fillId="5" borderId="0" xfId="9" applyNumberFormat="1" applyFont="1" applyFill="1" applyAlignment="1" applyProtection="1"/>
    <xf numFmtId="168" fontId="3" fillId="2" borderId="96" xfId="9" applyNumberFormat="1" applyFont="1" applyFill="1" applyBorder="1" applyAlignment="1" applyProtection="1"/>
    <xf numFmtId="168" fontId="2" fillId="2" borderId="97" xfId="9" applyNumberFormat="1" applyFont="1" applyFill="1" applyBorder="1" applyAlignment="1" applyProtection="1"/>
    <xf numFmtId="0" fontId="2" fillId="10" borderId="0" xfId="8" applyFont="1" applyFill="1" applyProtection="1"/>
    <xf numFmtId="0" fontId="7" fillId="10" borderId="0" xfId="8" applyFont="1" applyFill="1" applyBorder="1" applyAlignment="1" applyProtection="1">
      <alignment horizontal="center"/>
    </xf>
    <xf numFmtId="0" fontId="22" fillId="10" borderId="0" xfId="8" applyFont="1" applyFill="1" applyProtection="1"/>
    <xf numFmtId="0" fontId="7" fillId="10" borderId="0" xfId="8" applyFont="1" applyFill="1" applyProtection="1"/>
    <xf numFmtId="164" fontId="3" fillId="10" borderId="0" xfId="9" applyNumberFormat="1" applyFont="1" applyFill="1" applyAlignment="1" applyProtection="1"/>
    <xf numFmtId="38" fontId="3" fillId="10" borderId="0" xfId="9" applyNumberFormat="1" applyFont="1" applyFill="1" applyProtection="1"/>
    <xf numFmtId="0" fontId="7" fillId="10" borderId="48" xfId="8" applyFont="1" applyFill="1" applyBorder="1" applyAlignment="1" applyProtection="1">
      <alignment horizontal="center"/>
    </xf>
    <xf numFmtId="38" fontId="23" fillId="10" borderId="48" xfId="9" applyNumberFormat="1" applyFont="1" applyFill="1" applyBorder="1" applyAlignment="1" applyProtection="1">
      <alignment horizontal="left"/>
    </xf>
    <xf numFmtId="38" fontId="24" fillId="8" borderId="81" xfId="9" applyNumberFormat="1" applyFont="1" applyFill="1" applyBorder="1" applyAlignment="1" applyProtection="1">
      <alignment horizontal="center"/>
    </xf>
    <xf numFmtId="164" fontId="3" fillId="8" borderId="0" xfId="9" applyNumberFormat="1" applyFont="1" applyFill="1" applyAlignment="1" applyProtection="1"/>
    <xf numFmtId="38" fontId="2" fillId="8" borderId="0" xfId="9" applyNumberFormat="1" applyFont="1" applyFill="1" applyAlignment="1" applyProtection="1">
      <alignment horizontal="left"/>
    </xf>
    <xf numFmtId="38" fontId="24" fillId="8" borderId="0" xfId="9" applyNumberFormat="1" applyFont="1" applyFill="1" applyAlignment="1" applyProtection="1">
      <alignment horizontal="center"/>
    </xf>
    <xf numFmtId="0" fontId="7" fillId="8" borderId="0" xfId="8" applyFont="1" applyFill="1" applyProtection="1"/>
    <xf numFmtId="164" fontId="3" fillId="8" borderId="0" xfId="9" applyNumberFormat="1" applyFont="1" applyFill="1" applyBorder="1" applyAlignment="1" applyProtection="1"/>
    <xf numFmtId="38" fontId="2" fillId="8" borderId="0" xfId="9" applyNumberFormat="1" applyFont="1" applyFill="1" applyBorder="1" applyAlignment="1" applyProtection="1"/>
    <xf numFmtId="0" fontId="8" fillId="8" borderId="0" xfId="8" applyFont="1" applyFill="1" applyProtection="1"/>
    <xf numFmtId="0" fontId="15" fillId="8" borderId="0" xfId="8" applyFont="1" applyFill="1" applyProtection="1"/>
    <xf numFmtId="164" fontId="3" fillId="8" borderId="0" xfId="9" applyNumberFormat="1" applyFont="1" applyFill="1" applyProtection="1"/>
    <xf numFmtId="38" fontId="3" fillId="8" borderId="0" xfId="9" applyNumberFormat="1" applyFont="1" applyFill="1" applyProtection="1"/>
    <xf numFmtId="166" fontId="30" fillId="8" borderId="0" xfId="9" applyNumberFormat="1" applyFont="1" applyFill="1" applyProtection="1"/>
    <xf numFmtId="38" fontId="2" fillId="8" borderId="0" xfId="9" applyNumberFormat="1" applyFont="1" applyFill="1" applyAlignment="1" applyProtection="1">
      <alignment horizontal="right"/>
    </xf>
    <xf numFmtId="0" fontId="7" fillId="8" borderId="48" xfId="8" applyFont="1" applyFill="1" applyBorder="1" applyProtection="1"/>
    <xf numFmtId="0" fontId="8" fillId="8" borderId="48" xfId="8" applyFont="1" applyFill="1" applyBorder="1" applyProtection="1"/>
    <xf numFmtId="167" fontId="8" fillId="8" borderId="0" xfId="9" applyNumberFormat="1" applyFont="1" applyFill="1" applyBorder="1" applyAlignment="1" applyProtection="1">
      <alignment horizontal="center"/>
    </xf>
    <xf numFmtId="168" fontId="3" fillId="8" borderId="0" xfId="9" applyNumberFormat="1" applyFont="1" applyFill="1" applyAlignment="1" applyProtection="1"/>
    <xf numFmtId="38" fontId="22" fillId="0" borderId="8" xfId="9" applyNumberFormat="1" applyFont="1" applyFill="1" applyBorder="1" applyAlignment="1" applyProtection="1"/>
    <xf numFmtId="38" fontId="22" fillId="5" borderId="8" xfId="9" applyNumberFormat="1" applyFont="1" applyFill="1" applyBorder="1" applyAlignment="1" applyProtection="1"/>
    <xf numFmtId="167" fontId="2" fillId="2" borderId="98" xfId="9" applyNumberFormat="1" applyFont="1" applyFill="1" applyBorder="1" applyAlignment="1" applyProtection="1">
      <alignment horizontal="center"/>
    </xf>
    <xf numFmtId="168" fontId="2" fillId="2" borderId="99" xfId="9" applyNumberFormat="1" applyFont="1" applyFill="1" applyBorder="1" applyAlignment="1" applyProtection="1"/>
    <xf numFmtId="171" fontId="3" fillId="2" borderId="0" xfId="9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9" applyNumberFormat="1" applyFont="1" applyBorder="1" applyAlignment="1" applyProtection="1">
      <alignment horizontal="center"/>
    </xf>
    <xf numFmtId="168" fontId="12" fillId="5" borderId="86" xfId="9" applyNumberFormat="1" applyFont="1" applyFill="1" applyBorder="1" applyAlignment="1" applyProtection="1">
      <alignment horizontal="center"/>
    </xf>
    <xf numFmtId="168" fontId="12" fillId="5" borderId="94" xfId="9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169" fontId="3" fillId="2" borderId="102" xfId="0" applyNumberFormat="1" applyFont="1" applyFill="1" applyBorder="1" applyAlignment="1" applyProtection="1">
      <alignment horizontal="center"/>
      <protection locked="0"/>
    </xf>
    <xf numFmtId="169" fontId="3" fillId="2" borderId="103" xfId="0" applyNumberFormat="1" applyFont="1" applyFill="1" applyBorder="1" applyAlignment="1" applyProtection="1">
      <alignment horizontal="center"/>
      <protection locked="0"/>
    </xf>
    <xf numFmtId="0" fontId="12" fillId="2" borderId="104" xfId="0" applyFont="1" applyFill="1" applyBorder="1" applyProtection="1"/>
    <xf numFmtId="0" fontId="7" fillId="2" borderId="105" xfId="0" applyFont="1" applyFill="1" applyBorder="1" applyProtection="1"/>
    <xf numFmtId="0" fontId="7" fillId="2" borderId="106" xfId="0" applyFont="1" applyFill="1" applyBorder="1" applyProtection="1"/>
    <xf numFmtId="0" fontId="12" fillId="2" borderId="107" xfId="0" applyFont="1" applyFill="1" applyBorder="1" applyProtection="1"/>
    <xf numFmtId="0" fontId="7" fillId="2" borderId="108" xfId="0" applyFont="1" applyFill="1" applyBorder="1" applyProtection="1"/>
    <xf numFmtId="0" fontId="7" fillId="2" borderId="109" xfId="0" applyFont="1" applyFill="1" applyBorder="1" applyProtection="1"/>
    <xf numFmtId="10" fontId="2" fillId="0" borderId="103" xfId="10" applyNumberFormat="1" applyFont="1" applyFill="1" applyBorder="1" applyAlignment="1" applyProtection="1">
      <alignment horizontal="center"/>
      <protection locked="0"/>
    </xf>
    <xf numFmtId="10" fontId="2" fillId="0" borderId="101" xfId="10" applyNumberFormat="1" applyFont="1" applyFill="1" applyBorder="1" applyAlignment="1" applyProtection="1">
      <alignment horizontal="center"/>
      <protection locked="0"/>
    </xf>
    <xf numFmtId="10" fontId="2" fillId="0" borderId="110" xfId="10" applyNumberFormat="1" applyFont="1" applyFill="1" applyBorder="1" applyAlignment="1" applyProtection="1">
      <alignment horizontal="center"/>
      <protection locked="0"/>
    </xf>
    <xf numFmtId="10" fontId="2" fillId="0" borderId="111" xfId="10" applyNumberFormat="1" applyFont="1" applyFill="1" applyBorder="1" applyAlignment="1" applyProtection="1">
      <alignment horizontal="center"/>
      <protection locked="0"/>
    </xf>
    <xf numFmtId="169" fontId="7" fillId="3" borderId="112" xfId="0" applyNumberFormat="1" applyFont="1" applyFill="1" applyBorder="1" applyAlignment="1" applyProtection="1">
      <alignment horizontal="center"/>
    </xf>
    <xf numFmtId="169" fontId="7" fillId="3" borderId="113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7" fillId="3" borderId="102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02" xfId="0" applyNumberFormat="1" applyFont="1" applyFill="1" applyBorder="1" applyAlignment="1" applyProtection="1">
      <alignment horizontal="center"/>
    </xf>
    <xf numFmtId="169" fontId="55" fillId="7" borderId="112" xfId="0" applyNumberFormat="1" applyFont="1" applyFill="1" applyBorder="1" applyAlignment="1" applyProtection="1">
      <alignment horizontal="center"/>
    </xf>
    <xf numFmtId="169" fontId="55" fillId="7" borderId="113" xfId="0" applyNumberFormat="1" applyFont="1" applyFill="1" applyBorder="1" applyAlignment="1" applyProtection="1">
      <alignment horizontal="center"/>
    </xf>
    <xf numFmtId="0" fontId="20" fillId="6" borderId="114" xfId="0" applyFont="1" applyFill="1" applyBorder="1" applyAlignment="1" applyProtection="1">
      <alignment horizontal="left"/>
    </xf>
    <xf numFmtId="0" fontId="3" fillId="6" borderId="115" xfId="0" applyFont="1" applyFill="1" applyBorder="1" applyAlignment="1" applyProtection="1">
      <alignment horizontal="right"/>
    </xf>
    <xf numFmtId="0" fontId="3" fillId="6" borderId="116" xfId="0" applyFont="1" applyFill="1" applyBorder="1" applyAlignment="1" applyProtection="1">
      <alignment horizontal="right"/>
    </xf>
    <xf numFmtId="0" fontId="27" fillId="6" borderId="117" xfId="0" applyFont="1" applyFill="1" applyBorder="1" applyAlignment="1" applyProtection="1">
      <alignment horizontal="center"/>
    </xf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36" fillId="3" borderId="121" xfId="0" applyNumberFormat="1" applyFont="1" applyFill="1" applyBorder="1" applyProtection="1"/>
    <xf numFmtId="168" fontId="36" fillId="3" borderId="122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5" applyFont="1" applyFill="1" applyBorder="1" applyAlignment="1" applyProtection="1">
      <alignment horizontal="center"/>
    </xf>
    <xf numFmtId="0" fontId="22" fillId="5" borderId="0" xfId="5" applyFont="1" applyFill="1" applyProtection="1"/>
    <xf numFmtId="0" fontId="7" fillId="5" borderId="0" xfId="5" applyFont="1" applyFill="1" applyProtection="1"/>
    <xf numFmtId="0" fontId="7" fillId="2" borderId="0" xfId="5" applyFont="1" applyFill="1" applyProtection="1"/>
    <xf numFmtId="0" fontId="2" fillId="5" borderId="0" xfId="5" applyFont="1" applyFill="1" applyAlignment="1" applyProtection="1">
      <alignment horizontal="right"/>
    </xf>
    <xf numFmtId="0" fontId="8" fillId="5" borderId="0" xfId="5" applyFont="1" applyFill="1" applyBorder="1" applyAlignment="1" applyProtection="1">
      <alignment horizontal="left"/>
    </xf>
    <xf numFmtId="38" fontId="2" fillId="0" borderId="0" xfId="9" applyNumberFormat="1" applyFont="1" applyBorder="1" applyAlignment="1" applyProtection="1"/>
    <xf numFmtId="0" fontId="15" fillId="5" borderId="0" xfId="5" applyFont="1" applyFill="1" applyProtection="1"/>
    <xf numFmtId="0" fontId="7" fillId="5" borderId="48" xfId="5" applyFont="1" applyFill="1" applyBorder="1" applyProtection="1"/>
    <xf numFmtId="0" fontId="8" fillId="5" borderId="48" xfId="5" applyFont="1" applyFill="1" applyBorder="1" applyProtection="1"/>
    <xf numFmtId="168" fontId="2" fillId="0" borderId="86" xfId="9" applyNumberFormat="1" applyFont="1" applyBorder="1" applyAlignment="1" applyProtection="1">
      <alignment horizontal="center"/>
    </xf>
    <xf numFmtId="168" fontId="3" fillId="5" borderId="86" xfId="9" applyNumberFormat="1" applyFont="1" applyFill="1" applyBorder="1" applyAlignment="1" applyProtection="1"/>
    <xf numFmtId="164" fontId="2" fillId="8" borderId="0" xfId="9" applyNumberFormat="1" applyFont="1" applyFill="1" applyBorder="1" applyAlignment="1" applyProtection="1">
      <alignment horizontal="center"/>
    </xf>
    <xf numFmtId="4" fontId="27" fillId="3" borderId="123" xfId="0" applyNumberFormat="1" applyFont="1" applyFill="1" applyBorder="1" applyAlignment="1" applyProtection="1">
      <alignment horizontal="center"/>
    </xf>
    <xf numFmtId="4" fontId="16" fillId="3" borderId="123" xfId="0" applyNumberFormat="1" applyFont="1" applyFill="1" applyBorder="1" applyAlignment="1" applyProtection="1">
      <alignment horizontal="center"/>
    </xf>
    <xf numFmtId="4" fontId="27" fillId="11" borderId="123" xfId="0" applyNumberFormat="1" applyFont="1" applyFill="1" applyBorder="1" applyAlignment="1" applyProtection="1">
      <alignment horizontal="center"/>
    </xf>
    <xf numFmtId="164" fontId="7" fillId="2" borderId="0" xfId="9" applyNumberFormat="1" applyFont="1" applyFill="1" applyAlignment="1" applyProtection="1"/>
    <xf numFmtId="4" fontId="27" fillId="7" borderId="123" xfId="0" applyNumberFormat="1" applyFont="1" applyFill="1" applyBorder="1" applyAlignment="1" applyProtection="1">
      <alignment horizontal="center"/>
    </xf>
    <xf numFmtId="4" fontId="12" fillId="5" borderId="124" xfId="0" applyNumberFormat="1" applyFont="1" applyFill="1" applyBorder="1" applyAlignment="1" applyProtection="1">
      <alignment horizontal="center"/>
    </xf>
    <xf numFmtId="168" fontId="2" fillId="0" borderId="94" xfId="9" applyNumberFormat="1" applyFont="1" applyBorder="1" applyAlignment="1" applyProtection="1">
      <alignment horizontal="center"/>
    </xf>
    <xf numFmtId="3" fontId="3" fillId="2" borderId="0" xfId="9" applyNumberFormat="1" applyFont="1" applyFill="1" applyAlignment="1" applyProtection="1"/>
    <xf numFmtId="164" fontId="12" fillId="5" borderId="0" xfId="9" applyNumberFormat="1" applyFont="1" applyFill="1" applyBorder="1" applyAlignment="1" applyProtection="1">
      <alignment horizontal="center"/>
    </xf>
    <xf numFmtId="168" fontId="12" fillId="0" borderId="94" xfId="9" applyNumberFormat="1" applyFont="1" applyBorder="1" applyAlignment="1" applyProtection="1">
      <alignment horizontal="center"/>
    </xf>
    <xf numFmtId="168" fontId="3" fillId="0" borderId="125" xfId="0" applyNumberFormat="1" applyFont="1" applyFill="1" applyBorder="1" applyProtection="1">
      <protection locked="0"/>
    </xf>
    <xf numFmtId="168" fontId="3" fillId="0" borderId="126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/>
    <xf numFmtId="168" fontId="3" fillId="0" borderId="128" xfId="0" applyNumberFormat="1" applyFont="1" applyFill="1" applyBorder="1" applyProtection="1"/>
    <xf numFmtId="169" fontId="3" fillId="0" borderId="125" xfId="0" applyNumberFormat="1" applyFont="1" applyFill="1" applyBorder="1" applyAlignment="1" applyProtection="1">
      <alignment horizontal="center"/>
    </xf>
    <xf numFmtId="169" fontId="3" fillId="0" borderId="126" xfId="0" applyNumberFormat="1" applyFont="1" applyFill="1" applyBorder="1" applyAlignment="1" applyProtection="1">
      <alignment horizontal="center"/>
    </xf>
    <xf numFmtId="169" fontId="3" fillId="0" borderId="127" xfId="0" applyNumberFormat="1" applyFont="1" applyFill="1" applyBorder="1" applyAlignment="1" applyProtection="1">
      <alignment horizontal="center"/>
    </xf>
    <xf numFmtId="169" fontId="3" fillId="0" borderId="128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9" applyNumberFormat="1" applyFont="1" applyBorder="1" applyAlignment="1" applyProtection="1"/>
    <xf numFmtId="167" fontId="3" fillId="0" borderId="65" xfId="9" applyNumberFormat="1" applyFont="1" applyBorder="1" applyAlignment="1" applyProtection="1">
      <alignment horizontal="center"/>
    </xf>
    <xf numFmtId="38" fontId="3" fillId="0" borderId="129" xfId="9" applyNumberFormat="1" applyFont="1" applyBorder="1" applyAlignment="1" applyProtection="1"/>
    <xf numFmtId="167" fontId="3" fillId="0" borderId="130" xfId="9" applyNumberFormat="1" applyFont="1" applyBorder="1" applyAlignment="1" applyProtection="1">
      <alignment horizontal="center"/>
    </xf>
    <xf numFmtId="38" fontId="3" fillId="0" borderId="50" xfId="9" applyNumberFormat="1" applyFont="1" applyFill="1" applyBorder="1" applyAlignment="1" applyProtection="1"/>
    <xf numFmtId="167" fontId="3" fillId="0" borderId="65" xfId="9" applyNumberFormat="1" applyFont="1" applyFill="1" applyBorder="1" applyAlignment="1" applyProtection="1">
      <alignment horizontal="center" vertical="center"/>
    </xf>
    <xf numFmtId="167" fontId="3" fillId="0" borderId="65" xfId="9" applyNumberFormat="1" applyFont="1" applyBorder="1" applyAlignment="1" applyProtection="1">
      <alignment horizontal="center" vertical="center"/>
    </xf>
    <xf numFmtId="167" fontId="3" fillId="0" borderId="130" xfId="9" applyNumberFormat="1" applyFont="1" applyBorder="1" applyAlignment="1" applyProtection="1">
      <alignment horizontal="center" vertical="center"/>
    </xf>
    <xf numFmtId="172" fontId="7" fillId="2" borderId="0" xfId="8" applyNumberFormat="1" applyFont="1" applyFill="1" applyProtection="1"/>
    <xf numFmtId="173" fontId="7" fillId="2" borderId="0" xfId="8" applyNumberFormat="1" applyFont="1" applyFill="1" applyProtection="1"/>
    <xf numFmtId="168" fontId="3" fillId="2" borderId="0" xfId="0" applyNumberFormat="1" applyFont="1" applyFill="1" applyProtection="1"/>
    <xf numFmtId="0" fontId="61" fillId="5" borderId="51" xfId="0" applyFont="1" applyFill="1" applyBorder="1" applyProtection="1"/>
    <xf numFmtId="0" fontId="62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31" xfId="0" applyNumberFormat="1" applyFont="1" applyFill="1" applyBorder="1" applyAlignment="1" applyProtection="1">
      <alignment vertical="center"/>
    </xf>
    <xf numFmtId="4" fontId="30" fillId="2" borderId="132" xfId="0" applyNumberFormat="1" applyFont="1" applyFill="1" applyBorder="1" applyAlignment="1" applyProtection="1">
      <alignment vertical="center"/>
    </xf>
    <xf numFmtId="168" fontId="3" fillId="11" borderId="125" xfId="0" applyNumberFormat="1" applyFont="1" applyFill="1" applyBorder="1" applyProtection="1"/>
    <xf numFmtId="4" fontId="30" fillId="2" borderId="133" xfId="0" applyNumberFormat="1" applyFont="1" applyFill="1" applyBorder="1" applyAlignment="1" applyProtection="1">
      <alignment vertical="center"/>
    </xf>
    <xf numFmtId="4" fontId="30" fillId="2" borderId="134" xfId="0" applyNumberFormat="1" applyFont="1" applyFill="1" applyBorder="1" applyAlignment="1" applyProtection="1">
      <alignment vertical="center"/>
    </xf>
    <xf numFmtId="4" fontId="30" fillId="2" borderId="94" xfId="0" applyNumberFormat="1" applyFont="1" applyFill="1" applyBorder="1" applyAlignment="1" applyProtection="1">
      <alignment vertical="center"/>
    </xf>
    <xf numFmtId="4" fontId="63" fillId="3" borderId="92" xfId="0" applyNumberFormat="1" applyFont="1" applyFill="1" applyBorder="1" applyAlignment="1" applyProtection="1">
      <alignment horizontal="center"/>
    </xf>
    <xf numFmtId="4" fontId="63" fillId="3" borderId="135" xfId="0" applyNumberFormat="1" applyFont="1" applyFill="1" applyBorder="1" applyAlignment="1" applyProtection="1">
      <alignment horizontal="center"/>
    </xf>
    <xf numFmtId="4" fontId="63" fillId="3" borderId="95" xfId="0" applyNumberFormat="1" applyFont="1" applyFill="1" applyBorder="1" applyAlignment="1" applyProtection="1">
      <alignment horizontal="center"/>
    </xf>
    <xf numFmtId="168" fontId="65" fillId="4" borderId="136" xfId="0" applyNumberFormat="1" applyFont="1" applyFill="1" applyBorder="1" applyAlignment="1" applyProtection="1">
      <alignment horizontal="center"/>
    </xf>
    <xf numFmtId="168" fontId="65" fillId="4" borderId="137" xfId="0" applyNumberFormat="1" applyFont="1" applyFill="1" applyBorder="1" applyAlignment="1" applyProtection="1">
      <alignment horizontal="center"/>
    </xf>
    <xf numFmtId="168" fontId="65" fillId="4" borderId="138" xfId="0" applyNumberFormat="1" applyFont="1" applyFill="1" applyBorder="1" applyAlignment="1" applyProtection="1">
      <alignment horizontal="center"/>
    </xf>
    <xf numFmtId="168" fontId="67" fillId="3" borderId="139" xfId="0" applyNumberFormat="1" applyFont="1" applyFill="1" applyBorder="1" applyProtection="1"/>
    <xf numFmtId="168" fontId="67" fillId="3" borderId="140" xfId="0" applyNumberFormat="1" applyFont="1" applyFill="1" applyBorder="1" applyProtection="1"/>
    <xf numFmtId="168" fontId="67" fillId="3" borderId="141" xfId="0" applyNumberFormat="1" applyFont="1" applyFill="1" applyBorder="1" applyProtection="1"/>
    <xf numFmtId="168" fontId="67" fillId="3" borderId="142" xfId="0" applyNumberFormat="1" applyFont="1" applyFill="1" applyBorder="1" applyProtection="1"/>
    <xf numFmtId="168" fontId="67" fillId="3" borderId="143" xfId="0" applyNumberFormat="1" applyFont="1" applyFill="1" applyBorder="1" applyProtection="1"/>
    <xf numFmtId="168" fontId="67" fillId="3" borderId="144" xfId="0" applyNumberFormat="1" applyFont="1" applyFill="1" applyBorder="1" applyProtection="1"/>
    <xf numFmtId="168" fontId="67" fillId="3" borderId="120" xfId="0" applyNumberFormat="1" applyFont="1" applyFill="1" applyBorder="1" applyProtection="1"/>
    <xf numFmtId="168" fontId="67" fillId="3" borderId="122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2" fillId="5" borderId="50" xfId="0" applyFont="1" applyFill="1" applyBorder="1" applyProtection="1"/>
    <xf numFmtId="4" fontId="30" fillId="5" borderId="145" xfId="0" applyNumberFormat="1" applyFont="1" applyFill="1" applyBorder="1" applyAlignment="1" applyProtection="1">
      <alignment vertical="center"/>
    </xf>
    <xf numFmtId="168" fontId="3" fillId="0" borderId="128" xfId="0" applyNumberFormat="1" applyFont="1" applyFill="1" applyBorder="1" applyProtection="1">
      <protection locked="0"/>
    </xf>
    <xf numFmtId="164" fontId="8" fillId="10" borderId="0" xfId="9" applyNumberFormat="1" applyFont="1" applyFill="1" applyBorder="1" applyAlignment="1" applyProtection="1">
      <alignment horizontal="left"/>
    </xf>
    <xf numFmtId="0" fontId="7" fillId="8" borderId="0" xfId="8" applyFont="1" applyFill="1" applyBorder="1" applyProtection="1"/>
    <xf numFmtId="0" fontId="5" fillId="12" borderId="0" xfId="8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90" fillId="5" borderId="48" xfId="0" applyFont="1" applyFill="1" applyBorder="1" applyProtection="1"/>
    <xf numFmtId="0" fontId="90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6" xfId="0" applyFont="1" applyFill="1" applyBorder="1" applyProtection="1"/>
    <xf numFmtId="0" fontId="17" fillId="6" borderId="147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8" xfId="0" applyNumberFormat="1" applyFont="1" applyFill="1" applyBorder="1" applyProtection="1"/>
    <xf numFmtId="4" fontId="3" fillId="6" borderId="149" xfId="0" applyNumberFormat="1" applyFont="1" applyFill="1" applyBorder="1" applyProtection="1"/>
    <xf numFmtId="4" fontId="3" fillId="6" borderId="150" xfId="0" applyNumberFormat="1" applyFont="1" applyFill="1" applyBorder="1" applyProtection="1"/>
    <xf numFmtId="4" fontId="3" fillId="6" borderId="93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5" fillId="4" borderId="86" xfId="0" applyNumberFormat="1" applyFont="1" applyFill="1" applyBorder="1" applyAlignment="1" applyProtection="1">
      <alignment horizontal="center"/>
    </xf>
    <xf numFmtId="168" fontId="65" fillId="4" borderId="131" xfId="0" applyNumberFormat="1" applyFont="1" applyFill="1" applyBorder="1" applyAlignment="1" applyProtection="1">
      <alignment horizontal="center"/>
    </xf>
    <xf numFmtId="168" fontId="65" fillId="4" borderId="94" xfId="0" applyNumberFormat="1" applyFont="1" applyFill="1" applyBorder="1" applyAlignment="1" applyProtection="1">
      <alignment horizontal="center"/>
    </xf>
    <xf numFmtId="4" fontId="3" fillId="6" borderId="92" xfId="0" applyNumberFormat="1" applyFont="1" applyFill="1" applyBorder="1" applyProtection="1"/>
    <xf numFmtId="4" fontId="3" fillId="6" borderId="135" xfId="0" applyNumberFormat="1" applyFont="1" applyFill="1" applyBorder="1" applyProtection="1"/>
    <xf numFmtId="4" fontId="3" fillId="6" borderId="95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6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5" xfId="0" applyNumberFormat="1" applyFont="1" applyFill="1" applyBorder="1" applyAlignment="1" applyProtection="1">
      <alignment horizontal="center"/>
    </xf>
    <xf numFmtId="169" fontId="3" fillId="2" borderId="126" xfId="0" applyNumberFormat="1" applyFont="1" applyFill="1" applyBorder="1" applyAlignment="1" applyProtection="1">
      <alignment horizontal="center"/>
    </xf>
    <xf numFmtId="169" fontId="3" fillId="2" borderId="127" xfId="0" applyNumberFormat="1" applyFont="1" applyFill="1" applyBorder="1" applyAlignment="1" applyProtection="1">
      <alignment horizontal="center"/>
    </xf>
    <xf numFmtId="0" fontId="61" fillId="5" borderId="48" xfId="0" applyFont="1" applyFill="1" applyBorder="1"/>
    <xf numFmtId="0" fontId="16" fillId="6" borderId="151" xfId="0" applyFont="1" applyFill="1" applyBorder="1" applyAlignment="1" applyProtection="1"/>
    <xf numFmtId="0" fontId="17" fillId="6" borderId="152" xfId="0" applyFont="1" applyFill="1" applyBorder="1" applyAlignment="1" applyProtection="1"/>
    <xf numFmtId="0" fontId="17" fillId="6" borderId="153" xfId="0" applyFont="1" applyFill="1" applyBorder="1" applyProtection="1"/>
    <xf numFmtId="170" fontId="27" fillId="6" borderId="154" xfId="0" applyNumberFormat="1" applyFont="1" applyFill="1" applyBorder="1" applyAlignment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4" fontId="3" fillId="6" borderId="158" xfId="0" applyNumberFormat="1" applyFont="1" applyFill="1" applyBorder="1" applyProtection="1"/>
    <xf numFmtId="170" fontId="27" fillId="6" borderId="154" xfId="0" applyNumberFormat="1" applyFont="1" applyFill="1" applyBorder="1" applyAlignment="1" applyProtection="1">
      <alignment horizontal="center"/>
    </xf>
    <xf numFmtId="4" fontId="3" fillId="6" borderId="159" xfId="0" applyNumberFormat="1" applyFont="1" applyFill="1" applyBorder="1" applyProtection="1"/>
    <xf numFmtId="4" fontId="3" fillId="6" borderId="160" xfId="0" applyNumberFormat="1" applyFont="1" applyFill="1" applyBorder="1" applyProtection="1"/>
    <xf numFmtId="4" fontId="3" fillId="6" borderId="161" xfId="0" applyNumberFormat="1" applyFont="1" applyFill="1" applyBorder="1" applyProtection="1"/>
    <xf numFmtId="0" fontId="93" fillId="5" borderId="50" xfId="0" applyFont="1" applyFill="1" applyBorder="1" applyProtection="1"/>
    <xf numFmtId="0" fontId="90" fillId="2" borderId="48" xfId="0" applyFont="1" applyFill="1" applyBorder="1" applyProtection="1"/>
    <xf numFmtId="0" fontId="90" fillId="5" borderId="48" xfId="0" applyFont="1" applyFill="1" applyBorder="1"/>
    <xf numFmtId="169" fontId="7" fillId="3" borderId="113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9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9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9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1" fillId="11" borderId="112" xfId="0" applyNumberFormat="1" applyFont="1" applyFill="1" applyBorder="1" applyAlignment="1" applyProtection="1">
      <alignment horizontal="center"/>
    </xf>
    <xf numFmtId="169" fontId="101" fillId="11" borderId="113" xfId="0" applyNumberFormat="1" applyFont="1" applyFill="1" applyBorder="1" applyAlignment="1" applyProtection="1">
      <alignment horizontal="center"/>
    </xf>
    <xf numFmtId="169" fontId="101" fillId="11" borderId="100" xfId="0" applyNumberFormat="1" applyFont="1" applyFill="1" applyBorder="1" applyAlignment="1" applyProtection="1">
      <alignment horizontal="center"/>
    </xf>
    <xf numFmtId="169" fontId="101" fillId="11" borderId="102" xfId="0" applyNumberFormat="1" applyFont="1" applyFill="1" applyBorder="1" applyAlignment="1" applyProtection="1">
      <alignment horizontal="center"/>
    </xf>
    <xf numFmtId="0" fontId="94" fillId="5" borderId="162" xfId="8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2" fillId="2" borderId="0" xfId="0" applyFont="1" applyFill="1" applyAlignment="1">
      <alignment vertical="center"/>
    </xf>
    <xf numFmtId="0" fontId="92" fillId="2" borderId="0" xfId="0" applyFont="1" applyFill="1" applyAlignment="1">
      <alignment horizontal="left" vertical="center"/>
    </xf>
    <xf numFmtId="0" fontId="99" fillId="2" borderId="0" xfId="0" applyFont="1" applyFill="1" applyBorder="1" applyAlignment="1">
      <alignment horizontal="center" vertical="center"/>
    </xf>
    <xf numFmtId="0" fontId="91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2" fillId="2" borderId="0" xfId="0" applyFont="1" applyFill="1" applyAlignment="1" applyProtection="1">
      <alignment vertical="center"/>
    </xf>
    <xf numFmtId="0" fontId="92" fillId="2" borderId="0" xfId="0" applyFont="1" applyFill="1" applyAlignment="1" applyProtection="1">
      <alignment horizontal="left" vertical="center"/>
    </xf>
    <xf numFmtId="0" fontId="91" fillId="2" borderId="0" xfId="0" applyFont="1" applyFill="1" applyProtection="1"/>
    <xf numFmtId="0" fontId="99" fillId="2" borderId="0" xfId="0" applyFont="1" applyFill="1" applyBorder="1" applyAlignment="1" applyProtection="1">
      <alignment horizontal="left" vertical="center"/>
    </xf>
    <xf numFmtId="0" fontId="99" fillId="2" borderId="0" xfId="0" applyFont="1" applyFill="1" applyBorder="1" applyAlignment="1" applyProtection="1">
      <alignment vertical="center"/>
    </xf>
    <xf numFmtId="0" fontId="99" fillId="2" borderId="0" xfId="0" applyFont="1" applyFill="1" applyAlignment="1" applyProtection="1">
      <alignment vertical="center"/>
    </xf>
    <xf numFmtId="0" fontId="92" fillId="2" borderId="0" xfId="0" applyFont="1" applyFill="1" applyProtection="1"/>
    <xf numFmtId="0" fontId="99" fillId="2" borderId="0" xfId="0" applyFont="1" applyFill="1" applyProtection="1"/>
    <xf numFmtId="0" fontId="49" fillId="12" borderId="0" xfId="8" applyFont="1" applyFill="1" applyBorder="1" applyAlignment="1" applyProtection="1">
      <alignment horizontal="left"/>
    </xf>
    <xf numFmtId="38" fontId="110" fillId="8" borderId="0" xfId="9" applyNumberFormat="1" applyFont="1" applyFill="1" applyAlignment="1" applyProtection="1"/>
    <xf numFmtId="38" fontId="3" fillId="5" borderId="48" xfId="9" applyNumberFormat="1" applyFont="1" applyFill="1" applyBorder="1" applyProtection="1"/>
    <xf numFmtId="0" fontId="2" fillId="5" borderId="0" xfId="8" applyFont="1" applyFill="1" applyBorder="1" applyProtection="1"/>
    <xf numFmtId="0" fontId="15" fillId="5" borderId="0" xfId="8" applyFont="1" applyFill="1" applyBorder="1" applyProtection="1"/>
    <xf numFmtId="164" fontId="3" fillId="5" borderId="0" xfId="9" applyNumberFormat="1" applyFont="1" applyFill="1" applyBorder="1" applyProtection="1"/>
    <xf numFmtId="169" fontId="112" fillId="3" borderId="112" xfId="0" applyNumberFormat="1" applyFont="1" applyFill="1" applyBorder="1" applyAlignment="1" applyProtection="1">
      <alignment horizontal="left"/>
    </xf>
    <xf numFmtId="169" fontId="112" fillId="3" borderId="113" xfId="0" applyNumberFormat="1" applyFont="1" applyFill="1" applyBorder="1" applyAlignment="1" applyProtection="1">
      <alignment horizontal="left"/>
    </xf>
    <xf numFmtId="168" fontId="2" fillId="0" borderId="101" xfId="10" applyNumberFormat="1" applyFont="1" applyFill="1" applyBorder="1" applyAlignment="1" applyProtection="1">
      <alignment horizontal="right"/>
      <protection locked="0"/>
    </xf>
    <xf numFmtId="168" fontId="2" fillId="0" borderId="103" xfId="10" applyNumberFormat="1" applyFont="1" applyFill="1" applyBorder="1" applyAlignment="1" applyProtection="1">
      <alignment horizontal="right"/>
      <protection locked="0"/>
    </xf>
    <xf numFmtId="168" fontId="2" fillId="0" borderId="110" xfId="10" applyNumberFormat="1" applyFont="1" applyFill="1" applyBorder="1" applyAlignment="1" applyProtection="1">
      <alignment horizontal="right"/>
      <protection locked="0"/>
    </xf>
    <xf numFmtId="168" fontId="2" fillId="0" borderId="111" xfId="10" applyNumberFormat="1" applyFont="1" applyFill="1" applyBorder="1" applyAlignment="1" applyProtection="1">
      <alignment horizontal="right"/>
      <protection locked="0"/>
    </xf>
    <xf numFmtId="38" fontId="93" fillId="5" borderId="8" xfId="9" applyNumberFormat="1" applyFont="1" applyFill="1" applyBorder="1" applyAlignment="1" applyProtection="1"/>
    <xf numFmtId="168" fontId="12" fillId="5" borderId="91" xfId="9" applyNumberFormat="1" applyFont="1" applyFill="1" applyBorder="1" applyAlignment="1" applyProtection="1">
      <alignment horizontal="center"/>
    </xf>
    <xf numFmtId="38" fontId="3" fillId="5" borderId="47" xfId="9" applyNumberFormat="1" applyFont="1" applyFill="1" applyBorder="1" applyAlignment="1" applyProtection="1"/>
    <xf numFmtId="167" fontId="3" fillId="5" borderId="64" xfId="9" applyNumberFormat="1" applyFont="1" applyFill="1" applyBorder="1" applyAlignment="1" applyProtection="1">
      <alignment horizontal="center"/>
    </xf>
    <xf numFmtId="168" fontId="2" fillId="5" borderId="128" xfId="9" applyNumberFormat="1" applyFont="1" applyFill="1" applyBorder="1" applyAlignment="1" applyProtection="1">
      <protection locked="0"/>
    </xf>
    <xf numFmtId="168" fontId="3" fillId="5" borderId="136" xfId="9" applyNumberFormat="1" applyFont="1" applyFill="1" applyBorder="1" applyAlignment="1" applyProtection="1"/>
    <xf numFmtId="168" fontId="2" fillId="5" borderId="128" xfId="9" applyNumberFormat="1" applyFont="1" applyFill="1" applyBorder="1" applyAlignment="1" applyProtection="1"/>
    <xf numFmtId="38" fontId="3" fillId="5" borderId="129" xfId="9" applyNumberFormat="1" applyFont="1" applyFill="1" applyBorder="1" applyAlignment="1" applyProtection="1"/>
    <xf numFmtId="167" fontId="3" fillId="5" borderId="130" xfId="9" applyNumberFormat="1" applyFont="1" applyFill="1" applyBorder="1" applyAlignment="1" applyProtection="1">
      <alignment horizontal="center"/>
    </xf>
    <xf numFmtId="168" fontId="2" fillId="5" borderId="163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/>
    <xf numFmtId="168" fontId="2" fillId="5" borderId="163" xfId="9" applyNumberFormat="1" applyFont="1" applyFill="1" applyBorder="1" applyAlignment="1" applyProtection="1"/>
    <xf numFmtId="169" fontId="3" fillId="5" borderId="136" xfId="9" applyNumberFormat="1" applyFont="1" applyFill="1" applyBorder="1" applyAlignment="1" applyProtection="1">
      <alignment horizontal="center"/>
    </xf>
    <xf numFmtId="169" fontId="2" fillId="5" borderId="128" xfId="9" applyNumberFormat="1" applyFont="1" applyFill="1" applyBorder="1" applyAlignment="1" applyProtection="1">
      <alignment horizontal="center"/>
    </xf>
    <xf numFmtId="38" fontId="3" fillId="5" borderId="50" xfId="9" applyNumberFormat="1" applyFont="1" applyFill="1" applyBorder="1" applyAlignment="1" applyProtection="1"/>
    <xf numFmtId="167" fontId="3" fillId="5" borderId="65" xfId="9" applyNumberFormat="1" applyFont="1" applyFill="1" applyBorder="1" applyAlignment="1" applyProtection="1">
      <alignment horizontal="center"/>
    </xf>
    <xf numFmtId="168" fontId="3" fillId="5" borderId="165" xfId="9" applyNumberFormat="1" applyFont="1" applyFill="1" applyBorder="1" applyAlignment="1" applyProtection="1">
      <protection locked="0"/>
    </xf>
    <xf numFmtId="168" fontId="2" fillId="5" borderId="13" xfId="9" applyNumberFormat="1" applyFont="1" applyFill="1" applyBorder="1" applyAlignment="1" applyProtection="1">
      <protection locked="0"/>
    </xf>
    <xf numFmtId="168" fontId="3" fillId="5" borderId="165" xfId="9" applyNumberFormat="1" applyFont="1" applyFill="1" applyBorder="1" applyAlignment="1" applyProtection="1"/>
    <xf numFmtId="168" fontId="2" fillId="5" borderId="13" xfId="9" applyNumberFormat="1" applyFont="1" applyFill="1" applyBorder="1" applyAlignment="1" applyProtection="1"/>
    <xf numFmtId="169" fontId="3" fillId="5" borderId="165" xfId="9" applyNumberFormat="1" applyFont="1" applyFill="1" applyBorder="1" applyAlignment="1" applyProtection="1">
      <alignment horizontal="center"/>
    </xf>
    <xf numFmtId="169" fontId="2" fillId="5" borderId="13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horizontal="left" vertical="center" wrapText="1"/>
    </xf>
    <xf numFmtId="167" fontId="3" fillId="5" borderId="64" xfId="9" applyNumberFormat="1" applyFont="1" applyFill="1" applyBorder="1" applyAlignment="1" applyProtection="1">
      <alignment horizontal="center" vertical="center"/>
    </xf>
    <xf numFmtId="167" fontId="3" fillId="5" borderId="130" xfId="9" applyNumberFormat="1" applyFont="1" applyFill="1" applyBorder="1" applyAlignment="1" applyProtection="1">
      <alignment horizontal="center" vertical="center"/>
    </xf>
    <xf numFmtId="168" fontId="2" fillId="5" borderId="94" xfId="9" applyNumberFormat="1" applyFont="1" applyFill="1" applyBorder="1" applyAlignment="1" applyProtection="1"/>
    <xf numFmtId="168" fontId="2" fillId="5" borderId="138" xfId="9" applyNumberFormat="1" applyFont="1" applyFill="1" applyBorder="1" applyAlignment="1" applyProtection="1"/>
    <xf numFmtId="168" fontId="2" fillId="5" borderId="166" xfId="9" applyNumberFormat="1" applyFont="1" applyFill="1" applyBorder="1" applyAlignment="1" applyProtection="1"/>
    <xf numFmtId="168" fontId="3" fillId="5" borderId="136" xfId="9" applyNumberFormat="1" applyFont="1" applyFill="1" applyBorder="1" applyAlignment="1" applyProtection="1">
      <protection locked="0"/>
    </xf>
    <xf numFmtId="168" fontId="2" fillId="5" borderId="138" xfId="9" applyNumberFormat="1" applyFont="1" applyFill="1" applyBorder="1" applyAlignment="1" applyProtection="1">
      <protection locked="0"/>
    </xf>
    <xf numFmtId="169" fontId="2" fillId="5" borderId="138" xfId="9" applyNumberFormat="1" applyFont="1" applyFill="1" applyBorder="1" applyAlignment="1" applyProtection="1">
      <alignment horizontal="center"/>
    </xf>
    <xf numFmtId="168" fontId="2" fillId="5" borderId="166" xfId="9" applyNumberFormat="1" applyFont="1" applyFill="1" applyBorder="1" applyAlignment="1" applyProtection="1">
      <protection locked="0"/>
    </xf>
    <xf numFmtId="169" fontId="3" fillId="5" borderId="164" xfId="9" applyNumberFormat="1" applyFont="1" applyFill="1" applyBorder="1" applyAlignment="1" applyProtection="1">
      <alignment horizontal="center"/>
    </xf>
    <xf numFmtId="169" fontId="2" fillId="5" borderId="166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wrapText="1"/>
    </xf>
    <xf numFmtId="168" fontId="12" fillId="5" borderId="86" xfId="9" applyNumberFormat="1" applyFont="1" applyFill="1" applyBorder="1" applyAlignment="1" applyProtection="1">
      <alignment horizontal="center" vertical="top"/>
    </xf>
    <xf numFmtId="168" fontId="12" fillId="5" borderId="94" xfId="9" applyNumberFormat="1" applyFont="1" applyFill="1" applyBorder="1" applyAlignment="1" applyProtection="1">
      <alignment horizontal="center" vertical="top"/>
    </xf>
    <xf numFmtId="168" fontId="12" fillId="5" borderId="86" xfId="9" applyNumberFormat="1" applyFont="1" applyFill="1" applyBorder="1" applyAlignment="1" applyProtection="1">
      <alignment horizontal="center" vertical="center"/>
    </xf>
    <xf numFmtId="168" fontId="12" fillId="5" borderId="94" xfId="9" applyNumberFormat="1" applyFont="1" applyFill="1" applyBorder="1" applyAlignment="1" applyProtection="1">
      <alignment horizontal="center" vertical="center"/>
    </xf>
    <xf numFmtId="167" fontId="3" fillId="5" borderId="65" xfId="9" applyNumberFormat="1" applyFont="1" applyFill="1" applyBorder="1" applyAlignment="1" applyProtection="1">
      <alignment horizontal="center" vertical="center"/>
    </xf>
    <xf numFmtId="168" fontId="2" fillId="5" borderId="167" xfId="9" applyNumberFormat="1" applyFont="1" applyFill="1" applyBorder="1" applyAlignment="1" applyProtection="1">
      <protection locked="0"/>
    </xf>
    <xf numFmtId="168" fontId="2" fillId="5" borderId="167" xfId="9" applyNumberFormat="1" applyFont="1" applyFill="1" applyBorder="1" applyAlignment="1" applyProtection="1"/>
    <xf numFmtId="168" fontId="93" fillId="5" borderId="166" xfId="9" applyNumberFormat="1" applyFont="1" applyFill="1" applyBorder="1" applyAlignment="1" applyProtection="1">
      <protection locked="0"/>
    </xf>
    <xf numFmtId="168" fontId="93" fillId="5" borderId="13" xfId="9" applyNumberFormat="1" applyFont="1" applyFill="1" applyBorder="1" applyAlignment="1" applyProtection="1">
      <protection locked="0"/>
    </xf>
    <xf numFmtId="168" fontId="93" fillId="5" borderId="163" xfId="9" applyNumberFormat="1" applyFont="1" applyFill="1" applyBorder="1" applyAlignment="1" applyProtection="1">
      <protection locked="0"/>
    </xf>
    <xf numFmtId="168" fontId="90" fillId="5" borderId="136" xfId="9" applyNumberFormat="1" applyFont="1" applyFill="1" applyBorder="1" applyAlignment="1" applyProtection="1">
      <protection locked="0"/>
    </xf>
    <xf numFmtId="168" fontId="90" fillId="5" borderId="164" xfId="9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1" fillId="11" borderId="0" xfId="0" applyFont="1" applyFill="1" applyBorder="1" applyAlignment="1" applyProtection="1"/>
    <xf numFmtId="0" fontId="99" fillId="2" borderId="0" xfId="0" applyFont="1" applyFill="1" applyAlignment="1">
      <alignment vertical="center"/>
    </xf>
    <xf numFmtId="0" fontId="49" fillId="5" borderId="48" xfId="5" applyFont="1" applyFill="1" applyBorder="1" applyAlignment="1" applyProtection="1">
      <alignment horizontal="left"/>
    </xf>
    <xf numFmtId="38" fontId="100" fillId="10" borderId="48" xfId="9" applyNumberFormat="1" applyFont="1" applyFill="1" applyBorder="1" applyAlignment="1" applyProtection="1">
      <alignment horizontal="left"/>
    </xf>
    <xf numFmtId="38" fontId="19" fillId="2" borderId="0" xfId="9" applyNumberFormat="1" applyFont="1" applyFill="1" applyAlignment="1" applyProtection="1">
      <alignment horizontal="left" vertical="center"/>
    </xf>
    <xf numFmtId="0" fontId="124" fillId="2" borderId="0" xfId="0" applyFont="1" applyFill="1" applyProtection="1"/>
    <xf numFmtId="0" fontId="91" fillId="2" borderId="0" xfId="0" applyFont="1" applyFill="1" applyBorder="1" applyAlignment="1" applyProtection="1">
      <alignment vertical="center"/>
    </xf>
    <xf numFmtId="38" fontId="19" fillId="2" borderId="0" xfId="9" applyNumberFormat="1" applyFont="1" applyFill="1" applyBorder="1" applyAlignment="1" applyProtection="1">
      <alignment horizontal="left" vertical="center"/>
    </xf>
    <xf numFmtId="168" fontId="3" fillId="0" borderId="127" xfId="0" applyNumberFormat="1" applyFont="1" applyFill="1" applyBorder="1" applyAlignment="1" applyProtection="1">
      <alignment horizontal="right"/>
    </xf>
    <xf numFmtId="168" fontId="3" fillId="0" borderId="126" xfId="0" applyNumberFormat="1" applyFont="1" applyFill="1" applyBorder="1" applyAlignment="1" applyProtection="1">
      <alignment horizontal="right"/>
    </xf>
    <xf numFmtId="168" fontId="3" fillId="0" borderId="128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50" xfId="0" applyNumberFormat="1" applyFont="1" applyFill="1" applyBorder="1" applyAlignment="1" applyProtection="1">
      <alignment horizontal="right"/>
    </xf>
    <xf numFmtId="168" fontId="3" fillId="6" borderId="149" xfId="0" applyNumberFormat="1" applyFont="1" applyFill="1" applyBorder="1" applyAlignment="1" applyProtection="1">
      <alignment horizontal="right"/>
    </xf>
    <xf numFmtId="168" fontId="3" fillId="6" borderId="93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7" xfId="0" applyNumberFormat="1" applyFont="1" applyFill="1" applyBorder="1" applyAlignment="1" applyProtection="1">
      <alignment horizontal="right"/>
    </xf>
    <xf numFmtId="168" fontId="3" fillId="2" borderId="126" xfId="0" applyNumberFormat="1" applyFont="1" applyFill="1" applyBorder="1" applyAlignment="1" applyProtection="1">
      <alignment horizontal="right"/>
    </xf>
    <xf numFmtId="168" fontId="3" fillId="2" borderId="128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5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8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5" xfId="0" applyNumberFormat="1" applyFont="1" applyFill="1" applyBorder="1" applyAlignment="1" applyProtection="1">
      <alignment horizontal="right"/>
    </xf>
    <xf numFmtId="10" fontId="2" fillId="0" borderId="101" xfId="10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10" xfId="10" applyNumberFormat="1" applyFont="1" applyFill="1" applyBorder="1" applyAlignment="1" applyProtection="1">
      <alignment horizontal="center"/>
    </xf>
    <xf numFmtId="10" fontId="2" fillId="0" borderId="103" xfId="10" applyNumberFormat="1" applyFont="1" applyFill="1" applyBorder="1" applyAlignment="1" applyProtection="1">
      <alignment horizontal="center"/>
    </xf>
    <xf numFmtId="169" fontId="3" fillId="2" borderId="102" xfId="0" applyNumberFormat="1" applyFont="1" applyFill="1" applyBorder="1" applyAlignment="1" applyProtection="1">
      <alignment horizontal="center"/>
    </xf>
    <xf numFmtId="169" fontId="3" fillId="2" borderId="103" xfId="0" applyNumberFormat="1" applyFont="1" applyFill="1" applyBorder="1" applyAlignment="1" applyProtection="1">
      <alignment horizontal="center"/>
    </xf>
    <xf numFmtId="10" fontId="2" fillId="0" borderId="111" xfId="10" applyNumberFormat="1" applyFont="1" applyFill="1" applyBorder="1" applyAlignment="1" applyProtection="1">
      <alignment horizontal="center"/>
    </xf>
    <xf numFmtId="168" fontId="2" fillId="0" borderId="101" xfId="10" applyNumberFormat="1" applyFont="1" applyFill="1" applyBorder="1" applyAlignment="1" applyProtection="1">
      <alignment horizontal="right"/>
    </xf>
    <xf numFmtId="168" fontId="2" fillId="0" borderId="110" xfId="10" applyNumberFormat="1" applyFont="1" applyFill="1" applyBorder="1" applyAlignment="1" applyProtection="1">
      <alignment horizontal="right"/>
    </xf>
    <xf numFmtId="168" fontId="2" fillId="0" borderId="103" xfId="10" applyNumberFormat="1" applyFont="1" applyFill="1" applyBorder="1" applyAlignment="1" applyProtection="1">
      <alignment horizontal="right"/>
    </xf>
    <xf numFmtId="168" fontId="2" fillId="0" borderId="111" xfId="10" applyNumberFormat="1" applyFont="1" applyFill="1" applyBorder="1" applyAlignment="1" applyProtection="1">
      <alignment horizontal="right"/>
    </xf>
    <xf numFmtId="0" fontId="3" fillId="2" borderId="168" xfId="0" applyFont="1" applyFill="1" applyBorder="1" applyProtection="1"/>
    <xf numFmtId="4" fontId="91" fillId="2" borderId="0" xfId="0" applyNumberFormat="1" applyFont="1" applyFill="1" applyProtection="1"/>
    <xf numFmtId="169" fontId="101" fillId="11" borderId="113" xfId="0" applyNumberFormat="1" applyFont="1" applyFill="1" applyBorder="1" applyAlignment="1" applyProtection="1">
      <alignment horizontal="left"/>
    </xf>
    <xf numFmtId="169" fontId="101" fillId="11" borderId="112" xfId="0" applyNumberFormat="1" applyFont="1" applyFill="1" applyBorder="1" applyAlignment="1" applyProtection="1">
      <alignment horizontal="left"/>
    </xf>
    <xf numFmtId="0" fontId="269" fillId="16" borderId="169" xfId="0" applyFont="1" applyFill="1" applyBorder="1" applyProtection="1">
      <protection hidden="1"/>
    </xf>
    <xf numFmtId="0" fontId="270" fillId="16" borderId="170" xfId="0" applyFont="1" applyFill="1" applyBorder="1" applyProtection="1"/>
    <xf numFmtId="0" fontId="270" fillId="16" borderId="171" xfId="0" applyFont="1" applyFill="1" applyBorder="1" applyProtection="1"/>
    <xf numFmtId="0" fontId="269" fillId="16" borderId="172" xfId="0" applyFont="1" applyFill="1" applyBorder="1" applyProtection="1">
      <protection hidden="1"/>
    </xf>
    <xf numFmtId="0" fontId="270" fillId="16" borderId="0" xfId="0" applyFont="1" applyFill="1" applyBorder="1" applyProtection="1"/>
    <xf numFmtId="0" fontId="270" fillId="16" borderId="173" xfId="0" applyFont="1" applyFill="1" applyBorder="1" applyProtection="1"/>
    <xf numFmtId="0" fontId="269" fillId="16" borderId="174" xfId="0" applyFont="1" applyFill="1" applyBorder="1" applyProtection="1">
      <protection hidden="1"/>
    </xf>
    <xf numFmtId="0" fontId="270" fillId="16" borderId="11" xfId="0" applyFont="1" applyFill="1" applyBorder="1" applyProtection="1"/>
    <xf numFmtId="0" fontId="270" fillId="16" borderId="175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7" xfId="0" applyNumberFormat="1" applyFont="1" applyFill="1" applyBorder="1" applyProtection="1">
      <protection locked="0"/>
    </xf>
    <xf numFmtId="168" fontId="3" fillId="17" borderId="126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5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3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70" fillId="5" borderId="50" xfId="0" applyFont="1" applyFill="1" applyBorder="1" applyProtection="1"/>
    <xf numFmtId="0" fontId="21" fillId="2" borderId="0" xfId="0" applyFont="1" applyFill="1" applyProtection="1"/>
    <xf numFmtId="0" fontId="128" fillId="2" borderId="0" xfId="0" applyFont="1" applyFill="1" applyProtection="1"/>
    <xf numFmtId="0" fontId="3" fillId="19" borderId="146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9" xfId="0" applyFont="1" applyFill="1" applyBorder="1" applyProtection="1"/>
    <xf numFmtId="0" fontId="3" fillId="5" borderId="176" xfId="0" applyFont="1" applyFill="1" applyBorder="1" applyProtection="1"/>
    <xf numFmtId="0" fontId="3" fillId="5" borderId="177" xfId="0" applyFont="1" applyFill="1" applyBorder="1" applyProtection="1"/>
    <xf numFmtId="0" fontId="3" fillId="5" borderId="178" xfId="0" applyFont="1" applyFill="1" applyBorder="1" applyProtection="1"/>
    <xf numFmtId="164" fontId="2" fillId="5" borderId="86" xfId="9" applyNumberFormat="1" applyFont="1" applyFill="1" applyBorder="1" applyAlignment="1" applyProtection="1"/>
    <xf numFmtId="164" fontId="3" fillId="5" borderId="94" xfId="9" applyNumberFormat="1" applyFont="1" applyFill="1" applyBorder="1" applyAlignment="1" applyProtection="1"/>
    <xf numFmtId="168" fontId="2" fillId="0" borderId="165" xfId="9" applyNumberFormat="1" applyFont="1" applyBorder="1" applyAlignment="1" applyProtection="1"/>
    <xf numFmtId="168" fontId="3" fillId="0" borderId="167" xfId="9" applyNumberFormat="1" applyFont="1" applyBorder="1" applyAlignment="1" applyProtection="1"/>
    <xf numFmtId="168" fontId="2" fillId="0" borderId="165" xfId="9" applyNumberFormat="1" applyFont="1" applyBorder="1" applyAlignment="1" applyProtection="1">
      <alignment horizontal="center"/>
    </xf>
    <xf numFmtId="168" fontId="3" fillId="0" borderId="167" xfId="9" applyNumberFormat="1" applyFont="1" applyBorder="1" applyAlignment="1" applyProtection="1">
      <alignment horizontal="center"/>
    </xf>
    <xf numFmtId="168" fontId="2" fillId="0" borderId="164" xfId="9" applyNumberFormat="1" applyFont="1" applyBorder="1" applyAlignment="1" applyProtection="1">
      <alignment horizontal="right"/>
    </xf>
    <xf numFmtId="168" fontId="3" fillId="0" borderId="166" xfId="9" applyNumberFormat="1" applyFont="1" applyBorder="1" applyAlignment="1" applyProtection="1">
      <alignment horizontal="right"/>
    </xf>
    <xf numFmtId="168" fontId="2" fillId="8" borderId="92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/>
    <xf numFmtId="168" fontId="2" fillId="0" borderId="86" xfId="9" applyNumberFormat="1" applyFont="1" applyBorder="1" applyAlignment="1" applyProtection="1"/>
    <xf numFmtId="168" fontId="3" fillId="0" borderId="94" xfId="9" applyNumberFormat="1" applyFont="1" applyBorder="1" applyAlignment="1" applyProtection="1"/>
    <xf numFmtId="168" fontId="2" fillId="0" borderId="164" xfId="9" applyNumberFormat="1" applyFont="1" applyBorder="1" applyAlignment="1" applyProtection="1"/>
    <xf numFmtId="168" fontId="3" fillId="0" borderId="166" xfId="9" applyNumberFormat="1" applyFont="1" applyBorder="1" applyAlignment="1" applyProtection="1"/>
    <xf numFmtId="168" fontId="2" fillId="5" borderId="86" xfId="9" applyNumberFormat="1" applyFont="1" applyFill="1" applyBorder="1" applyAlignment="1" applyProtection="1"/>
    <xf numFmtId="168" fontId="3" fillId="5" borderId="94" xfId="9" applyNumberFormat="1" applyFont="1" applyFill="1" applyBorder="1" applyAlignment="1" applyProtection="1"/>
    <xf numFmtId="168" fontId="2" fillId="0" borderId="179" xfId="9" applyNumberFormat="1" applyFont="1" applyBorder="1" applyAlignment="1" applyProtection="1"/>
    <xf numFmtId="168" fontId="3" fillId="0" borderId="180" xfId="9" applyNumberFormat="1" applyFont="1" applyBorder="1" applyAlignment="1" applyProtection="1"/>
    <xf numFmtId="0" fontId="25" fillId="5" borderId="181" xfId="8" applyFont="1" applyFill="1" applyBorder="1" applyAlignment="1" applyProtection="1">
      <alignment horizontal="left" vertical="center"/>
    </xf>
    <xf numFmtId="164" fontId="3" fillId="5" borderId="182" xfId="9" applyNumberFormat="1" applyFont="1" applyFill="1" applyBorder="1" applyAlignment="1" applyProtection="1">
      <alignment horizontal="left" vertical="center"/>
    </xf>
    <xf numFmtId="0" fontId="111" fillId="5" borderId="183" xfId="8" applyFont="1" applyFill="1" applyBorder="1" applyAlignment="1" applyProtection="1">
      <alignment horizontal="left" vertical="center"/>
    </xf>
    <xf numFmtId="164" fontId="3" fillId="5" borderId="184" xfId="9" applyNumberFormat="1" applyFont="1" applyFill="1" applyBorder="1" applyAlignment="1" applyProtection="1">
      <alignment horizontal="left" vertical="center"/>
    </xf>
    <xf numFmtId="0" fontId="12" fillId="5" borderId="181" xfId="8" applyFont="1" applyFill="1" applyBorder="1" applyAlignment="1" applyProtection="1">
      <alignment vertical="center"/>
    </xf>
    <xf numFmtId="0" fontId="7" fillId="5" borderId="182" xfId="8" applyFont="1" applyFill="1" applyBorder="1" applyProtection="1"/>
    <xf numFmtId="0" fontId="95" fillId="5" borderId="183" xfId="8" applyFont="1" applyFill="1" applyBorder="1" applyAlignment="1" applyProtection="1">
      <alignment horizontal="left" vertical="center"/>
    </xf>
    <xf numFmtId="0" fontId="28" fillId="5" borderId="184" xfId="8" applyFont="1" applyFill="1" applyBorder="1" applyProtection="1"/>
    <xf numFmtId="168" fontId="2" fillId="0" borderId="165" xfId="9" applyNumberFormat="1" applyFont="1" applyBorder="1" applyAlignment="1" applyProtection="1">
      <alignment horizontal="right"/>
    </xf>
    <xf numFmtId="168" fontId="3" fillId="0" borderId="167" xfId="9" applyNumberFormat="1" applyFont="1" applyBorder="1" applyAlignment="1" applyProtection="1">
      <alignment horizontal="right"/>
    </xf>
    <xf numFmtId="164" fontId="3" fillId="5" borderId="182" xfId="9" applyNumberFormat="1" applyFont="1" applyFill="1" applyBorder="1" applyAlignment="1" applyProtection="1">
      <alignment vertical="center"/>
    </xf>
    <xf numFmtId="0" fontId="94" fillId="5" borderId="183" xfId="8" applyFont="1" applyFill="1" applyBorder="1" applyAlignment="1" applyProtection="1">
      <alignment vertical="center"/>
    </xf>
    <xf numFmtId="164" fontId="3" fillId="5" borderId="184" xfId="9" applyNumberFormat="1" applyFont="1" applyFill="1" applyBorder="1" applyAlignment="1" applyProtection="1">
      <alignment horizontal="center" vertical="center"/>
    </xf>
    <xf numFmtId="164" fontId="2" fillId="0" borderId="86" xfId="9" applyNumberFormat="1" applyFont="1" applyFill="1" applyBorder="1" applyAlignment="1" applyProtection="1"/>
    <xf numFmtId="168" fontId="2" fillId="0" borderId="165" xfId="9" applyNumberFormat="1" applyFont="1" applyFill="1" applyBorder="1" applyAlignment="1" applyProtection="1">
      <alignment horizontal="right"/>
    </xf>
    <xf numFmtId="168" fontId="3" fillId="0" borderId="167" xfId="9" applyNumberFormat="1" applyFont="1" applyFill="1" applyBorder="1" applyAlignment="1" applyProtection="1">
      <alignment horizontal="right"/>
    </xf>
    <xf numFmtId="168" fontId="2" fillId="9" borderId="92" xfId="9" applyNumberFormat="1" applyFont="1" applyFill="1" applyBorder="1" applyAlignment="1" applyProtection="1"/>
    <xf numFmtId="168" fontId="3" fillId="9" borderId="95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>
      <alignment horizontal="right"/>
    </xf>
    <xf numFmtId="168" fontId="2" fillId="20" borderId="185" xfId="9" applyNumberFormat="1" applyFont="1" applyFill="1" applyBorder="1" applyAlignment="1" applyProtection="1"/>
    <xf numFmtId="168" fontId="3" fillId="20" borderId="186" xfId="9" applyNumberFormat="1" applyFont="1" applyFill="1" applyBorder="1" applyAlignment="1" applyProtection="1"/>
    <xf numFmtId="168" fontId="2" fillId="20" borderId="185" xfId="9" applyNumberFormat="1" applyFont="1" applyFill="1" applyBorder="1" applyAlignment="1" applyProtection="1">
      <alignment horizontal="right"/>
    </xf>
    <xf numFmtId="168" fontId="3" fillId="20" borderId="186" xfId="9" applyNumberFormat="1" applyFont="1" applyFill="1" applyBorder="1" applyAlignment="1" applyProtection="1">
      <alignment horizontal="right"/>
    </xf>
    <xf numFmtId="0" fontId="7" fillId="17" borderId="0" xfId="5" applyFont="1" applyFill="1" applyProtection="1"/>
    <xf numFmtId="164" fontId="3" fillId="17" borderId="0" xfId="9" applyNumberFormat="1" applyFont="1" applyFill="1" applyAlignment="1" applyProtection="1"/>
    <xf numFmtId="164" fontId="2" fillId="0" borderId="165" xfId="9" applyNumberFormat="1" applyFont="1" applyBorder="1" applyAlignment="1" applyProtection="1"/>
    <xf numFmtId="164" fontId="3" fillId="0" borderId="167" xfId="9" applyNumberFormat="1" applyFont="1" applyBorder="1" applyAlignment="1" applyProtection="1"/>
    <xf numFmtId="164" fontId="2" fillId="0" borderId="164" xfId="9" applyNumberFormat="1" applyFont="1" applyBorder="1" applyAlignment="1" applyProtection="1"/>
    <xf numFmtId="164" fontId="3" fillId="0" borderId="166" xfId="9" applyNumberFormat="1" applyFont="1" applyBorder="1" applyAlignment="1" applyProtection="1"/>
    <xf numFmtId="164" fontId="2" fillId="8" borderId="92" xfId="9" applyNumberFormat="1" applyFont="1" applyFill="1" applyBorder="1" applyAlignment="1" applyProtection="1"/>
    <xf numFmtId="164" fontId="3" fillId="8" borderId="95" xfId="9" applyNumberFormat="1" applyFont="1" applyFill="1" applyBorder="1" applyAlignment="1" applyProtection="1"/>
    <xf numFmtId="164" fontId="2" fillId="0" borderId="86" xfId="9" applyNumberFormat="1" applyFont="1" applyBorder="1" applyAlignment="1" applyProtection="1"/>
    <xf numFmtId="164" fontId="3" fillId="0" borderId="94" xfId="9" applyNumberFormat="1" applyFont="1" applyBorder="1" applyAlignment="1" applyProtection="1"/>
    <xf numFmtId="164" fontId="2" fillId="0" borderId="179" xfId="9" applyNumberFormat="1" applyFont="1" applyBorder="1" applyAlignment="1" applyProtection="1"/>
    <xf numFmtId="164" fontId="3" fillId="0" borderId="180" xfId="9" applyNumberFormat="1" applyFont="1" applyBorder="1" applyAlignment="1" applyProtection="1"/>
    <xf numFmtId="0" fontId="12" fillId="5" borderId="181" xfId="5" applyFont="1" applyFill="1" applyBorder="1" applyAlignment="1" applyProtection="1">
      <alignment vertical="center"/>
    </xf>
    <xf numFmtId="0" fontId="7" fillId="5" borderId="182" xfId="5" applyFont="1" applyFill="1" applyBorder="1" applyProtection="1"/>
    <xf numFmtId="164" fontId="2" fillId="0" borderId="165" xfId="9" applyNumberFormat="1" applyFont="1" applyFill="1" applyBorder="1" applyAlignment="1" applyProtection="1"/>
    <xf numFmtId="164" fontId="3" fillId="0" borderId="167" xfId="9" applyNumberFormat="1" applyFont="1" applyFill="1" applyBorder="1" applyAlignment="1" applyProtection="1"/>
    <xf numFmtId="164" fontId="2" fillId="0" borderId="165" xfId="9" applyNumberFormat="1" applyFont="1" applyBorder="1" applyAlignment="1" applyProtection="1">
      <alignment horizontal="right"/>
    </xf>
    <xf numFmtId="164" fontId="3" fillId="0" borderId="167" xfId="9" applyNumberFormat="1" applyFont="1" applyBorder="1" applyAlignment="1" applyProtection="1">
      <alignment horizontal="right"/>
    </xf>
    <xf numFmtId="164" fontId="2" fillId="9" borderId="92" xfId="9" applyNumberFormat="1" applyFont="1" applyFill="1" applyBorder="1" applyAlignment="1" applyProtection="1"/>
    <xf numFmtId="164" fontId="3" fillId="9" borderId="95" xfId="9" applyNumberFormat="1" applyFont="1" applyFill="1" applyBorder="1" applyAlignment="1" applyProtection="1"/>
    <xf numFmtId="164" fontId="8" fillId="20" borderId="185" xfId="9" applyNumberFormat="1" applyFont="1" applyFill="1" applyBorder="1" applyAlignment="1" applyProtection="1"/>
    <xf numFmtId="164" fontId="15" fillId="20" borderId="186" xfId="9" applyNumberFormat="1" applyFont="1" applyFill="1" applyBorder="1" applyAlignment="1" applyProtection="1"/>
    <xf numFmtId="38" fontId="8" fillId="21" borderId="187" xfId="9" applyNumberFormat="1" applyFont="1" applyFill="1" applyBorder="1" applyAlignment="1" applyProtection="1"/>
    <xf numFmtId="167" fontId="8" fillId="21" borderId="188" xfId="9" applyNumberFormat="1" applyFont="1" applyFill="1" applyBorder="1" applyAlignment="1" applyProtection="1">
      <alignment horizontal="center"/>
    </xf>
    <xf numFmtId="167" fontId="2" fillId="21" borderId="188" xfId="9" applyNumberFormat="1" applyFont="1" applyFill="1" applyBorder="1" applyAlignment="1" applyProtection="1">
      <alignment horizontal="center"/>
    </xf>
    <xf numFmtId="38" fontId="24" fillId="22" borderId="189" xfId="9" applyNumberFormat="1" applyFont="1" applyFill="1" applyBorder="1" applyAlignment="1" applyProtection="1"/>
    <xf numFmtId="167" fontId="8" fillId="22" borderId="98" xfId="9" applyNumberFormat="1" applyFont="1" applyFill="1" applyBorder="1" applyAlignment="1" applyProtection="1">
      <alignment horizontal="center"/>
    </xf>
    <xf numFmtId="168" fontId="2" fillId="22" borderId="96" xfId="9" applyNumberFormat="1" applyFont="1" applyFill="1" applyBorder="1" applyAlignment="1" applyProtection="1"/>
    <xf numFmtId="168" fontId="3" fillId="22" borderId="99" xfId="9" applyNumberFormat="1" applyFont="1" applyFill="1" applyBorder="1" applyAlignment="1" applyProtection="1"/>
    <xf numFmtId="38" fontId="2" fillId="17" borderId="8" xfId="9" applyNumberFormat="1" applyFont="1" applyFill="1" applyBorder="1" applyAlignment="1" applyProtection="1"/>
    <xf numFmtId="38" fontId="3" fillId="17" borderId="50" xfId="9" applyNumberFormat="1" applyFont="1" applyFill="1" applyBorder="1" applyAlignment="1" applyProtection="1"/>
    <xf numFmtId="38" fontId="3" fillId="17" borderId="129" xfId="9" applyNumberFormat="1" applyFont="1" applyFill="1" applyBorder="1" applyAlignment="1" applyProtection="1"/>
    <xf numFmtId="38" fontId="91" fillId="8" borderId="0" xfId="9" applyNumberFormat="1" applyFont="1" applyFill="1" applyAlignment="1" applyProtection="1"/>
    <xf numFmtId="38" fontId="91" fillId="8" borderId="0" xfId="8" applyNumberFormat="1" applyFont="1" applyFill="1" applyAlignment="1" applyProtection="1">
      <alignment horizontal="right"/>
    </xf>
    <xf numFmtId="38" fontId="2" fillId="23" borderId="87" xfId="9" applyNumberFormat="1" applyFont="1" applyFill="1" applyBorder="1" applyAlignment="1" applyProtection="1"/>
    <xf numFmtId="167" fontId="2" fillId="23" borderId="88" xfId="9" applyNumberFormat="1" applyFont="1" applyFill="1" applyBorder="1" applyAlignment="1" applyProtection="1">
      <alignment horizontal="center"/>
    </xf>
    <xf numFmtId="168" fontId="73" fillId="8" borderId="95" xfId="9" applyNumberFormat="1" applyFont="1" applyFill="1" applyBorder="1" applyAlignment="1" applyProtection="1">
      <alignment horizontal="right"/>
    </xf>
    <xf numFmtId="168" fontId="73" fillId="0" borderId="167" xfId="9" applyNumberFormat="1" applyFont="1" applyBorder="1" applyAlignment="1" applyProtection="1">
      <alignment horizontal="right"/>
    </xf>
    <xf numFmtId="168" fontId="73" fillId="0" borderId="166" xfId="9" applyNumberFormat="1" applyFont="1" applyBorder="1" applyAlignment="1" applyProtection="1">
      <alignment horizontal="right"/>
    </xf>
    <xf numFmtId="168" fontId="73" fillId="0" borderId="94" xfId="9" applyNumberFormat="1" applyFont="1" applyBorder="1" applyAlignment="1" applyProtection="1">
      <alignment horizontal="right"/>
    </xf>
    <xf numFmtId="168" fontId="73" fillId="5" borderId="94" xfId="9" applyNumberFormat="1" applyFont="1" applyFill="1" applyBorder="1" applyAlignment="1" applyProtection="1">
      <alignment horizontal="right"/>
    </xf>
    <xf numFmtId="168" fontId="73" fillId="23" borderId="95" xfId="9" applyNumberFormat="1" applyFont="1" applyFill="1" applyBorder="1" applyAlignment="1" applyProtection="1">
      <alignment horizontal="right"/>
    </xf>
    <xf numFmtId="168" fontId="73" fillId="22" borderId="99" xfId="9" applyNumberFormat="1" applyFont="1" applyFill="1" applyBorder="1" applyAlignment="1" applyProtection="1">
      <alignment horizontal="right"/>
    </xf>
    <xf numFmtId="168" fontId="70" fillId="0" borderId="165" xfId="9" applyNumberFormat="1" applyFont="1" applyBorder="1" applyAlignment="1" applyProtection="1">
      <alignment horizontal="right"/>
    </xf>
    <xf numFmtId="168" fontId="70" fillId="0" borderId="164" xfId="9" applyNumberFormat="1" applyFont="1" applyBorder="1" applyAlignment="1" applyProtection="1">
      <alignment horizontal="right"/>
    </xf>
    <xf numFmtId="168" fontId="70" fillId="8" borderId="92" xfId="9" applyNumberFormat="1" applyFont="1" applyFill="1" applyBorder="1" applyAlignment="1" applyProtection="1">
      <alignment horizontal="right"/>
    </xf>
    <xf numFmtId="168" fontId="70" fillId="0" borderId="86" xfId="9" applyNumberFormat="1" applyFont="1" applyBorder="1" applyAlignment="1" applyProtection="1">
      <alignment horizontal="right"/>
    </xf>
    <xf numFmtId="168" fontId="70" fillId="5" borderId="86" xfId="9" applyNumberFormat="1" applyFont="1" applyFill="1" applyBorder="1" applyAlignment="1" applyProtection="1">
      <alignment horizontal="right"/>
    </xf>
    <xf numFmtId="168" fontId="70" fillId="23" borderId="92" xfId="9" applyNumberFormat="1" applyFont="1" applyFill="1" applyBorder="1" applyAlignment="1" applyProtection="1">
      <alignment horizontal="right"/>
    </xf>
    <xf numFmtId="168" fontId="70" fillId="22" borderId="9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/>
    <xf numFmtId="168" fontId="73" fillId="0" borderId="94" xfId="9" applyNumberFormat="1" applyFont="1" applyBorder="1" applyAlignment="1" applyProtection="1">
      <alignment horizontal="center"/>
    </xf>
    <xf numFmtId="164" fontId="70" fillId="5" borderId="86" xfId="9" applyNumberFormat="1" applyFont="1" applyFill="1" applyBorder="1" applyAlignment="1" applyProtection="1"/>
    <xf numFmtId="168" fontId="70" fillId="0" borderId="86" xfId="9" applyNumberFormat="1" applyFont="1" applyBorder="1" applyAlignment="1" applyProtection="1">
      <alignment horizontal="center"/>
    </xf>
    <xf numFmtId="168" fontId="70" fillId="21" borderId="185" xfId="9" applyNumberFormat="1" applyFont="1" applyFill="1" applyBorder="1" applyAlignment="1" applyProtection="1">
      <alignment horizontal="right"/>
    </xf>
    <xf numFmtId="168" fontId="73" fillId="21" borderId="186" xfId="9" applyNumberFormat="1" applyFont="1" applyFill="1" applyBorder="1" applyAlignment="1" applyProtection="1">
      <alignment horizontal="right"/>
    </xf>
    <xf numFmtId="38" fontId="8" fillId="24" borderId="187" xfId="9" applyNumberFormat="1" applyFont="1" applyFill="1" applyBorder="1" applyAlignment="1" applyProtection="1"/>
    <xf numFmtId="167" fontId="8" fillId="24" borderId="188" xfId="9" applyNumberFormat="1" applyFont="1" applyFill="1" applyBorder="1" applyAlignment="1" applyProtection="1">
      <alignment horizontal="center"/>
    </xf>
    <xf numFmtId="168" fontId="70" fillId="24" borderId="185" xfId="9" applyNumberFormat="1" applyFont="1" applyFill="1" applyBorder="1" applyAlignment="1" applyProtection="1">
      <alignment horizontal="right"/>
    </xf>
    <xf numFmtId="168" fontId="73" fillId="24" borderId="186" xfId="9" applyNumberFormat="1" applyFont="1" applyFill="1" applyBorder="1" applyAlignment="1" applyProtection="1">
      <alignment horizontal="right"/>
    </xf>
    <xf numFmtId="38" fontId="8" fillId="25" borderId="187" xfId="9" applyNumberFormat="1" applyFont="1" applyFill="1" applyBorder="1" applyAlignment="1" applyProtection="1"/>
    <xf numFmtId="168" fontId="70" fillId="25" borderId="185" xfId="9" applyNumberFormat="1" applyFont="1" applyFill="1" applyBorder="1" applyAlignment="1" applyProtection="1">
      <alignment horizontal="right"/>
    </xf>
    <xf numFmtId="168" fontId="73" fillId="25" borderId="186" xfId="9" applyNumberFormat="1" applyFont="1" applyFill="1" applyBorder="1" applyAlignment="1" applyProtection="1">
      <alignment horizontal="right"/>
    </xf>
    <xf numFmtId="167" fontId="8" fillId="25" borderId="188" xfId="9" applyNumberFormat="1" applyFont="1" applyFill="1" applyBorder="1" applyAlignment="1" applyProtection="1">
      <alignment horizontal="center"/>
    </xf>
    <xf numFmtId="38" fontId="8" fillId="16" borderId="82" xfId="9" applyNumberFormat="1" applyFont="1" applyFill="1" applyBorder="1" applyAlignment="1" applyProtection="1">
      <alignment horizontal="center" vertical="center"/>
    </xf>
    <xf numFmtId="38" fontId="8" fillId="16" borderId="8" xfId="9" applyNumberFormat="1" applyFont="1" applyFill="1" applyBorder="1" applyAlignment="1" applyProtection="1">
      <alignment horizontal="center" vertical="center"/>
    </xf>
    <xf numFmtId="38" fontId="2" fillId="16" borderId="190" xfId="9" applyNumberFormat="1" applyFont="1" applyFill="1" applyBorder="1" applyAlignment="1" applyProtection="1">
      <alignment horizontal="center" vertical="center"/>
    </xf>
    <xf numFmtId="167" fontId="2" fillId="16" borderId="191" xfId="9" applyNumberFormat="1" applyFont="1" applyFill="1" applyBorder="1" applyAlignment="1" applyProtection="1">
      <alignment horizontal="center" vertical="center"/>
    </xf>
    <xf numFmtId="164" fontId="22" fillId="16" borderId="124" xfId="9" applyNumberFormat="1" applyFont="1" applyFill="1" applyBorder="1" applyAlignment="1" applyProtection="1">
      <alignment horizontal="center" vertical="center" wrapText="1"/>
    </xf>
    <xf numFmtId="164" fontId="29" fillId="16" borderId="192" xfId="9" applyNumberFormat="1" applyFont="1" applyFill="1" applyBorder="1" applyAlignment="1" applyProtection="1">
      <alignment horizontal="center" vertical="center" wrapText="1"/>
    </xf>
    <xf numFmtId="164" fontId="2" fillId="16" borderId="124" xfId="9" applyNumberFormat="1" applyFont="1" applyFill="1" applyBorder="1" applyAlignment="1" applyProtection="1">
      <alignment horizontal="center" vertical="center"/>
    </xf>
    <xf numFmtId="164" fontId="2" fillId="16" borderId="184" xfId="9" applyNumberFormat="1" applyFont="1" applyFill="1" applyBorder="1" applyAlignment="1" applyProtection="1">
      <alignment horizontal="center" vertical="center"/>
    </xf>
    <xf numFmtId="164" fontId="29" fillId="16" borderId="184" xfId="9" applyNumberFormat="1" applyFont="1" applyFill="1" applyBorder="1" applyAlignment="1" applyProtection="1">
      <alignment horizontal="center" vertical="center" wrapText="1"/>
    </xf>
    <xf numFmtId="38" fontId="8" fillId="26" borderId="187" xfId="9" applyNumberFormat="1" applyFont="1" applyFill="1" applyBorder="1" applyAlignment="1" applyProtection="1"/>
    <xf numFmtId="167" fontId="8" fillId="26" borderId="188" xfId="9" applyNumberFormat="1" applyFont="1" applyFill="1" applyBorder="1" applyAlignment="1" applyProtection="1">
      <alignment horizontal="center"/>
    </xf>
    <xf numFmtId="168" fontId="70" fillId="26" borderId="185" xfId="9" applyNumberFormat="1" applyFont="1" applyFill="1" applyBorder="1" applyAlignment="1" applyProtection="1">
      <alignment horizontal="right"/>
    </xf>
    <xf numFmtId="168" fontId="73" fillId="26" borderId="186" xfId="9" applyNumberFormat="1" applyFont="1" applyFill="1" applyBorder="1" applyAlignment="1" applyProtection="1">
      <alignment horizontal="right"/>
    </xf>
    <xf numFmtId="38" fontId="2" fillId="27" borderId="87" xfId="9" applyNumberFormat="1" applyFont="1" applyFill="1" applyBorder="1" applyAlignment="1" applyProtection="1"/>
    <xf numFmtId="167" fontId="2" fillId="27" borderId="88" xfId="9" applyNumberFormat="1" applyFont="1" applyFill="1" applyBorder="1" applyAlignment="1" applyProtection="1">
      <alignment horizontal="center"/>
    </xf>
    <xf numFmtId="168" fontId="70" fillId="27" borderId="92" xfId="9" applyNumberFormat="1" applyFont="1" applyFill="1" applyBorder="1" applyAlignment="1" applyProtection="1">
      <alignment horizontal="right"/>
    </xf>
    <xf numFmtId="168" fontId="73" fillId="27" borderId="95" xfId="9" applyNumberFormat="1" applyFont="1" applyFill="1" applyBorder="1" applyAlignment="1" applyProtection="1">
      <alignment horizontal="right"/>
    </xf>
    <xf numFmtId="38" fontId="8" fillId="27" borderId="187" xfId="9" applyNumberFormat="1" applyFont="1" applyFill="1" applyBorder="1" applyAlignment="1" applyProtection="1"/>
    <xf numFmtId="167" fontId="8" fillId="27" borderId="188" xfId="9" applyNumberFormat="1" applyFont="1" applyFill="1" applyBorder="1" applyAlignment="1" applyProtection="1">
      <alignment horizontal="center"/>
    </xf>
    <xf numFmtId="168" fontId="70" fillId="27" borderId="185" xfId="9" applyNumberFormat="1" applyFont="1" applyFill="1" applyBorder="1" applyAlignment="1" applyProtection="1">
      <alignment horizontal="right"/>
    </xf>
    <xf numFmtId="168" fontId="73" fillId="27" borderId="186" xfId="9" applyNumberFormat="1" applyFont="1" applyFill="1" applyBorder="1" applyAlignment="1" applyProtection="1">
      <alignment horizontal="right"/>
    </xf>
    <xf numFmtId="38" fontId="8" fillId="22" borderId="189" xfId="9" applyNumberFormat="1" applyFont="1" applyFill="1" applyBorder="1" applyAlignment="1" applyProtection="1"/>
    <xf numFmtId="0" fontId="7" fillId="28" borderId="0" xfId="8" applyFont="1" applyFill="1" applyBorder="1" applyAlignment="1" applyProtection="1">
      <alignment horizontal="center"/>
    </xf>
    <xf numFmtId="164" fontId="3" fillId="28" borderId="0" xfId="9" applyNumberFormat="1" applyFont="1" applyFill="1" applyAlignment="1" applyProtection="1"/>
    <xf numFmtId="38" fontId="3" fillId="28" borderId="0" xfId="9" applyNumberFormat="1" applyFont="1" applyFill="1" applyProtection="1"/>
    <xf numFmtId="0" fontId="7" fillId="28" borderId="0" xfId="8" applyFont="1" applyFill="1" applyProtection="1"/>
    <xf numFmtId="38" fontId="110" fillId="29" borderId="0" xfId="9" applyNumberFormat="1" applyFont="1" applyFill="1" applyAlignment="1" applyProtection="1"/>
    <xf numFmtId="38" fontId="24" fillId="29" borderId="81" xfId="9" applyNumberFormat="1" applyFont="1" applyFill="1" applyBorder="1" applyAlignment="1" applyProtection="1">
      <alignment horizontal="center"/>
    </xf>
    <xf numFmtId="164" fontId="3" fillId="29" borderId="0" xfId="9" applyNumberFormat="1" applyFont="1" applyFill="1" applyAlignment="1" applyProtection="1"/>
    <xf numFmtId="38" fontId="2" fillId="29" borderId="0" xfId="9" applyNumberFormat="1" applyFont="1" applyFill="1" applyAlignment="1" applyProtection="1">
      <alignment horizontal="left"/>
    </xf>
    <xf numFmtId="38" fontId="24" fillId="29" borderId="0" xfId="9" applyNumberFormat="1" applyFont="1" applyFill="1" applyAlignment="1" applyProtection="1">
      <alignment horizontal="center"/>
    </xf>
    <xf numFmtId="0" fontId="7" fillId="29" borderId="0" xfId="8" applyFont="1" applyFill="1" applyBorder="1" applyProtection="1"/>
    <xf numFmtId="164" fontId="3" fillId="29" borderId="0" xfId="9" applyNumberFormat="1" applyFont="1" applyFill="1" applyBorder="1" applyAlignment="1" applyProtection="1"/>
    <xf numFmtId="0" fontId="101" fillId="29" borderId="0" xfId="8" applyFont="1" applyFill="1" applyProtection="1"/>
    <xf numFmtId="0" fontId="22" fillId="28" borderId="0" xfId="8" applyFont="1" applyFill="1" applyProtection="1"/>
    <xf numFmtId="0" fontId="2" fillId="28" borderId="0" xfId="8" applyFont="1" applyFill="1" applyProtection="1"/>
    <xf numFmtId="0" fontId="2" fillId="28" borderId="0" xfId="8" applyFont="1" applyFill="1" applyAlignment="1" applyProtection="1">
      <alignment horizontal="right"/>
    </xf>
    <xf numFmtId="164" fontId="271" fillId="28" borderId="0" xfId="9" applyNumberFormat="1" applyFont="1" applyFill="1" applyBorder="1" applyAlignment="1" applyProtection="1">
      <alignment horizontal="left"/>
    </xf>
    <xf numFmtId="38" fontId="2" fillId="29" borderId="0" xfId="9" applyNumberFormat="1" applyFont="1" applyFill="1" applyBorder="1" applyAlignment="1" applyProtection="1"/>
    <xf numFmtId="164" fontId="2" fillId="29" borderId="0" xfId="9" applyNumberFormat="1" applyFont="1" applyFill="1" applyBorder="1" applyAlignment="1" applyProtection="1">
      <alignment horizontal="center"/>
    </xf>
    <xf numFmtId="0" fontId="8" fillId="29" borderId="0" xfId="8" applyFont="1" applyFill="1" applyProtection="1"/>
    <xf numFmtId="0" fontId="15" fillId="29" borderId="0" xfId="8" applyFont="1" applyFill="1" applyProtection="1"/>
    <xf numFmtId="38" fontId="3" fillId="29" borderId="0" xfId="9" applyNumberFormat="1" applyFont="1" applyFill="1" applyProtection="1"/>
    <xf numFmtId="0" fontId="7" fillId="29" borderId="0" xfId="8" applyFont="1" applyFill="1" applyProtection="1"/>
    <xf numFmtId="166" fontId="30" fillId="29" borderId="0" xfId="9" applyNumberFormat="1" applyFont="1" applyFill="1" applyProtection="1"/>
    <xf numFmtId="38" fontId="2" fillId="29" borderId="0" xfId="9" applyNumberFormat="1" applyFont="1" applyFill="1" applyAlignment="1" applyProtection="1">
      <alignment horizontal="right"/>
    </xf>
    <xf numFmtId="164" fontId="3" fillId="29" borderId="48" xfId="9" applyNumberFormat="1" applyFont="1" applyFill="1" applyBorder="1" applyProtection="1"/>
    <xf numFmtId="0" fontId="7" fillId="29" borderId="48" xfId="8" applyFont="1" applyFill="1" applyBorder="1" applyProtection="1"/>
    <xf numFmtId="0" fontId="8" fillId="29" borderId="48" xfId="8" applyFont="1" applyFill="1" applyBorder="1" applyProtection="1"/>
    <xf numFmtId="164" fontId="13" fillId="16" borderId="192" xfId="9" applyNumberFormat="1" applyFont="1" applyFill="1" applyBorder="1" applyAlignment="1" applyProtection="1">
      <alignment horizontal="center" vertical="center" wrapText="1"/>
    </xf>
    <xf numFmtId="164" fontId="13" fillId="16" borderId="184" xfId="9" applyNumberFormat="1" applyFont="1" applyFill="1" applyBorder="1" applyAlignment="1" applyProtection="1">
      <alignment horizontal="center" vertical="center" wrapText="1"/>
    </xf>
    <xf numFmtId="164" fontId="70" fillId="0" borderId="86" xfId="9" applyNumberFormat="1" applyFont="1" applyBorder="1" applyAlignment="1" applyProtection="1">
      <alignment horizontal="center"/>
    </xf>
    <xf numFmtId="164" fontId="73" fillId="0" borderId="94" xfId="9" applyNumberFormat="1" applyFont="1" applyBorder="1" applyAlignment="1" applyProtection="1">
      <alignment horizontal="center"/>
    </xf>
    <xf numFmtId="164" fontId="70" fillId="0" borderId="165" xfId="9" applyNumberFormat="1" applyFont="1" applyBorder="1" applyAlignment="1" applyProtection="1">
      <alignment horizontal="right"/>
    </xf>
    <xf numFmtId="164" fontId="73" fillId="0" borderId="167" xfId="9" applyNumberFormat="1" applyFont="1" applyBorder="1" applyAlignment="1" applyProtection="1">
      <alignment horizontal="right"/>
    </xf>
    <xf numFmtId="164" fontId="70" fillId="0" borderId="164" xfId="9" applyNumberFormat="1" applyFont="1" applyBorder="1" applyAlignment="1" applyProtection="1">
      <alignment horizontal="right"/>
    </xf>
    <xf numFmtId="164" fontId="73" fillId="0" borderId="166" xfId="9" applyNumberFormat="1" applyFont="1" applyBorder="1" applyAlignment="1" applyProtection="1">
      <alignment horizontal="right"/>
    </xf>
    <xf numFmtId="164" fontId="70" fillId="8" borderId="92" xfId="9" applyNumberFormat="1" applyFont="1" applyFill="1" applyBorder="1" applyAlignment="1" applyProtection="1">
      <alignment horizontal="right"/>
    </xf>
    <xf numFmtId="164" fontId="73" fillId="8" borderId="95" xfId="9" applyNumberFormat="1" applyFont="1" applyFill="1" applyBorder="1" applyAlignment="1" applyProtection="1">
      <alignment horizontal="right"/>
    </xf>
    <xf numFmtId="164" fontId="70" fillId="0" borderId="86" xfId="9" applyNumberFormat="1" applyFont="1" applyBorder="1" applyAlignment="1" applyProtection="1">
      <alignment horizontal="right"/>
    </xf>
    <xf numFmtId="164" fontId="73" fillId="0" borderId="94" xfId="9" applyNumberFormat="1" applyFont="1" applyBorder="1" applyAlignment="1" applyProtection="1">
      <alignment horizontal="right"/>
    </xf>
    <xf numFmtId="164" fontId="70" fillId="21" borderId="185" xfId="9" applyNumberFormat="1" applyFont="1" applyFill="1" applyBorder="1" applyAlignment="1" applyProtection="1">
      <alignment horizontal="right"/>
    </xf>
    <xf numFmtId="164" fontId="73" fillId="21" borderId="186" xfId="9" applyNumberFormat="1" applyFont="1" applyFill="1" applyBorder="1" applyAlignment="1" applyProtection="1">
      <alignment horizontal="right"/>
    </xf>
    <xf numFmtId="164" fontId="70" fillId="5" borderId="8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>
      <alignment horizontal="right"/>
    </xf>
    <xf numFmtId="164" fontId="70" fillId="23" borderId="92" xfId="9" applyNumberFormat="1" applyFont="1" applyFill="1" applyBorder="1" applyAlignment="1" applyProtection="1">
      <alignment horizontal="right"/>
    </xf>
    <xf numFmtId="164" fontId="73" fillId="23" borderId="95" xfId="9" applyNumberFormat="1" applyFont="1" applyFill="1" applyBorder="1" applyAlignment="1" applyProtection="1">
      <alignment horizontal="right"/>
    </xf>
    <xf numFmtId="164" fontId="70" fillId="25" borderId="185" xfId="9" applyNumberFormat="1" applyFont="1" applyFill="1" applyBorder="1" applyAlignment="1" applyProtection="1">
      <alignment horizontal="right"/>
    </xf>
    <xf numFmtId="164" fontId="73" fillId="25" borderId="186" xfId="9" applyNumberFormat="1" applyFont="1" applyFill="1" applyBorder="1" applyAlignment="1" applyProtection="1">
      <alignment horizontal="right"/>
    </xf>
    <xf numFmtId="164" fontId="70" fillId="24" borderId="185" xfId="9" applyNumberFormat="1" applyFont="1" applyFill="1" applyBorder="1" applyAlignment="1" applyProtection="1">
      <alignment horizontal="right"/>
    </xf>
    <xf numFmtId="164" fontId="73" fillId="24" borderId="186" xfId="9" applyNumberFormat="1" applyFont="1" applyFill="1" applyBorder="1" applyAlignment="1" applyProtection="1">
      <alignment horizontal="right"/>
    </xf>
    <xf numFmtId="164" fontId="70" fillId="26" borderId="185" xfId="9" applyNumberFormat="1" applyFont="1" applyFill="1" applyBorder="1" applyAlignment="1" applyProtection="1">
      <alignment horizontal="right"/>
    </xf>
    <xf numFmtId="164" fontId="73" fillId="26" borderId="186" xfId="9" applyNumberFormat="1" applyFont="1" applyFill="1" applyBorder="1" applyAlignment="1" applyProtection="1">
      <alignment horizontal="right"/>
    </xf>
    <xf numFmtId="164" fontId="70" fillId="27" borderId="92" xfId="9" applyNumberFormat="1" applyFont="1" applyFill="1" applyBorder="1" applyAlignment="1" applyProtection="1">
      <alignment horizontal="right"/>
    </xf>
    <xf numFmtId="164" fontId="73" fillId="27" borderId="95" xfId="9" applyNumberFormat="1" applyFont="1" applyFill="1" applyBorder="1" applyAlignment="1" applyProtection="1">
      <alignment horizontal="right"/>
    </xf>
    <xf numFmtId="164" fontId="70" fillId="27" borderId="185" xfId="9" applyNumberFormat="1" applyFont="1" applyFill="1" applyBorder="1" applyAlignment="1" applyProtection="1">
      <alignment horizontal="right"/>
    </xf>
    <xf numFmtId="164" fontId="73" fillId="27" borderId="186" xfId="9" applyNumberFormat="1" applyFont="1" applyFill="1" applyBorder="1" applyAlignment="1" applyProtection="1">
      <alignment horizontal="right"/>
    </xf>
    <xf numFmtId="164" fontId="70" fillId="22" borderId="96" xfId="9" applyNumberFormat="1" applyFont="1" applyFill="1" applyBorder="1" applyAlignment="1" applyProtection="1">
      <alignment horizontal="right"/>
    </xf>
    <xf numFmtId="164" fontId="73" fillId="22" borderId="99" xfId="9" applyNumberFormat="1" applyFont="1" applyFill="1" applyBorder="1" applyAlignment="1" applyProtection="1">
      <alignment horizontal="right"/>
    </xf>
    <xf numFmtId="0" fontId="2" fillId="30" borderId="0" xfId="8" applyFont="1" applyFill="1" applyProtection="1"/>
    <xf numFmtId="0" fontId="7" fillId="30" borderId="0" xfId="8" applyFont="1" applyFill="1" applyBorder="1" applyAlignment="1" applyProtection="1">
      <alignment horizontal="center"/>
    </xf>
    <xf numFmtId="0" fontId="22" fillId="30" borderId="0" xfId="8" applyFont="1" applyFill="1" applyProtection="1"/>
    <xf numFmtId="0" fontId="7" fillId="30" borderId="0" xfId="8" applyFont="1" applyFill="1" applyProtection="1"/>
    <xf numFmtId="0" fontId="2" fillId="30" borderId="0" xfId="8" applyFont="1" applyFill="1" applyAlignment="1" applyProtection="1">
      <alignment horizontal="right"/>
    </xf>
    <xf numFmtId="164" fontId="3" fillId="30" borderId="0" xfId="9" applyNumberFormat="1" applyFont="1" applyFill="1" applyAlignment="1" applyProtection="1"/>
    <xf numFmtId="38" fontId="3" fillId="30" borderId="0" xfId="9" applyNumberFormat="1" applyFont="1" applyFill="1" applyProtection="1"/>
    <xf numFmtId="0" fontId="8" fillId="31" borderId="0" xfId="8" applyFont="1" applyFill="1" applyBorder="1" applyAlignment="1" applyProtection="1">
      <alignment horizontal="left"/>
    </xf>
    <xf numFmtId="0" fontId="8" fillId="31" borderId="0" xfId="8" applyFont="1" applyFill="1" applyBorder="1" applyAlignment="1" applyProtection="1">
      <alignment horizontal="right"/>
    </xf>
    <xf numFmtId="164" fontId="8" fillId="30" borderId="0" xfId="9" applyNumberFormat="1" applyFont="1" applyFill="1" applyBorder="1" applyAlignment="1" applyProtection="1">
      <alignment horizontal="left"/>
    </xf>
    <xf numFmtId="0" fontId="7" fillId="30" borderId="48" xfId="8" applyFont="1" applyFill="1" applyBorder="1" applyAlignment="1" applyProtection="1">
      <alignment horizontal="center"/>
    </xf>
    <xf numFmtId="38" fontId="23" fillId="30" borderId="48" xfId="9" applyNumberFormat="1" applyFont="1" applyFill="1" applyBorder="1" applyAlignment="1" applyProtection="1">
      <alignment horizontal="left"/>
    </xf>
    <xf numFmtId="38" fontId="15" fillId="17" borderId="0" xfId="9" applyNumberFormat="1" applyFont="1" applyFill="1" applyAlignment="1" applyProtection="1"/>
    <xf numFmtId="38" fontId="24" fillId="17" borderId="81" xfId="9" applyNumberFormat="1" applyFont="1" applyFill="1" applyBorder="1" applyAlignment="1" applyProtection="1">
      <alignment horizontal="center"/>
    </xf>
    <xf numFmtId="38" fontId="2" fillId="17" borderId="0" xfId="9" applyNumberFormat="1" applyFont="1" applyFill="1" applyAlignment="1" applyProtection="1">
      <alignment horizontal="left"/>
    </xf>
    <xf numFmtId="38" fontId="24" fillId="17" borderId="0" xfId="9" applyNumberFormat="1" applyFont="1" applyFill="1" applyAlignment="1" applyProtection="1">
      <alignment horizontal="center"/>
    </xf>
    <xf numFmtId="0" fontId="7" fillId="17" borderId="0" xfId="8" applyFont="1" applyFill="1" applyBorder="1" applyProtection="1"/>
    <xf numFmtId="164" fontId="3" fillId="17" borderId="0" xfId="9" applyNumberFormat="1" applyFont="1" applyFill="1" applyBorder="1" applyAlignment="1" applyProtection="1"/>
    <xf numFmtId="0" fontId="7" fillId="17" borderId="0" xfId="8" applyFont="1" applyFill="1" applyProtection="1"/>
    <xf numFmtId="38" fontId="2" fillId="17" borderId="0" xfId="9" applyNumberFormat="1" applyFont="1" applyFill="1" applyBorder="1" applyAlignment="1" applyProtection="1"/>
    <xf numFmtId="164" fontId="2" fillId="17" borderId="0" xfId="9" applyNumberFormat="1" applyFont="1" applyFill="1" applyBorder="1" applyAlignment="1" applyProtection="1">
      <alignment horizontal="center"/>
    </xf>
    <xf numFmtId="0" fontId="15" fillId="17" borderId="0" xfId="8" applyFont="1" applyFill="1" applyProtection="1"/>
    <xf numFmtId="164" fontId="3" fillId="17" borderId="48" xfId="9" applyNumberFormat="1" applyFont="1" applyFill="1" applyBorder="1" applyProtection="1"/>
    <xf numFmtId="38" fontId="3" fillId="17" borderId="0" xfId="9" applyNumberFormat="1" applyFont="1" applyFill="1" applyProtection="1"/>
    <xf numFmtId="166" fontId="30" fillId="17" borderId="0" xfId="9" applyNumberFormat="1" applyFont="1" applyFill="1" applyProtection="1"/>
    <xf numFmtId="38" fontId="2" fillId="17" borderId="0" xfId="9" applyNumberFormat="1" applyFont="1" applyFill="1" applyAlignment="1" applyProtection="1">
      <alignment horizontal="right"/>
    </xf>
    <xf numFmtId="0" fontId="7" fillId="17" borderId="48" xfId="8" applyFont="1" applyFill="1" applyBorder="1" applyProtection="1"/>
    <xf numFmtId="0" fontId="8" fillId="17" borderId="48" xfId="8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7" xfId="0" applyNumberFormat="1" applyFont="1" applyFill="1" applyBorder="1" applyProtection="1"/>
    <xf numFmtId="168" fontId="3" fillId="32" borderId="126" xfId="0" applyNumberFormat="1" applyFont="1" applyFill="1" applyBorder="1" applyProtection="1"/>
    <xf numFmtId="168" fontId="3" fillId="32" borderId="125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5" xfId="0" applyNumberFormat="1" applyFont="1" applyFill="1" applyBorder="1" applyProtection="1">
      <protection locked="0"/>
    </xf>
    <xf numFmtId="169" fontId="3" fillId="17" borderId="126" xfId="0" applyNumberFormat="1" applyFont="1" applyFill="1" applyBorder="1" applyAlignment="1" applyProtection="1">
      <alignment horizontal="center"/>
    </xf>
    <xf numFmtId="168" fontId="3" fillId="17" borderId="127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72" fillId="18" borderId="23" xfId="0" applyNumberFormat="1" applyFont="1" applyFill="1" applyBorder="1" applyProtection="1"/>
    <xf numFmtId="168" fontId="272" fillId="18" borderId="40" xfId="0" applyNumberFormat="1" applyFont="1" applyFill="1" applyBorder="1" applyProtection="1"/>
    <xf numFmtId="168" fontId="272" fillId="18" borderId="26" xfId="0" applyNumberFormat="1" applyFont="1" applyFill="1" applyBorder="1" applyProtection="1"/>
    <xf numFmtId="168" fontId="272" fillId="18" borderId="25" xfId="0" applyNumberFormat="1" applyFont="1" applyFill="1" applyBorder="1" applyProtection="1"/>
    <xf numFmtId="168" fontId="272" fillId="18" borderId="27" xfId="0" applyNumberFormat="1" applyFont="1" applyFill="1" applyBorder="1" applyProtection="1"/>
    <xf numFmtId="168" fontId="272" fillId="18" borderId="24" xfId="0" applyNumberFormat="1" applyFont="1" applyFill="1" applyBorder="1" applyProtection="1"/>
    <xf numFmtId="168" fontId="273" fillId="18" borderId="23" xfId="0" applyNumberFormat="1" applyFont="1" applyFill="1" applyBorder="1" applyProtection="1"/>
    <xf numFmtId="168" fontId="273" fillId="18" borderId="40" xfId="0" applyNumberFormat="1" applyFont="1" applyFill="1" applyBorder="1" applyProtection="1"/>
    <xf numFmtId="168" fontId="273" fillId="18" borderId="26" xfId="0" applyNumberFormat="1" applyFont="1" applyFill="1" applyBorder="1" applyProtection="1"/>
    <xf numFmtId="168" fontId="273" fillId="18" borderId="25" xfId="0" applyNumberFormat="1" applyFont="1" applyFill="1" applyBorder="1" applyProtection="1"/>
    <xf numFmtId="168" fontId="273" fillId="18" borderId="27" xfId="0" applyNumberFormat="1" applyFont="1" applyFill="1" applyBorder="1" applyProtection="1"/>
    <xf numFmtId="168" fontId="273" fillId="18" borderId="24" xfId="0" applyNumberFormat="1" applyFont="1" applyFill="1" applyBorder="1" applyProtection="1"/>
    <xf numFmtId="168" fontId="273" fillId="11" borderId="31" xfId="0" applyNumberFormat="1" applyFont="1" applyFill="1" applyBorder="1" applyProtection="1"/>
    <xf numFmtId="168" fontId="273" fillId="11" borderId="29" xfId="0" applyNumberFormat="1" applyFont="1" applyFill="1" applyBorder="1" applyProtection="1"/>
    <xf numFmtId="168" fontId="273" fillId="11" borderId="28" xfId="0" applyNumberFormat="1" applyFont="1" applyFill="1" applyBorder="1" applyProtection="1"/>
    <xf numFmtId="168" fontId="273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74" fillId="18" borderId="23" xfId="0" applyNumberFormat="1" applyFont="1" applyFill="1" applyBorder="1" applyProtection="1"/>
    <xf numFmtId="168" fontId="274" fillId="18" borderId="40" xfId="0" applyNumberFormat="1" applyFont="1" applyFill="1" applyBorder="1" applyProtection="1"/>
    <xf numFmtId="168" fontId="274" fillId="18" borderId="26" xfId="0" applyNumberFormat="1" applyFont="1" applyFill="1" applyBorder="1" applyProtection="1"/>
    <xf numFmtId="168" fontId="274" fillId="18" borderId="25" xfId="0" applyNumberFormat="1" applyFont="1" applyFill="1" applyBorder="1" applyProtection="1"/>
    <xf numFmtId="168" fontId="274" fillId="18" borderId="27" xfId="0" applyNumberFormat="1" applyFont="1" applyFill="1" applyBorder="1" applyProtection="1"/>
    <xf numFmtId="168" fontId="274" fillId="18" borderId="24" xfId="0" applyNumberFormat="1" applyFont="1" applyFill="1" applyBorder="1" applyProtection="1"/>
    <xf numFmtId="168" fontId="275" fillId="18" borderId="23" xfId="0" applyNumberFormat="1" applyFont="1" applyFill="1" applyBorder="1" applyProtection="1"/>
    <xf numFmtId="168" fontId="275" fillId="18" borderId="25" xfId="0" applyNumberFormat="1" applyFont="1" applyFill="1" applyBorder="1" applyProtection="1"/>
    <xf numFmtId="168" fontId="275" fillId="18" borderId="26" xfId="0" applyNumberFormat="1" applyFont="1" applyFill="1" applyBorder="1" applyProtection="1"/>
    <xf numFmtId="168" fontId="275" fillId="18" borderId="27" xfId="0" applyNumberFormat="1" applyFont="1" applyFill="1" applyBorder="1" applyProtection="1"/>
    <xf numFmtId="168" fontId="275" fillId="18" borderId="24" xfId="0" applyNumberFormat="1" applyFont="1" applyFill="1" applyBorder="1" applyProtection="1"/>
    <xf numFmtId="168" fontId="275" fillId="11" borderId="31" xfId="0" applyNumberFormat="1" applyFont="1" applyFill="1" applyBorder="1" applyProtection="1"/>
    <xf numFmtId="168" fontId="275" fillId="11" borderId="29" xfId="0" applyNumberFormat="1" applyFont="1" applyFill="1" applyBorder="1" applyProtection="1"/>
    <xf numFmtId="168" fontId="275" fillId="11" borderId="28" xfId="0" applyNumberFormat="1" applyFont="1" applyFill="1" applyBorder="1" applyProtection="1"/>
    <xf numFmtId="168" fontId="275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89" xfId="0" applyNumberFormat="1" applyFont="1" applyFill="1" applyBorder="1" applyAlignment="1" applyProtection="1">
      <alignment horizontal="center"/>
    </xf>
    <xf numFmtId="4" fontId="276" fillId="33" borderId="89" xfId="0" applyNumberFormat="1" applyFont="1" applyFill="1" applyBorder="1" applyAlignment="1" applyProtection="1">
      <alignment horizontal="center"/>
    </xf>
    <xf numFmtId="4" fontId="276" fillId="33" borderId="193" xfId="0" applyNumberFormat="1" applyFont="1" applyFill="1" applyBorder="1" applyAlignment="1" applyProtection="1">
      <alignment horizontal="center"/>
    </xf>
    <xf numFmtId="4" fontId="27" fillId="3" borderId="193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6" xfId="0" applyFont="1" applyFill="1" applyBorder="1" applyAlignment="1" applyProtection="1"/>
    <xf numFmtId="0" fontId="17" fillId="34" borderId="147" xfId="0" applyFont="1" applyFill="1" applyBorder="1" applyProtection="1"/>
    <xf numFmtId="0" fontId="275" fillId="34" borderId="146" xfId="0" applyFont="1" applyFill="1" applyBorder="1" applyAlignment="1" applyProtection="1"/>
    <xf numFmtId="0" fontId="277" fillId="34" borderId="0" xfId="0" applyFont="1" applyFill="1" applyBorder="1" applyAlignment="1" applyProtection="1"/>
    <xf numFmtId="0" fontId="277" fillId="34" borderId="8" xfId="0" applyFont="1" applyFill="1" applyBorder="1" applyAlignment="1" applyProtection="1"/>
    <xf numFmtId="0" fontId="277" fillId="34" borderId="87" xfId="0" applyFont="1" applyFill="1" applyBorder="1" applyAlignment="1" applyProtection="1"/>
    <xf numFmtId="0" fontId="277" fillId="34" borderId="146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77" fillId="34" borderId="189" xfId="0" applyFont="1" applyFill="1" applyBorder="1" applyAlignment="1" applyProtection="1"/>
    <xf numFmtId="0" fontId="277" fillId="34" borderId="194" xfId="0" applyFont="1" applyFill="1" applyBorder="1" applyAlignment="1" applyProtection="1"/>
    <xf numFmtId="0" fontId="17" fillId="34" borderId="194" xfId="0" applyFont="1" applyFill="1" applyBorder="1" applyAlignment="1" applyProtection="1"/>
    <xf numFmtId="0" fontId="17" fillId="34" borderId="195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78" fillId="34" borderId="194" xfId="0" applyFont="1" applyFill="1" applyBorder="1" applyAlignment="1" applyProtection="1">
      <alignment horizontal="left"/>
    </xf>
    <xf numFmtId="0" fontId="279" fillId="34" borderId="194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80" fillId="34" borderId="88" xfId="0" applyNumberFormat="1" applyFont="1" applyFill="1" applyBorder="1" applyAlignment="1">
      <alignment horizontal="center"/>
    </xf>
    <xf numFmtId="16" fontId="281" fillId="34" borderId="70" xfId="0" applyNumberFormat="1" applyFont="1" applyFill="1" applyBorder="1" applyAlignment="1" applyProtection="1">
      <alignment horizontal="center"/>
    </xf>
    <xf numFmtId="4" fontId="282" fillId="2" borderId="0" xfId="0" applyNumberFormat="1" applyFont="1" applyFill="1" applyProtection="1"/>
    <xf numFmtId="171" fontId="272" fillId="18" borderId="196" xfId="0" applyNumberFormat="1" applyFont="1" applyFill="1" applyBorder="1" applyAlignment="1" applyProtection="1">
      <alignment horizontal="center"/>
    </xf>
    <xf numFmtId="171" fontId="16" fillId="3" borderId="196" xfId="0" applyNumberFormat="1" applyFont="1" applyFill="1" applyBorder="1" applyAlignment="1" applyProtection="1">
      <alignment horizontal="center"/>
    </xf>
    <xf numFmtId="0" fontId="39" fillId="4" borderId="197" xfId="0" applyFont="1" applyFill="1" applyBorder="1" applyAlignment="1" applyProtection="1">
      <alignment horizontal="left"/>
    </xf>
    <xf numFmtId="0" fontId="39" fillId="4" borderId="146" xfId="0" applyFont="1" applyFill="1" applyBorder="1" applyAlignment="1" applyProtection="1">
      <alignment horizontal="left"/>
    </xf>
    <xf numFmtId="0" fontId="38" fillId="4" borderId="146" xfId="0" applyFont="1" applyFill="1" applyBorder="1" applyAlignment="1" applyProtection="1">
      <alignment horizontal="right"/>
    </xf>
    <xf numFmtId="0" fontId="38" fillId="4" borderId="198" xfId="0" applyFont="1" applyFill="1" applyBorder="1" applyAlignment="1" applyProtection="1">
      <alignment horizontal="right"/>
    </xf>
    <xf numFmtId="0" fontId="283" fillId="34" borderId="199" xfId="0" applyFont="1" applyFill="1" applyBorder="1" applyAlignment="1" applyProtection="1">
      <alignment horizontal="left"/>
    </xf>
    <xf numFmtId="168" fontId="272" fillId="11" borderId="200" xfId="0" applyNumberFormat="1" applyFont="1" applyFill="1" applyBorder="1" applyProtection="1"/>
    <xf numFmtId="168" fontId="16" fillId="3" borderId="201" xfId="0" applyNumberFormat="1" applyFont="1" applyFill="1" applyBorder="1" applyProtection="1"/>
    <xf numFmtId="4" fontId="16" fillId="3" borderId="202" xfId="0" applyNumberFormat="1" applyFont="1" applyFill="1" applyBorder="1" applyAlignment="1" applyProtection="1">
      <alignment horizontal="center"/>
    </xf>
    <xf numFmtId="4" fontId="16" fillId="3" borderId="203" xfId="0" applyNumberFormat="1" applyFont="1" applyFill="1" applyBorder="1" applyAlignment="1" applyProtection="1">
      <alignment horizontal="center"/>
    </xf>
    <xf numFmtId="4" fontId="16" fillId="11" borderId="202" xfId="0" applyNumberFormat="1" applyFont="1" applyFill="1" applyBorder="1" applyAlignment="1" applyProtection="1">
      <alignment horizontal="center"/>
    </xf>
    <xf numFmtId="4" fontId="16" fillId="11" borderId="203" xfId="0" applyNumberFormat="1" applyFont="1" applyFill="1" applyBorder="1" applyAlignment="1" applyProtection="1">
      <alignment horizontal="center"/>
    </xf>
    <xf numFmtId="4" fontId="16" fillId="7" borderId="202" xfId="0" applyNumberFormat="1" applyFont="1" applyFill="1" applyBorder="1" applyAlignment="1" applyProtection="1">
      <alignment horizontal="center"/>
    </xf>
    <xf numFmtId="4" fontId="16" fillId="7" borderId="203" xfId="0" applyNumberFormat="1" applyFont="1" applyFill="1" applyBorder="1" applyAlignment="1" applyProtection="1">
      <alignment horizontal="center"/>
    </xf>
    <xf numFmtId="4" fontId="2" fillId="5" borderId="155" xfId="0" applyNumberFormat="1" applyFont="1" applyFill="1" applyBorder="1" applyAlignment="1" applyProtection="1">
      <alignment horizontal="center"/>
    </xf>
    <xf numFmtId="4" fontId="62" fillId="5" borderId="204" xfId="0" applyNumberFormat="1" applyFont="1" applyFill="1" applyBorder="1" applyAlignment="1" applyProtection="1">
      <alignment horizontal="center"/>
    </xf>
    <xf numFmtId="0" fontId="71" fillId="17" borderId="151" xfId="8" applyFont="1" applyFill="1" applyBorder="1" applyProtection="1"/>
    <xf numFmtId="0" fontId="7" fillId="17" borderId="153" xfId="8" applyFont="1" applyFill="1" applyBorder="1" applyProtection="1"/>
    <xf numFmtId="0" fontId="71" fillId="17" borderId="187" xfId="8" applyFont="1" applyFill="1" applyBorder="1" applyProtection="1"/>
    <xf numFmtId="0" fontId="7" fillId="17" borderId="205" xfId="8" applyFont="1" applyFill="1" applyBorder="1" applyProtection="1"/>
    <xf numFmtId="3" fontId="16" fillId="3" borderId="202" xfId="0" applyNumberFormat="1" applyFont="1" applyFill="1" applyBorder="1" applyAlignment="1" applyProtection="1">
      <alignment horizontal="center"/>
    </xf>
    <xf numFmtId="3" fontId="16" fillId="11" borderId="202" xfId="0" applyNumberFormat="1" applyFont="1" applyFill="1" applyBorder="1" applyAlignment="1" applyProtection="1">
      <alignment horizontal="center"/>
    </xf>
    <xf numFmtId="3" fontId="7" fillId="2" borderId="0" xfId="8" applyNumberFormat="1" applyFont="1" applyFill="1" applyProtection="1"/>
    <xf numFmtId="3" fontId="16" fillId="7" borderId="202" xfId="0" applyNumberFormat="1" applyFont="1" applyFill="1" applyBorder="1" applyAlignment="1" applyProtection="1">
      <alignment horizontal="center"/>
    </xf>
    <xf numFmtId="3" fontId="16" fillId="3" borderId="203" xfId="0" applyNumberFormat="1" applyFont="1" applyFill="1" applyBorder="1" applyAlignment="1" applyProtection="1">
      <alignment horizontal="center"/>
    </xf>
    <xf numFmtId="3" fontId="16" fillId="11" borderId="203" xfId="0" applyNumberFormat="1" applyFont="1" applyFill="1" applyBorder="1" applyAlignment="1" applyProtection="1">
      <alignment horizontal="center"/>
    </xf>
    <xf numFmtId="3" fontId="16" fillId="7" borderId="203" xfId="0" applyNumberFormat="1" applyFont="1" applyFill="1" applyBorder="1" applyAlignment="1" applyProtection="1">
      <alignment horizontal="center"/>
    </xf>
    <xf numFmtId="3" fontId="16" fillId="17" borderId="155" xfId="0" applyNumberFormat="1" applyFont="1" applyFill="1" applyBorder="1" applyAlignment="1" applyProtection="1">
      <alignment horizontal="center"/>
    </xf>
    <xf numFmtId="3" fontId="16" fillId="17" borderId="204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5" xfId="0" applyNumberFormat="1" applyFont="1" applyFill="1" applyBorder="1" applyProtection="1"/>
    <xf numFmtId="0" fontId="17" fillId="34" borderId="148" xfId="0" applyFont="1" applyFill="1" applyBorder="1" applyAlignment="1" applyProtection="1"/>
    <xf numFmtId="0" fontId="17" fillId="34" borderId="93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6" xfId="0" applyNumberFormat="1" applyFont="1" applyFill="1" applyBorder="1" applyProtection="1"/>
    <xf numFmtId="168" fontId="36" fillId="3" borderId="207" xfId="0" applyNumberFormat="1" applyFont="1" applyFill="1" applyBorder="1" applyProtection="1"/>
    <xf numFmtId="168" fontId="272" fillId="18" borderId="208" xfId="0" applyNumberFormat="1" applyFont="1" applyFill="1" applyBorder="1" applyProtection="1"/>
    <xf numFmtId="168" fontId="272" fillId="18" borderId="209" xfId="0" applyNumberFormat="1" applyFont="1" applyFill="1" applyBorder="1" applyProtection="1"/>
    <xf numFmtId="4" fontId="44" fillId="5" borderId="145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9" fillId="18" borderId="193" xfId="0" applyNumberFormat="1" applyFont="1" applyFill="1" applyBorder="1" applyAlignment="1" applyProtection="1">
      <alignment horizontal="center"/>
    </xf>
    <xf numFmtId="165" fontId="12" fillId="5" borderId="196" xfId="0" applyNumberFormat="1" applyFont="1" applyFill="1" applyBorder="1" applyAlignment="1" applyProtection="1">
      <alignment horizontal="center" vertical="center"/>
      <protection locked="0"/>
    </xf>
    <xf numFmtId="0" fontId="13" fillId="5" borderId="196" xfId="0" applyFont="1" applyFill="1" applyBorder="1" applyAlignment="1" applyProtection="1">
      <alignment horizontal="center"/>
      <protection locked="0"/>
    </xf>
    <xf numFmtId="1" fontId="284" fillId="16" borderId="196" xfId="0" applyNumberFormat="1" applyFont="1" applyFill="1" applyBorder="1" applyAlignment="1" applyProtection="1">
      <alignment horizontal="center" vertical="center"/>
    </xf>
    <xf numFmtId="165" fontId="12" fillId="5" borderId="196" xfId="0" applyNumberFormat="1" applyFont="1" applyFill="1" applyBorder="1" applyAlignment="1" applyProtection="1">
      <alignment horizontal="center" vertical="center"/>
    </xf>
    <xf numFmtId="0" fontId="13" fillId="5" borderId="196" xfId="0" applyFont="1" applyFill="1" applyBorder="1" applyAlignment="1" applyProtection="1">
      <alignment horizontal="center"/>
    </xf>
    <xf numFmtId="4" fontId="16" fillId="17" borderId="155" xfId="0" applyNumberFormat="1" applyFont="1" applyFill="1" applyBorder="1" applyAlignment="1" applyProtection="1">
      <alignment horizontal="center"/>
    </xf>
    <xf numFmtId="4" fontId="16" fillId="17" borderId="204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6" xfId="0" applyNumberFormat="1" applyFont="1" applyFill="1" applyBorder="1" applyProtection="1"/>
    <xf numFmtId="0" fontId="70" fillId="5" borderId="0" xfId="0" applyFont="1" applyFill="1" applyBorder="1" applyProtection="1"/>
    <xf numFmtId="0" fontId="70" fillId="5" borderId="48" xfId="0" applyFont="1" applyFill="1" applyBorder="1" applyProtection="1"/>
    <xf numFmtId="0" fontId="70" fillId="19" borderId="146" xfId="0" applyFont="1" applyFill="1" applyBorder="1" applyProtection="1"/>
    <xf numFmtId="0" fontId="73" fillId="17" borderId="48" xfId="0" applyFont="1" applyFill="1" applyBorder="1" applyProtection="1"/>
    <xf numFmtId="0" fontId="73" fillId="17" borderId="51" xfId="0" applyFont="1" applyFill="1" applyBorder="1" applyProtection="1"/>
    <xf numFmtId="0" fontId="3" fillId="17" borderId="48" xfId="0" applyFont="1" applyFill="1" applyBorder="1" applyProtection="1"/>
    <xf numFmtId="4" fontId="99" fillId="18" borderId="89" xfId="0" applyNumberFormat="1" applyFont="1" applyFill="1" applyBorder="1" applyAlignment="1" applyProtection="1">
      <alignment horizontal="center"/>
    </xf>
    <xf numFmtId="165" fontId="49" fillId="13" borderId="196" xfId="8" applyNumberFormat="1" applyFont="1" applyFill="1" applyBorder="1" applyAlignment="1" applyProtection="1">
      <alignment horizontal="center" vertical="center"/>
    </xf>
    <xf numFmtId="0" fontId="73" fillId="17" borderId="177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3" fillId="17" borderId="11" xfId="0" applyFont="1" applyFill="1" applyBorder="1" applyProtection="1"/>
    <xf numFmtId="0" fontId="3" fillId="17" borderId="11" xfId="0" applyFont="1" applyFill="1" applyBorder="1" applyProtection="1"/>
    <xf numFmtId="0" fontId="73" fillId="17" borderId="210" xfId="0" applyFont="1" applyFill="1" applyBorder="1" applyProtection="1"/>
    <xf numFmtId="0" fontId="70" fillId="21" borderId="146" xfId="0" applyFont="1" applyFill="1" applyBorder="1" applyProtection="1"/>
    <xf numFmtId="0" fontId="3" fillId="21" borderId="146" xfId="0" applyFont="1" applyFill="1" applyBorder="1" applyProtection="1"/>
    <xf numFmtId="4" fontId="156" fillId="2" borderId="0" xfId="0" applyNumberFormat="1" applyFont="1" applyFill="1" applyProtection="1"/>
    <xf numFmtId="0" fontId="3" fillId="17" borderId="146" xfId="0" applyFont="1" applyFill="1" applyBorder="1" applyProtection="1"/>
    <xf numFmtId="0" fontId="62" fillId="17" borderId="174" xfId="0" applyFont="1" applyFill="1" applyBorder="1" applyProtection="1"/>
    <xf numFmtId="0" fontId="3" fillId="17" borderId="175" xfId="0" applyFont="1" applyFill="1" applyBorder="1" applyProtection="1"/>
    <xf numFmtId="0" fontId="3" fillId="21" borderId="198" xfId="0" applyFont="1" applyFill="1" applyBorder="1" applyProtection="1"/>
    <xf numFmtId="0" fontId="62" fillId="5" borderId="172" xfId="0" applyFont="1" applyFill="1" applyBorder="1" applyProtection="1"/>
    <xf numFmtId="0" fontId="3" fillId="5" borderId="173" xfId="0" applyFont="1" applyFill="1" applyBorder="1" applyProtection="1"/>
    <xf numFmtId="0" fontId="3" fillId="19" borderId="198" xfId="0" applyFont="1" applyFill="1" applyBorder="1" applyProtection="1"/>
    <xf numFmtId="0" fontId="0" fillId="17" borderId="196" xfId="0" applyFill="1" applyBorder="1" applyProtection="1"/>
    <xf numFmtId="0" fontId="70" fillId="35" borderId="146" xfId="0" applyFont="1" applyFill="1" applyBorder="1" applyProtection="1"/>
    <xf numFmtId="0" fontId="3" fillId="35" borderId="146" xfId="0" applyFont="1" applyFill="1" applyBorder="1" applyProtection="1"/>
    <xf numFmtId="0" fontId="3" fillId="35" borderId="198" xfId="0" applyFont="1" applyFill="1" applyBorder="1" applyProtection="1"/>
    <xf numFmtId="0" fontId="70" fillId="35" borderId="197" xfId="0" applyFont="1" applyFill="1" applyBorder="1" applyProtection="1"/>
    <xf numFmtId="0" fontId="70" fillId="19" borderId="197" xfId="0" applyFont="1" applyFill="1" applyBorder="1" applyProtection="1"/>
    <xf numFmtId="0" fontId="70" fillId="21" borderId="197" xfId="0" applyFont="1" applyFill="1" applyBorder="1" applyProtection="1"/>
    <xf numFmtId="0" fontId="62" fillId="17" borderId="172" xfId="0" applyFont="1" applyFill="1" applyBorder="1" applyProtection="1"/>
    <xf numFmtId="0" fontId="70" fillId="17" borderId="0" xfId="0" applyFont="1" applyFill="1" applyBorder="1" applyProtection="1"/>
    <xf numFmtId="0" fontId="62" fillId="17" borderId="169" xfId="0" applyFont="1" applyFill="1" applyBorder="1" applyProtection="1"/>
    <xf numFmtId="0" fontId="70" fillId="17" borderId="170" xfId="0" applyFont="1" applyFill="1" applyBorder="1" applyProtection="1"/>
    <xf numFmtId="0" fontId="70" fillId="17" borderId="11" xfId="0" applyFont="1" applyFill="1" applyBorder="1" applyProtection="1"/>
    <xf numFmtId="0" fontId="62" fillId="17" borderId="211" xfId="0" applyFont="1" applyFill="1" applyBorder="1" applyProtection="1"/>
    <xf numFmtId="0" fontId="3" fillId="17" borderId="177" xfId="0" applyFont="1" applyFill="1" applyBorder="1" applyProtection="1"/>
    <xf numFmtId="0" fontId="3" fillId="17" borderId="212" xfId="0" applyFont="1" applyFill="1" applyBorder="1" applyProtection="1"/>
    <xf numFmtId="0" fontId="62" fillId="17" borderId="213" xfId="0" applyFont="1" applyFill="1" applyBorder="1" applyProtection="1"/>
    <xf numFmtId="0" fontId="3" fillId="17" borderId="214" xfId="0" applyFont="1" applyFill="1" applyBorder="1" applyProtection="1"/>
    <xf numFmtId="0" fontId="62" fillId="17" borderId="215" xfId="0" applyFont="1" applyFill="1" applyBorder="1" applyProtection="1"/>
    <xf numFmtId="0" fontId="3" fillId="17" borderId="210" xfId="0" applyFont="1" applyFill="1" applyBorder="1" applyProtection="1"/>
    <xf numFmtId="0" fontId="3" fillId="17" borderId="216" xfId="0" applyFont="1" applyFill="1" applyBorder="1" applyProtection="1"/>
    <xf numFmtId="0" fontId="62" fillId="17" borderId="171" xfId="0" applyFont="1" applyFill="1" applyBorder="1" applyProtection="1"/>
    <xf numFmtId="0" fontId="62" fillId="17" borderId="173" xfId="0" applyFont="1" applyFill="1" applyBorder="1" applyProtection="1"/>
    <xf numFmtId="0" fontId="62" fillId="17" borderId="175" xfId="0" applyFont="1" applyFill="1" applyBorder="1" applyProtection="1"/>
    <xf numFmtId="0" fontId="70" fillId="36" borderId="199" xfId="0" applyFont="1" applyFill="1" applyBorder="1" applyProtection="1"/>
    <xf numFmtId="0" fontId="73" fillId="36" borderId="194" xfId="0" applyFont="1" applyFill="1" applyBorder="1" applyProtection="1"/>
    <xf numFmtId="0" fontId="3" fillId="36" borderId="194" xfId="0" applyFont="1" applyFill="1" applyBorder="1" applyProtection="1"/>
    <xf numFmtId="0" fontId="3" fillId="36" borderId="217" xfId="0" applyFont="1" applyFill="1" applyBorder="1" applyProtection="1"/>
    <xf numFmtId="168" fontId="70" fillId="21" borderId="196" xfId="0" applyNumberFormat="1" applyFont="1" applyFill="1" applyBorder="1" applyAlignment="1" applyProtection="1">
      <protection locked="0"/>
    </xf>
    <xf numFmtId="168" fontId="77" fillId="0" borderId="218" xfId="0" quotePrefix="1" applyNumberFormat="1" applyFont="1" applyFill="1" applyBorder="1" applyAlignment="1" applyProtection="1"/>
    <xf numFmtId="168" fontId="70" fillId="19" borderId="196" xfId="0" applyNumberFormat="1" applyFont="1" applyFill="1" applyBorder="1" applyAlignment="1" applyProtection="1"/>
    <xf numFmtId="168" fontId="77" fillId="17" borderId="219" xfId="0" quotePrefix="1" applyNumberFormat="1" applyFont="1" applyFill="1" applyBorder="1" applyAlignment="1" applyProtection="1">
      <protection locked="0"/>
    </xf>
    <xf numFmtId="168" fontId="77" fillId="17" borderId="220" xfId="0" quotePrefix="1" applyNumberFormat="1" applyFont="1" applyFill="1" applyBorder="1" applyAlignment="1" applyProtection="1">
      <protection locked="0"/>
    </xf>
    <xf numFmtId="168" fontId="77" fillId="17" borderId="221" xfId="0" quotePrefix="1" applyNumberFormat="1" applyFont="1" applyFill="1" applyBorder="1" applyAlignment="1" applyProtection="1">
      <protection locked="0"/>
    </xf>
    <xf numFmtId="168" fontId="70" fillId="35" borderId="196" xfId="0" applyNumberFormat="1" applyFont="1" applyFill="1" applyBorder="1" applyAlignment="1" applyProtection="1">
      <protection locked="0"/>
    </xf>
    <xf numFmtId="168" fontId="3" fillId="17" borderId="222" xfId="0" applyNumberFormat="1" applyFont="1" applyFill="1" applyBorder="1" applyAlignment="1" applyProtection="1"/>
    <xf numFmtId="168" fontId="70" fillId="36" borderId="223" xfId="0" applyNumberFormat="1" applyFont="1" applyFill="1" applyBorder="1" applyAlignment="1" applyProtection="1"/>
    <xf numFmtId="0" fontId="16" fillId="6" borderId="87" xfId="0" applyFont="1" applyFill="1" applyBorder="1" applyAlignment="1"/>
    <xf numFmtId="0" fontId="90" fillId="5" borderId="59" xfId="0" applyFont="1" applyFill="1" applyBorder="1"/>
    <xf numFmtId="0" fontId="90" fillId="5" borderId="51" xfId="0" applyFont="1" applyFill="1" applyBorder="1"/>
    <xf numFmtId="0" fontId="3" fillId="17" borderId="51" xfId="0" applyFont="1" applyFill="1" applyBorder="1" applyProtection="1"/>
    <xf numFmtId="0" fontId="90" fillId="17" borderId="51" xfId="0" applyFont="1" applyFill="1" applyBorder="1" applyProtection="1"/>
    <xf numFmtId="0" fontId="3" fillId="5" borderId="51" xfId="0" applyFont="1" applyFill="1" applyBorder="1"/>
    <xf numFmtId="0" fontId="90" fillId="2" borderId="51" xfId="0" applyFont="1" applyFill="1" applyBorder="1" applyProtection="1"/>
    <xf numFmtId="0" fontId="85" fillId="17" borderId="51" xfId="0" applyFont="1" applyFill="1" applyBorder="1"/>
    <xf numFmtId="0" fontId="86" fillId="17" borderId="51" xfId="0" applyFont="1" applyFill="1" applyBorder="1"/>
    <xf numFmtId="0" fontId="91" fillId="17" borderId="51" xfId="0" applyFont="1" applyFill="1" applyBorder="1"/>
    <xf numFmtId="0" fontId="2" fillId="5" borderId="224" xfId="0" applyFont="1" applyFill="1" applyBorder="1" applyProtection="1"/>
    <xf numFmtId="0" fontId="48" fillId="17" borderId="51" xfId="0" applyFont="1" applyFill="1" applyBorder="1"/>
    <xf numFmtId="0" fontId="61" fillId="5" borderId="51" xfId="0" applyFont="1" applyFill="1" applyBorder="1"/>
    <xf numFmtId="0" fontId="61" fillId="17" borderId="51" xfId="0" applyFont="1" applyFill="1" applyBorder="1" applyProtection="1"/>
    <xf numFmtId="0" fontId="2" fillId="17" borderId="51" xfId="0" applyFont="1" applyFill="1" applyBorder="1" applyProtection="1"/>
    <xf numFmtId="0" fontId="73" fillId="17" borderId="51" xfId="0" applyFont="1" applyFill="1" applyBorder="1"/>
    <xf numFmtId="0" fontId="3" fillId="17" borderId="51" xfId="0" applyFont="1" applyFill="1" applyBorder="1"/>
    <xf numFmtId="0" fontId="2" fillId="17" borderId="224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8" fillId="5" borderId="51" xfId="0" applyFont="1" applyFill="1" applyBorder="1"/>
    <xf numFmtId="0" fontId="2" fillId="5" borderId="225" xfId="0" applyFont="1" applyFill="1" applyBorder="1" applyProtection="1"/>
    <xf numFmtId="0" fontId="2" fillId="5" borderId="226" xfId="0" applyFont="1" applyFill="1" applyBorder="1" applyProtection="1"/>
    <xf numFmtId="0" fontId="90" fillId="5" borderId="177" xfId="0" applyFont="1" applyFill="1" applyBorder="1"/>
    <xf numFmtId="165" fontId="285" fillId="16" borderId="196" xfId="0" applyNumberFormat="1" applyFont="1" applyFill="1" applyBorder="1" applyAlignment="1" applyProtection="1">
      <alignment horizontal="center" vertical="center"/>
      <protection locked="0"/>
    </xf>
    <xf numFmtId="165" fontId="285" fillId="16" borderId="196" xfId="0" applyNumberFormat="1" applyFont="1" applyFill="1" applyBorder="1" applyAlignment="1" applyProtection="1">
      <alignment horizontal="center" vertical="center"/>
    </xf>
    <xf numFmtId="168" fontId="3" fillId="0" borderId="227" xfId="0" applyNumberFormat="1" applyFont="1" applyFill="1" applyBorder="1" applyProtection="1"/>
    <xf numFmtId="168" fontId="3" fillId="0" borderId="91" xfId="0" applyNumberFormat="1" applyFont="1" applyFill="1" applyBorder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 vertical="top"/>
    </xf>
    <xf numFmtId="38" fontId="8" fillId="21" borderId="82" xfId="9" applyNumberFormat="1" applyFont="1" applyFill="1" applyBorder="1" applyAlignment="1" applyProtection="1">
      <alignment horizontal="center" vertical="center"/>
    </xf>
    <xf numFmtId="38" fontId="2" fillId="21" borderId="190" xfId="9" applyNumberFormat="1" applyFont="1" applyFill="1" applyBorder="1" applyAlignment="1" applyProtection="1">
      <alignment horizontal="center" vertical="center"/>
    </xf>
    <xf numFmtId="167" fontId="2" fillId="21" borderId="191" xfId="9" applyNumberFormat="1" applyFont="1" applyFill="1" applyBorder="1" applyAlignment="1" applyProtection="1">
      <alignment horizontal="center" vertical="center"/>
    </xf>
    <xf numFmtId="164" fontId="29" fillId="21" borderId="183" xfId="9" applyNumberFormat="1" applyFont="1" applyFill="1" applyBorder="1" applyAlignment="1" applyProtection="1">
      <alignment horizontal="center" vertical="center" wrapText="1"/>
    </xf>
    <xf numFmtId="164" fontId="22" fillId="21" borderId="230" xfId="9" applyNumberFormat="1" applyFont="1" applyFill="1" applyBorder="1" applyAlignment="1" applyProtection="1">
      <alignment horizontal="center" vertical="center" wrapText="1"/>
    </xf>
    <xf numFmtId="164" fontId="2" fillId="21" borderId="183" xfId="9" applyNumberFormat="1" applyFont="1" applyFill="1" applyBorder="1" applyAlignment="1" applyProtection="1">
      <alignment horizontal="center" vertical="center"/>
    </xf>
    <xf numFmtId="164" fontId="2" fillId="21" borderId="230" xfId="9" applyNumberFormat="1" applyFont="1" applyFill="1" applyBorder="1" applyAlignment="1" applyProtection="1">
      <alignment horizontal="center" vertical="center"/>
    </xf>
    <xf numFmtId="38" fontId="2" fillId="21" borderId="189" xfId="9" applyNumberFormat="1" applyFont="1" applyFill="1" applyBorder="1" applyAlignment="1" applyProtection="1"/>
    <xf numFmtId="0" fontId="3" fillId="16" borderId="146" xfId="0" applyFont="1" applyFill="1" applyBorder="1" applyAlignment="1" applyProtection="1"/>
    <xf numFmtId="0" fontId="23" fillId="16" borderId="146" xfId="0" applyFont="1" applyFill="1" applyBorder="1" applyAlignment="1" applyProtection="1"/>
    <xf numFmtId="0" fontId="15" fillId="16" borderId="146" xfId="0" applyFont="1" applyFill="1" applyBorder="1" applyAlignment="1" applyProtection="1"/>
    <xf numFmtId="0" fontId="17" fillId="16" borderId="146" xfId="0" applyFont="1" applyFill="1" applyBorder="1" applyAlignment="1" applyProtection="1"/>
    <xf numFmtId="0" fontId="14" fillId="16" borderId="146" xfId="0" applyFont="1" applyFill="1" applyBorder="1" applyAlignment="1" applyProtection="1"/>
    <xf numFmtId="0" fontId="10" fillId="16" borderId="146" xfId="0" applyFont="1" applyFill="1" applyBorder="1" applyAlignment="1" applyProtection="1"/>
    <xf numFmtId="170" fontId="20" fillId="6" borderId="231" xfId="0" applyNumberFormat="1" applyFont="1" applyFill="1" applyBorder="1" applyAlignment="1">
      <alignment horizontal="center"/>
    </xf>
    <xf numFmtId="168" fontId="16" fillId="3" borderId="228" xfId="0" applyNumberFormat="1" applyFont="1" applyFill="1" applyBorder="1" applyAlignment="1" applyProtection="1"/>
    <xf numFmtId="168" fontId="16" fillId="3" borderId="232" xfId="0" applyNumberFormat="1" applyFont="1" applyFill="1" applyBorder="1" applyAlignment="1" applyProtection="1"/>
    <xf numFmtId="168" fontId="16" fillId="3" borderId="233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32" xfId="0" applyNumberFormat="1" applyFont="1" applyFill="1" applyBorder="1" applyAlignment="1" applyProtection="1"/>
    <xf numFmtId="168" fontId="48" fillId="11" borderId="233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32" xfId="0" applyNumberFormat="1" applyFont="1" applyFill="1" applyBorder="1" applyAlignment="1" applyProtection="1"/>
    <xf numFmtId="168" fontId="43" fillId="7" borderId="233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4" fontId="6" fillId="5" borderId="232" xfId="0" applyNumberFormat="1" applyFont="1" applyFill="1" applyBorder="1" applyAlignment="1" applyProtection="1">
      <alignment horizontal="center" vertical="top"/>
    </xf>
    <xf numFmtId="4" fontId="6" fillId="5" borderId="233" xfId="0" applyNumberFormat="1" applyFont="1" applyFill="1" applyBorder="1" applyAlignment="1" applyProtection="1">
      <alignment horizontal="center"/>
    </xf>
    <xf numFmtId="4" fontId="6" fillId="5" borderId="232" xfId="0" applyNumberFormat="1" applyFont="1" applyFill="1" applyBorder="1" applyAlignment="1" applyProtection="1">
      <alignment horizontal="center"/>
    </xf>
    <xf numFmtId="4" fontId="6" fillId="5" borderId="233" xfId="0" applyNumberFormat="1" applyFont="1" applyFill="1" applyBorder="1" applyAlignment="1" applyProtection="1">
      <alignment horizontal="center" vertical="top"/>
    </xf>
    <xf numFmtId="168" fontId="67" fillId="3" borderId="234" xfId="0" applyNumberFormat="1" applyFont="1" applyFill="1" applyBorder="1" applyAlignment="1" applyProtection="1">
      <alignment horizontal="center"/>
    </xf>
    <xf numFmtId="168" fontId="67" fillId="3" borderId="235" xfId="0" applyNumberFormat="1" applyFont="1" applyFill="1" applyBorder="1" applyAlignment="1" applyProtection="1">
      <alignment horizontal="center"/>
    </xf>
    <xf numFmtId="168" fontId="67" fillId="3" borderId="236" xfId="0" applyNumberFormat="1" applyFont="1" applyFill="1" applyBorder="1" applyAlignment="1" applyProtection="1">
      <alignment horizontal="center"/>
    </xf>
    <xf numFmtId="4" fontId="16" fillId="5" borderId="237" xfId="0" applyNumberFormat="1" applyFont="1" applyFill="1" applyBorder="1" applyAlignment="1" applyProtection="1"/>
    <xf numFmtId="4" fontId="16" fillId="5" borderId="238" xfId="0" applyNumberFormat="1" applyFont="1" applyFill="1" applyBorder="1" applyAlignment="1" applyProtection="1"/>
    <xf numFmtId="4" fontId="16" fillId="5" borderId="239" xfId="0" applyNumberFormat="1" applyFont="1" applyFill="1" applyBorder="1" applyAlignment="1" applyProtection="1"/>
    <xf numFmtId="4" fontId="16" fillId="5" borderId="240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16" fillId="5" borderId="242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2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3" fillId="5" borderId="237" xfId="0" applyNumberFormat="1" applyFont="1" applyFill="1" applyBorder="1" applyAlignment="1" applyProtection="1"/>
    <xf numFmtId="4" fontId="43" fillId="5" borderId="239" xfId="0" applyNumberFormat="1" applyFont="1" applyFill="1" applyBorder="1" applyAlignment="1" applyProtection="1"/>
    <xf numFmtId="4" fontId="43" fillId="5" borderId="242" xfId="0" applyNumberFormat="1" applyFont="1" applyFill="1" applyBorder="1" applyAlignment="1" applyProtection="1"/>
    <xf numFmtId="4" fontId="40" fillId="5" borderId="240" xfId="0" applyNumberFormat="1" applyFont="1" applyFill="1" applyBorder="1" applyAlignment="1" applyProtection="1"/>
    <xf numFmtId="4" fontId="65" fillId="4" borderId="242" xfId="0" applyNumberFormat="1" applyFont="1" applyFill="1" applyBorder="1" applyAlignment="1" applyProtection="1">
      <alignment horizontal="left"/>
    </xf>
    <xf numFmtId="0" fontId="66" fillId="4" borderId="239" xfId="0" applyFont="1" applyFill="1" applyBorder="1" applyProtection="1"/>
    <xf numFmtId="4" fontId="37" fillId="4" borderId="240" xfId="0" applyNumberFormat="1" applyFont="1" applyFill="1" applyBorder="1" applyAlignment="1" applyProtection="1"/>
    <xf numFmtId="178" fontId="16" fillId="5" borderId="240" xfId="0" applyNumberFormat="1" applyFont="1" applyFill="1" applyBorder="1" applyAlignment="1" applyProtection="1">
      <alignment horizontal="center"/>
    </xf>
    <xf numFmtId="4" fontId="272" fillId="5" borderId="237" xfId="0" applyNumberFormat="1" applyFont="1" applyFill="1" applyBorder="1" applyAlignment="1" applyProtection="1">
      <alignment horizontal="center"/>
    </xf>
    <xf numFmtId="178" fontId="272" fillId="5" borderId="240" xfId="0" applyNumberFormat="1" applyFont="1" applyFill="1" applyBorder="1" applyAlignment="1" applyProtection="1">
      <alignment horizontal="center"/>
    </xf>
    <xf numFmtId="0" fontId="17" fillId="34" borderId="228" xfId="0" applyFont="1" applyFill="1" applyBorder="1" applyAlignment="1" applyProtection="1"/>
    <xf numFmtId="0" fontId="17" fillId="34" borderId="229" xfId="0" applyFont="1" applyFill="1" applyBorder="1" applyAlignment="1" applyProtection="1"/>
    <xf numFmtId="170" fontId="286" fillId="34" borderId="231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43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100" fillId="11" borderId="87" xfId="0" applyFont="1" applyFill="1" applyBorder="1" applyAlignment="1" applyProtection="1"/>
    <xf numFmtId="0" fontId="17" fillId="11" borderId="146" xfId="0" applyFont="1" applyFill="1" applyBorder="1" applyAlignment="1" applyProtection="1"/>
    <xf numFmtId="0" fontId="14" fillId="11" borderId="146" xfId="0" applyFont="1" applyFill="1" applyBorder="1" applyAlignment="1" applyProtection="1"/>
    <xf numFmtId="0" fontId="10" fillId="11" borderId="146" xfId="0" applyFont="1" applyFill="1" applyBorder="1" applyAlignment="1" applyProtection="1"/>
    <xf numFmtId="0" fontId="100" fillId="11" borderId="146" xfId="0" applyFont="1" applyFill="1" applyBorder="1" applyAlignment="1" applyProtection="1"/>
    <xf numFmtId="0" fontId="19" fillId="11" borderId="147" xfId="0" applyFont="1" applyFill="1" applyBorder="1" applyAlignment="1" applyProtection="1"/>
    <xf numFmtId="170" fontId="287" fillId="11" borderId="231" xfId="0" applyNumberFormat="1" applyFont="1" applyFill="1" applyBorder="1" applyAlignment="1">
      <alignment horizontal="center"/>
    </xf>
    <xf numFmtId="168" fontId="273" fillId="11" borderId="228" xfId="0" applyNumberFormat="1" applyFont="1" applyFill="1" applyBorder="1" applyAlignment="1" applyProtection="1"/>
    <xf numFmtId="168" fontId="273" fillId="11" borderId="232" xfId="0" applyNumberFormat="1" applyFont="1" applyFill="1" applyBorder="1" applyAlignment="1" applyProtection="1"/>
    <xf numFmtId="168" fontId="273" fillId="11" borderId="233" xfId="0" applyNumberFormat="1" applyFont="1" applyFill="1" applyBorder="1" applyAlignment="1" applyProtection="1"/>
    <xf numFmtId="168" fontId="273" fillId="11" borderId="229" xfId="0" applyNumberFormat="1" applyFont="1" applyFill="1" applyBorder="1" applyAlignment="1" applyProtection="1"/>
    <xf numFmtId="4" fontId="48" fillId="5" borderId="146" xfId="0" applyNumberFormat="1" applyFont="1" applyFill="1" applyBorder="1" applyAlignment="1" applyProtection="1"/>
    <xf numFmtId="4" fontId="48" fillId="5" borderId="244" xfId="0" applyNumberFormat="1" applyFont="1" applyFill="1" applyBorder="1" applyAlignment="1" applyProtection="1"/>
    <xf numFmtId="4" fontId="48" fillId="5" borderId="147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7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7" xfId="0" applyNumberFormat="1" applyFont="1" applyFill="1" applyBorder="1" applyAlignment="1" applyProtection="1">
      <alignment horizontal="center" vertical="top"/>
    </xf>
    <xf numFmtId="4" fontId="6" fillId="5" borderId="91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8" xfId="0" applyNumberFormat="1" applyFont="1" applyFill="1" applyBorder="1" applyAlignment="1" applyProtection="1"/>
    <xf numFmtId="168" fontId="48" fillId="11" borderId="149" xfId="0" applyNumberFormat="1" applyFont="1" applyFill="1" applyBorder="1" applyAlignment="1" applyProtection="1"/>
    <xf numFmtId="168" fontId="48" fillId="11" borderId="150" xfId="0" applyNumberFormat="1" applyFont="1" applyFill="1" applyBorder="1" applyAlignment="1" applyProtection="1"/>
    <xf numFmtId="168" fontId="48" fillId="11" borderId="93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8" xfId="0" applyNumberFormat="1" applyFont="1" applyFill="1" applyBorder="1" applyAlignment="1" applyProtection="1"/>
    <xf numFmtId="168" fontId="2" fillId="11" borderId="149" xfId="0" applyNumberFormat="1" applyFont="1" applyFill="1" applyBorder="1" applyAlignment="1" applyProtection="1"/>
    <xf numFmtId="168" fontId="2" fillId="11" borderId="150" xfId="0" applyNumberFormat="1" applyFont="1" applyFill="1" applyBorder="1" applyAlignment="1" applyProtection="1"/>
    <xf numFmtId="168" fontId="2" fillId="11" borderId="93" xfId="0" applyNumberFormat="1" applyFont="1" applyFill="1" applyBorder="1" applyAlignment="1" applyProtection="1"/>
    <xf numFmtId="4" fontId="30" fillId="5" borderId="245" xfId="0" applyNumberFormat="1" applyFont="1" applyFill="1" applyBorder="1" applyAlignment="1" applyProtection="1">
      <alignment vertical="center"/>
    </xf>
    <xf numFmtId="4" fontId="30" fillId="5" borderId="246" xfId="0" applyNumberFormat="1" applyFont="1" applyFill="1" applyBorder="1" applyAlignment="1" applyProtection="1">
      <alignment vertical="center"/>
    </xf>
    <xf numFmtId="4" fontId="30" fillId="5" borderId="170" xfId="0" applyNumberFormat="1" applyFont="1" applyFill="1" applyBorder="1" applyAlignment="1" applyProtection="1">
      <alignment vertical="center"/>
    </xf>
    <xf numFmtId="4" fontId="30" fillId="5" borderId="247" xfId="0" applyNumberFormat="1" applyFont="1" applyFill="1" applyBorder="1" applyAlignment="1" applyProtection="1">
      <alignment vertical="center"/>
    </xf>
    <xf numFmtId="4" fontId="30" fillId="5" borderId="248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41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81" fillId="11" borderId="88" xfId="0" applyNumberFormat="1" applyFont="1" applyFill="1" applyBorder="1" applyAlignment="1">
      <alignment horizontal="center"/>
    </xf>
    <xf numFmtId="168" fontId="275" fillId="11" borderId="148" xfId="0" applyNumberFormat="1" applyFont="1" applyFill="1" applyBorder="1" applyAlignment="1" applyProtection="1"/>
    <xf numFmtId="168" fontId="275" fillId="11" borderId="149" xfId="0" applyNumberFormat="1" applyFont="1" applyFill="1" applyBorder="1" applyAlignment="1" applyProtection="1"/>
    <xf numFmtId="168" fontId="275" fillId="11" borderId="150" xfId="0" applyNumberFormat="1" applyFont="1" applyFill="1" applyBorder="1" applyAlignment="1" applyProtection="1"/>
    <xf numFmtId="168" fontId="275" fillId="11" borderId="93" xfId="0" applyNumberFormat="1" applyFont="1" applyFill="1" applyBorder="1" applyAlignment="1" applyProtection="1"/>
    <xf numFmtId="0" fontId="147" fillId="17" borderId="169" xfId="0" applyFont="1" applyFill="1" applyBorder="1" applyProtection="1"/>
    <xf numFmtId="0" fontId="0" fillId="17" borderId="170" xfId="0" applyFill="1" applyBorder="1" applyProtection="1"/>
    <xf numFmtId="0" fontId="0" fillId="17" borderId="171" xfId="0" applyFill="1" applyBorder="1" applyProtection="1"/>
    <xf numFmtId="0" fontId="147" fillId="17" borderId="172" xfId="0" applyFont="1" applyFill="1" applyBorder="1" applyProtection="1"/>
    <xf numFmtId="0" fontId="0" fillId="17" borderId="0" xfId="0" applyFill="1" applyBorder="1" applyProtection="1"/>
    <xf numFmtId="0" fontId="0" fillId="17" borderId="173" xfId="0" applyFill="1" applyBorder="1" applyProtection="1"/>
    <xf numFmtId="0" fontId="147" fillId="17" borderId="174" xfId="0" applyFont="1" applyFill="1" applyBorder="1" applyProtection="1"/>
    <xf numFmtId="0" fontId="0" fillId="17" borderId="175" xfId="0" applyFill="1" applyBorder="1" applyProtection="1"/>
    <xf numFmtId="4" fontId="2" fillId="5" borderId="237" xfId="0" applyNumberFormat="1" applyFont="1" applyFill="1" applyBorder="1" applyAlignment="1" applyProtection="1"/>
    <xf numFmtId="0" fontId="140" fillId="16" borderId="237" xfId="0" applyFont="1" applyFill="1" applyBorder="1" applyAlignment="1" applyProtection="1"/>
    <xf numFmtId="0" fontId="17" fillId="16" borderId="239" xfId="0" applyFont="1" applyFill="1" applyBorder="1" applyAlignment="1" applyProtection="1"/>
    <xf numFmtId="0" fontId="32" fillId="16" borderId="239" xfId="0" applyFont="1" applyFill="1" applyBorder="1" applyAlignment="1" applyProtection="1"/>
    <xf numFmtId="0" fontId="10" fillId="16" borderId="239" xfId="0" applyFont="1" applyFill="1" applyBorder="1" applyAlignment="1" applyProtection="1"/>
    <xf numFmtId="0" fontId="32" fillId="16" borderId="239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5" fillId="16" borderId="52" xfId="0" applyFont="1" applyFill="1" applyBorder="1" applyProtection="1"/>
    <xf numFmtId="0" fontId="90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5" fillId="4" borderId="219" xfId="0" applyNumberFormat="1" applyFont="1" applyFill="1" applyBorder="1" applyAlignment="1" applyProtection="1">
      <alignment horizontal="center"/>
    </xf>
    <xf numFmtId="168" fontId="165" fillId="4" borderId="249" xfId="0" applyNumberFormat="1" applyFont="1" applyFill="1" applyBorder="1" applyAlignment="1" applyProtection="1">
      <alignment horizontal="center"/>
    </xf>
    <xf numFmtId="168" fontId="165" fillId="4" borderId="222" xfId="0" applyNumberFormat="1" applyFont="1" applyFill="1" applyBorder="1" applyAlignment="1" applyProtection="1">
      <alignment horizontal="center"/>
    </xf>
    <xf numFmtId="168" fontId="272" fillId="16" borderId="206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75" fillId="16" borderId="207" xfId="0" applyNumberFormat="1" applyFont="1" applyFill="1" applyBorder="1" applyProtection="1"/>
    <xf numFmtId="0" fontId="48" fillId="17" borderId="51" xfId="0" applyFont="1" applyFill="1" applyBorder="1" applyProtection="1"/>
    <xf numFmtId="0" fontId="86" fillId="16" borderId="51" xfId="0" applyFont="1" applyFill="1" applyBorder="1" applyProtection="1"/>
    <xf numFmtId="0" fontId="86" fillId="17" borderId="51" xfId="0" applyFont="1" applyFill="1" applyBorder="1" applyProtection="1"/>
    <xf numFmtId="0" fontId="2" fillId="5" borderId="219" xfId="0" applyFont="1" applyFill="1" applyBorder="1" applyAlignment="1" applyProtection="1">
      <alignment horizontal="center"/>
    </xf>
    <xf numFmtId="0" fontId="2" fillId="5" borderId="220" xfId="0" applyFont="1" applyFill="1" applyBorder="1" applyAlignment="1" applyProtection="1">
      <alignment horizontal="center"/>
    </xf>
    <xf numFmtId="0" fontId="2" fillId="16" borderId="220" xfId="0" applyFont="1" applyFill="1" applyBorder="1" applyAlignment="1" applyProtection="1">
      <alignment horizontal="center"/>
    </xf>
    <xf numFmtId="0" fontId="2" fillId="5" borderId="221" xfId="0" applyFont="1" applyFill="1" applyBorder="1" applyAlignment="1" applyProtection="1">
      <alignment horizontal="center"/>
    </xf>
    <xf numFmtId="169" fontId="70" fillId="37" borderId="249" xfId="0" applyNumberFormat="1" applyFont="1" applyFill="1" applyBorder="1" applyAlignment="1" applyProtection="1">
      <alignment horizontal="center"/>
    </xf>
    <xf numFmtId="169" fontId="70" fillId="37" borderId="222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72" fillId="16" borderId="250" xfId="0" applyNumberFormat="1" applyFont="1" applyFill="1" applyBorder="1" applyProtection="1"/>
    <xf numFmtId="4" fontId="22" fillId="17" borderId="148" xfId="0" applyNumberFormat="1" applyFont="1" applyFill="1" applyBorder="1" applyAlignment="1" applyProtection="1">
      <alignment horizontal="center"/>
    </xf>
    <xf numFmtId="4" fontId="22" fillId="17" borderId="251" xfId="0" applyNumberFormat="1" applyFont="1" applyFill="1" applyBorder="1" applyAlignment="1" applyProtection="1">
      <alignment horizontal="center"/>
    </xf>
    <xf numFmtId="168" fontId="2" fillId="0" borderId="219" xfId="9" applyNumberFormat="1" applyFont="1" applyBorder="1" applyAlignment="1" applyProtection="1"/>
    <xf numFmtId="168" fontId="2" fillId="0" borderId="221" xfId="9" applyNumberFormat="1" applyFont="1" applyBorder="1" applyAlignment="1" applyProtection="1"/>
    <xf numFmtId="168" fontId="73" fillId="0" borderId="221" xfId="9" applyNumberFormat="1" applyFont="1" applyBorder="1" applyAlignment="1" applyProtection="1"/>
    <xf numFmtId="168" fontId="73" fillId="0" borderId="249" xfId="9" applyNumberFormat="1" applyFont="1" applyBorder="1" applyAlignment="1" applyProtection="1"/>
    <xf numFmtId="167" fontId="167" fillId="25" borderId="252" xfId="9" applyNumberFormat="1" applyFont="1" applyFill="1" applyBorder="1" applyAlignment="1" applyProtection="1">
      <alignment horizontal="center"/>
    </xf>
    <xf numFmtId="167" fontId="160" fillId="25" borderId="222" xfId="9" applyNumberFormat="1" applyFont="1" applyFill="1" applyBorder="1" applyAlignment="1" applyProtection="1">
      <alignment horizontal="center"/>
    </xf>
    <xf numFmtId="167" fontId="167" fillId="25" borderId="222" xfId="9" applyNumberFormat="1" applyFont="1" applyFill="1" applyBorder="1" applyAlignment="1" applyProtection="1">
      <alignment horizontal="center"/>
    </xf>
    <xf numFmtId="168" fontId="2" fillId="25" borderId="196" xfId="9" applyNumberFormat="1" applyFont="1" applyFill="1" applyBorder="1" applyAlignment="1" applyProtection="1"/>
    <xf numFmtId="168" fontId="73" fillId="25" borderId="196" xfId="9" applyNumberFormat="1" applyFont="1" applyFill="1" applyBorder="1" applyAlignment="1" applyProtection="1"/>
    <xf numFmtId="168" fontId="2" fillId="16" borderId="196" xfId="9" applyNumberFormat="1" applyFont="1" applyFill="1" applyBorder="1" applyAlignment="1" applyProtection="1"/>
    <xf numFmtId="168" fontId="73" fillId="16" borderId="196" xfId="9" applyNumberFormat="1" applyFont="1" applyFill="1" applyBorder="1" applyAlignment="1" applyProtection="1"/>
    <xf numFmtId="164" fontId="2" fillId="0" borderId="219" xfId="9" applyNumberFormat="1" applyFont="1" applyBorder="1" applyAlignment="1" applyProtection="1"/>
    <xf numFmtId="164" fontId="2" fillId="0" borderId="221" xfId="9" applyNumberFormat="1" applyFont="1" applyBorder="1" applyAlignment="1" applyProtection="1"/>
    <xf numFmtId="164" fontId="73" fillId="0" borderId="221" xfId="9" applyNumberFormat="1" applyFont="1" applyBorder="1" applyAlignment="1" applyProtection="1"/>
    <xf numFmtId="164" fontId="2" fillId="16" borderId="196" xfId="9" applyNumberFormat="1" applyFont="1" applyFill="1" applyBorder="1" applyAlignment="1" applyProtection="1"/>
    <xf numFmtId="164" fontId="73" fillId="16" borderId="196" xfId="9" applyNumberFormat="1" applyFont="1" applyFill="1" applyBorder="1" applyAlignment="1" applyProtection="1"/>
    <xf numFmtId="164" fontId="73" fillId="0" borderId="249" xfId="9" applyNumberFormat="1" applyFont="1" applyBorder="1" applyAlignment="1" applyProtection="1"/>
    <xf numFmtId="164" fontId="2" fillId="25" borderId="196" xfId="9" applyNumberFormat="1" applyFont="1" applyFill="1" applyBorder="1" applyAlignment="1" applyProtection="1"/>
    <xf numFmtId="164" fontId="73" fillId="25" borderId="196" xfId="9" applyNumberFormat="1" applyFont="1" applyFill="1" applyBorder="1" applyAlignment="1" applyProtection="1"/>
    <xf numFmtId="179" fontId="16" fillId="3" borderId="123" xfId="0" applyNumberFormat="1" applyFont="1" applyFill="1" applyBorder="1" applyAlignment="1" applyProtection="1">
      <alignment horizontal="center"/>
    </xf>
    <xf numFmtId="179" fontId="7" fillId="2" borderId="0" xfId="8" applyNumberFormat="1" applyFont="1" applyFill="1" applyProtection="1"/>
    <xf numFmtId="179" fontId="16" fillId="11" borderId="123" xfId="0" applyNumberFormat="1" applyFont="1" applyFill="1" applyBorder="1" applyAlignment="1" applyProtection="1">
      <alignment horizontal="center"/>
    </xf>
    <xf numFmtId="179" fontId="16" fillId="7" borderId="123" xfId="0" applyNumberFormat="1" applyFont="1" applyFill="1" applyBorder="1" applyAlignment="1" applyProtection="1">
      <alignment horizontal="center"/>
    </xf>
    <xf numFmtId="179" fontId="2" fillId="5" borderId="124" xfId="0" applyNumberFormat="1" applyFont="1" applyFill="1" applyBorder="1" applyAlignment="1" applyProtection="1">
      <alignment horizontal="center"/>
    </xf>
    <xf numFmtId="171" fontId="16" fillId="11" borderId="123" xfId="0" applyNumberFormat="1" applyFont="1" applyFill="1" applyBorder="1" applyAlignment="1" applyProtection="1">
      <alignment horizontal="center"/>
    </xf>
    <xf numFmtId="171" fontId="7" fillId="2" borderId="0" xfId="8" applyNumberFormat="1" applyFont="1" applyFill="1" applyProtection="1"/>
    <xf numFmtId="171" fontId="16" fillId="7" borderId="123" xfId="0" applyNumberFormat="1" applyFont="1" applyFill="1" applyBorder="1" applyAlignment="1" applyProtection="1">
      <alignment horizontal="center"/>
    </xf>
    <xf numFmtId="171" fontId="2" fillId="5" borderId="124" xfId="0" applyNumberFormat="1" applyFont="1" applyFill="1" applyBorder="1" applyAlignment="1" applyProtection="1">
      <alignment horizontal="center"/>
    </xf>
    <xf numFmtId="171" fontId="2" fillId="5" borderId="196" xfId="0" applyNumberFormat="1" applyFont="1" applyFill="1" applyBorder="1" applyAlignment="1" applyProtection="1">
      <alignment horizontal="center"/>
    </xf>
    <xf numFmtId="171" fontId="62" fillId="5" borderId="124" xfId="0" applyNumberFormat="1" applyFont="1" applyFill="1" applyBorder="1" applyAlignment="1" applyProtection="1">
      <alignment horizontal="center"/>
    </xf>
    <xf numFmtId="4" fontId="12" fillId="17" borderId="196" xfId="0" applyNumberFormat="1" applyFont="1" applyFill="1" applyBorder="1" applyAlignment="1" applyProtection="1">
      <alignment horizontal="center"/>
    </xf>
    <xf numFmtId="0" fontId="160" fillId="16" borderId="252" xfId="8" applyFont="1" applyFill="1" applyBorder="1" applyAlignment="1" applyProtection="1">
      <alignment horizontal="center"/>
    </xf>
    <xf numFmtId="0" fontId="167" fillId="16" borderId="252" xfId="8" applyFont="1" applyFill="1" applyBorder="1" applyAlignment="1" applyProtection="1">
      <alignment horizontal="center"/>
    </xf>
    <xf numFmtId="0" fontId="160" fillId="16" borderId="222" xfId="8" applyFont="1" applyFill="1" applyBorder="1" applyAlignment="1" applyProtection="1">
      <alignment horizontal="center"/>
    </xf>
    <xf numFmtId="0" fontId="167" fillId="16" borderId="222" xfId="8" applyFont="1" applyFill="1" applyBorder="1" applyAlignment="1" applyProtection="1">
      <alignment horizontal="center"/>
    </xf>
    <xf numFmtId="4" fontId="160" fillId="17" borderId="196" xfId="0" applyNumberFormat="1" applyFont="1" applyFill="1" applyBorder="1" applyAlignment="1" applyProtection="1">
      <alignment horizontal="center"/>
    </xf>
    <xf numFmtId="167" fontId="160" fillId="25" borderId="252" xfId="9" applyNumberFormat="1" applyFont="1" applyFill="1" applyBorder="1" applyAlignment="1" applyProtection="1">
      <alignment horizontal="center"/>
    </xf>
    <xf numFmtId="0" fontId="7" fillId="17" borderId="198" xfId="8" applyFont="1" applyFill="1" applyBorder="1" applyProtection="1"/>
    <xf numFmtId="0" fontId="160" fillId="17" borderId="197" xfId="8" applyFont="1" applyFill="1" applyBorder="1" applyProtection="1"/>
    <xf numFmtId="179" fontId="12" fillId="5" borderId="196" xfId="0" applyNumberFormat="1" applyFont="1" applyFill="1" applyBorder="1" applyAlignment="1" applyProtection="1">
      <alignment horizontal="center"/>
    </xf>
    <xf numFmtId="0" fontId="160" fillId="16" borderId="197" xfId="8" applyFont="1" applyFill="1" applyBorder="1" applyProtection="1"/>
    <xf numFmtId="0" fontId="7" fillId="16" borderId="198" xfId="8" applyFont="1" applyFill="1" applyBorder="1" applyProtection="1"/>
    <xf numFmtId="0" fontId="288" fillId="17" borderId="197" xfId="0" applyFont="1" applyFill="1" applyBorder="1" applyAlignment="1" applyProtection="1">
      <alignment horizontal="left"/>
    </xf>
    <xf numFmtId="0" fontId="278" fillId="17" borderId="146" xfId="0" applyFont="1" applyFill="1" applyBorder="1" applyAlignment="1" applyProtection="1">
      <alignment horizontal="left"/>
    </xf>
    <xf numFmtId="0" fontId="279" fillId="17" borderId="146" xfId="0" applyFont="1" applyFill="1" applyBorder="1" applyAlignment="1" applyProtection="1">
      <alignment horizontal="right"/>
    </xf>
    <xf numFmtId="176" fontId="289" fillId="17" borderId="146" xfId="0" applyNumberFormat="1" applyFont="1" applyFill="1" applyBorder="1" applyAlignment="1" applyProtection="1">
      <alignment horizontal="center"/>
    </xf>
    <xf numFmtId="176" fontId="289" fillId="17" borderId="198" xfId="0" applyNumberFormat="1" applyFont="1" applyFill="1" applyBorder="1" applyAlignment="1" applyProtection="1">
      <alignment horizontal="center"/>
    </xf>
    <xf numFmtId="0" fontId="141" fillId="17" borderId="197" xfId="0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left"/>
    </xf>
    <xf numFmtId="0" fontId="290" fillId="28" borderId="48" xfId="8" applyFont="1" applyFill="1" applyBorder="1" applyAlignment="1" applyProtection="1">
      <alignment horizontal="center"/>
    </xf>
    <xf numFmtId="38" fontId="291" fillId="28" borderId="48" xfId="9" applyNumberFormat="1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right"/>
    </xf>
    <xf numFmtId="0" fontId="8" fillId="5" borderId="0" xfId="5" applyFont="1" applyFill="1" applyBorder="1" applyAlignment="1" applyProtection="1">
      <alignment horizontal="right"/>
    </xf>
    <xf numFmtId="0" fontId="8" fillId="5" borderId="48" xfId="5" applyFont="1" applyFill="1" applyBorder="1" applyAlignment="1" applyProtection="1">
      <alignment horizontal="left"/>
    </xf>
    <xf numFmtId="38" fontId="23" fillId="5" borderId="0" xfId="9" applyNumberFormat="1" applyFont="1" applyFill="1" applyAlignment="1" applyProtection="1">
      <alignment horizontal="left"/>
    </xf>
    <xf numFmtId="165" fontId="292" fillId="30" borderId="196" xfId="8" applyNumberFormat="1" applyFont="1" applyFill="1" applyBorder="1" applyAlignment="1" applyProtection="1">
      <alignment horizontal="center" vertical="center"/>
    </xf>
    <xf numFmtId="0" fontId="174" fillId="5" borderId="48" xfId="5" applyFont="1" applyFill="1" applyBorder="1" applyAlignment="1" applyProtection="1">
      <alignment horizontal="left"/>
    </xf>
    <xf numFmtId="0" fontId="293" fillId="5" borderId="48" xfId="5" applyFont="1" applyFill="1" applyBorder="1" applyAlignment="1" applyProtection="1">
      <alignment horizontal="left"/>
    </xf>
    <xf numFmtId="0" fontId="22" fillId="5" borderId="196" xfId="8" applyNumberFormat="1" applyFont="1" applyFill="1" applyBorder="1" applyAlignment="1" applyProtection="1">
      <alignment horizontal="center" vertical="center"/>
    </xf>
    <xf numFmtId="0" fontId="144" fillId="5" borderId="0" xfId="8" applyFont="1" applyFill="1" applyBorder="1" applyAlignment="1" applyProtection="1">
      <alignment horizontal="left"/>
    </xf>
    <xf numFmtId="0" fontId="294" fillId="2" borderId="0" xfId="0" applyFont="1" applyFill="1" applyBorder="1" applyAlignment="1">
      <alignment horizontal="center" vertical="center"/>
    </xf>
    <xf numFmtId="0" fontId="22" fillId="5" borderId="0" xfId="8" applyFont="1" applyFill="1" applyBorder="1" applyAlignment="1" applyProtection="1">
      <alignment horizontal="center"/>
    </xf>
    <xf numFmtId="0" fontId="147" fillId="17" borderId="170" xfId="0" applyFont="1" applyFill="1" applyBorder="1" applyProtection="1"/>
    <xf numFmtId="0" fontId="137" fillId="17" borderId="170" xfId="0" applyFont="1" applyFill="1" applyBorder="1" applyProtection="1"/>
    <xf numFmtId="0" fontId="21" fillId="17" borderId="171" xfId="0" applyFont="1" applyFill="1" applyBorder="1" applyProtection="1"/>
    <xf numFmtId="0" fontId="147" fillId="17" borderId="0" xfId="0" applyFont="1" applyFill="1" applyBorder="1" applyProtection="1"/>
    <xf numFmtId="0" fontId="21" fillId="17" borderId="173" xfId="0" applyFont="1" applyFill="1" applyBorder="1" applyProtection="1"/>
    <xf numFmtId="0" fontId="147" fillId="17" borderId="11" xfId="0" applyFont="1" applyFill="1" applyBorder="1" applyProtection="1"/>
    <xf numFmtId="0" fontId="21" fillId="17" borderId="175" xfId="0" applyFont="1" applyFill="1" applyBorder="1" applyProtection="1"/>
    <xf numFmtId="0" fontId="137" fillId="17" borderId="0" xfId="0" applyFont="1" applyFill="1" applyBorder="1" applyProtection="1"/>
    <xf numFmtId="0" fontId="147" fillId="17" borderId="172" xfId="0" quotePrefix="1" applyFont="1" applyFill="1" applyBorder="1" applyProtection="1"/>
    <xf numFmtId="0" fontId="137" fillId="17" borderId="169" xfId="0" applyFont="1" applyFill="1" applyBorder="1" applyProtection="1"/>
    <xf numFmtId="0" fontId="147" fillId="17" borderId="171" xfId="0" applyFont="1" applyFill="1" applyBorder="1" applyProtection="1"/>
    <xf numFmtId="168" fontId="295" fillId="40" borderId="219" xfId="0" applyNumberFormat="1" applyFont="1" applyFill="1" applyBorder="1" applyAlignment="1" applyProtection="1">
      <alignment horizontal="center"/>
    </xf>
    <xf numFmtId="168" fontId="295" fillId="40" borderId="249" xfId="0" applyNumberFormat="1" applyFont="1" applyFill="1" applyBorder="1" applyAlignment="1" applyProtection="1">
      <alignment horizontal="center"/>
    </xf>
    <xf numFmtId="168" fontId="165" fillId="40" borderId="249" xfId="0" applyNumberFormat="1" applyFont="1" applyFill="1" applyBorder="1" applyAlignment="1" applyProtection="1">
      <alignment horizontal="center"/>
    </xf>
    <xf numFmtId="168" fontId="165" fillId="40" borderId="222" xfId="0" applyNumberFormat="1" applyFont="1" applyFill="1" applyBorder="1" applyAlignment="1" applyProtection="1">
      <alignment horizontal="center"/>
    </xf>
    <xf numFmtId="0" fontId="2" fillId="5" borderId="245" xfId="0" applyFont="1" applyFill="1" applyBorder="1" applyProtection="1"/>
    <xf numFmtId="0" fontId="3" fillId="17" borderId="170" xfId="0" applyFont="1" applyFill="1" applyBorder="1" applyProtection="1"/>
    <xf numFmtId="0" fontId="2" fillId="5" borderId="170" xfId="0" applyFont="1" applyFill="1" applyBorder="1" applyProtection="1"/>
    <xf numFmtId="0" fontId="48" fillId="17" borderId="59" xfId="0" applyFont="1" applyFill="1" applyBorder="1" applyProtection="1"/>
    <xf numFmtId="0" fontId="85" fillId="17" borderId="60" xfId="0" applyFont="1" applyFill="1" applyBorder="1" applyProtection="1"/>
    <xf numFmtId="0" fontId="48" fillId="17" borderId="48" xfId="0" applyFont="1" applyFill="1" applyBorder="1" applyProtection="1"/>
    <xf numFmtId="0" fontId="85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9" fillId="2" borderId="0" xfId="0" applyFont="1" applyFill="1" applyBorder="1" applyAlignment="1" applyProtection="1">
      <alignment horizontal="center" vertical="center"/>
    </xf>
    <xf numFmtId="0" fontId="294" fillId="2" borderId="0" xfId="0" applyFont="1" applyFill="1" applyBorder="1" applyAlignment="1" applyProtection="1">
      <alignment horizontal="center" vertical="center"/>
    </xf>
    <xf numFmtId="168" fontId="3" fillId="17" borderId="128" xfId="0" applyNumberFormat="1" applyFont="1" applyFill="1" applyBorder="1" applyProtection="1">
      <protection locked="0"/>
    </xf>
    <xf numFmtId="0" fontId="70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5" fillId="17" borderId="10" xfId="0" applyFont="1" applyFill="1" applyBorder="1" applyProtection="1"/>
    <xf numFmtId="169" fontId="70" fillId="16" borderId="253" xfId="0" applyNumberFormat="1" applyFont="1" applyFill="1" applyBorder="1" applyAlignment="1" applyProtection="1">
      <alignment horizontal="center"/>
    </xf>
    <xf numFmtId="0" fontId="296" fillId="16" borderId="146" xfId="0" applyFont="1" applyFill="1" applyBorder="1" applyAlignment="1" applyProtection="1"/>
    <xf numFmtId="168" fontId="70" fillId="16" borderId="97" xfId="0" applyNumberFormat="1" applyFont="1" applyFill="1" applyBorder="1" applyAlignment="1" applyProtection="1"/>
    <xf numFmtId="0" fontId="70" fillId="16" borderId="189" xfId="0" applyFont="1" applyFill="1" applyBorder="1" applyAlignment="1" applyProtection="1"/>
    <xf numFmtId="0" fontId="70" fillId="16" borderId="194" xfId="0" applyFont="1" applyFill="1" applyBorder="1" applyAlignment="1" applyProtection="1"/>
    <xf numFmtId="0" fontId="73" fillId="16" borderId="194" xfId="0" applyFont="1" applyFill="1" applyBorder="1" applyAlignment="1" applyProtection="1"/>
    <xf numFmtId="0" fontId="73" fillId="16" borderId="195" xfId="0" applyFont="1" applyFill="1" applyBorder="1" applyProtection="1"/>
    <xf numFmtId="0" fontId="73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4" xfId="0" applyFont="1" applyFill="1" applyBorder="1" applyProtection="1"/>
    <xf numFmtId="0" fontId="2" fillId="5" borderId="254" xfId="0" applyFont="1" applyFill="1" applyBorder="1" applyProtection="1"/>
    <xf numFmtId="0" fontId="48" fillId="17" borderId="254" xfId="0" applyFont="1" applyFill="1" applyBorder="1" applyProtection="1"/>
    <xf numFmtId="0" fontId="85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7" xfId="0" applyNumberFormat="1" applyFont="1" applyFill="1" applyBorder="1" applyProtection="1"/>
    <xf numFmtId="168" fontId="70" fillId="16" borderId="253" xfId="0" applyNumberFormat="1" applyFont="1" applyFill="1" applyBorder="1" applyAlignment="1" applyProtection="1"/>
    <xf numFmtId="169" fontId="70" fillId="16" borderId="97" xfId="0" applyNumberFormat="1" applyFont="1" applyFill="1" applyBorder="1" applyAlignment="1" applyProtection="1">
      <alignment horizontal="center"/>
    </xf>
    <xf numFmtId="180" fontId="70" fillId="16" borderId="98" xfId="0" applyNumberFormat="1" applyFont="1" applyFill="1" applyBorder="1" applyAlignment="1" applyProtection="1">
      <alignment horizontal="center"/>
    </xf>
    <xf numFmtId="180" fontId="277" fillId="16" borderId="98" xfId="0" applyNumberFormat="1" applyFont="1" applyFill="1" applyBorder="1" applyAlignment="1" applyProtection="1">
      <alignment horizontal="center"/>
    </xf>
    <xf numFmtId="180" fontId="288" fillId="16" borderId="98" xfId="0" applyNumberFormat="1" applyFont="1" applyFill="1" applyBorder="1" applyAlignment="1" applyProtection="1">
      <alignment horizontal="center"/>
    </xf>
    <xf numFmtId="171" fontId="297" fillId="17" borderId="83" xfId="0" applyNumberFormat="1" applyFont="1" applyFill="1" applyBorder="1" applyAlignment="1" applyProtection="1">
      <alignment horizontal="center"/>
    </xf>
    <xf numFmtId="171" fontId="297" fillId="17" borderId="254" xfId="0" applyNumberFormat="1" applyFont="1" applyFill="1" applyBorder="1" applyAlignment="1" applyProtection="1">
      <alignment horizontal="center"/>
    </xf>
    <xf numFmtId="171" fontId="297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5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5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6" xfId="0" applyNumberFormat="1" applyFont="1" applyFill="1" applyBorder="1" applyProtection="1"/>
    <xf numFmtId="0" fontId="278" fillId="16" borderId="333" xfId="0" applyFont="1" applyFill="1" applyBorder="1" applyAlignment="1" applyProtection="1">
      <alignment horizontal="left"/>
    </xf>
    <xf numFmtId="0" fontId="279" fillId="16" borderId="333" xfId="0" applyFont="1" applyFill="1" applyBorder="1" applyAlignment="1" applyProtection="1">
      <alignment horizontal="right"/>
    </xf>
    <xf numFmtId="176" fontId="289" fillId="16" borderId="333" xfId="0" applyNumberFormat="1" applyFont="1" applyFill="1" applyBorder="1" applyAlignment="1" applyProtection="1">
      <alignment horizontal="center"/>
    </xf>
    <xf numFmtId="176" fontId="289" fillId="16" borderId="334" xfId="0" applyNumberFormat="1" applyFont="1" applyFill="1" applyBorder="1" applyAlignment="1" applyProtection="1">
      <alignment horizontal="center"/>
    </xf>
    <xf numFmtId="0" fontId="288" fillId="16" borderId="335" xfId="0" applyFont="1" applyFill="1" applyBorder="1" applyAlignment="1" applyProtection="1">
      <alignment horizontal="left"/>
    </xf>
    <xf numFmtId="0" fontId="70" fillId="16" borderId="335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7" fillId="32" borderId="0" xfId="0" applyFont="1" applyFill="1" applyBorder="1" applyProtection="1"/>
    <xf numFmtId="0" fontId="19" fillId="32" borderId="0" xfId="0" applyFont="1" applyFill="1" applyBorder="1" applyProtection="1"/>
    <xf numFmtId="0" fontId="87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7" fillId="32" borderId="0" xfId="0" applyNumberFormat="1" applyFont="1" applyFill="1" applyBorder="1" applyAlignment="1" applyProtection="1">
      <alignment horizontal="right"/>
    </xf>
    <xf numFmtId="168" fontId="127" fillId="32" borderId="0" xfId="0" applyNumberFormat="1" applyFont="1" applyFill="1" applyBorder="1" applyProtection="1"/>
    <xf numFmtId="0" fontId="128" fillId="32" borderId="0" xfId="0" applyFont="1" applyFill="1" applyProtection="1"/>
    <xf numFmtId="4" fontId="181" fillId="2" borderId="0" xfId="0" applyNumberFormat="1" applyFont="1" applyFill="1" applyProtection="1"/>
    <xf numFmtId="168" fontId="2" fillId="17" borderId="252" xfId="0" applyNumberFormat="1" applyFont="1" applyFill="1" applyBorder="1" applyProtection="1"/>
    <xf numFmtId="180" fontId="294" fillId="16" borderId="336" xfId="0" applyNumberFormat="1" applyFont="1" applyFill="1" applyBorder="1" applyAlignment="1" applyProtection="1">
      <alignment horizontal="center"/>
    </xf>
    <xf numFmtId="0" fontId="182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98" fillId="16" borderId="336" xfId="0" applyNumberFormat="1" applyFont="1" applyFill="1" applyBorder="1" applyAlignment="1" applyProtection="1">
      <alignment horizontal="center"/>
    </xf>
    <xf numFmtId="168" fontId="160" fillId="32" borderId="0" xfId="0" applyNumberFormat="1" applyFont="1" applyFill="1" applyBorder="1" applyAlignment="1" applyProtection="1">
      <alignment horizontal="right"/>
    </xf>
    <xf numFmtId="168" fontId="299" fillId="32" borderId="0" xfId="0" applyNumberFormat="1" applyFont="1" applyFill="1" applyBorder="1" applyAlignment="1" applyProtection="1">
      <alignment horizontal="center"/>
    </xf>
    <xf numFmtId="168" fontId="300" fillId="32" borderId="0" xfId="0" applyNumberFormat="1" applyFont="1" applyFill="1" applyBorder="1" applyAlignment="1" applyProtection="1">
      <alignment horizontal="center"/>
    </xf>
    <xf numFmtId="168" fontId="184" fillId="32" borderId="0" xfId="0" applyNumberFormat="1" applyFont="1" applyFill="1" applyBorder="1" applyProtection="1"/>
    <xf numFmtId="168" fontId="301" fillId="32" borderId="0" xfId="0" applyNumberFormat="1" applyFont="1" applyFill="1" applyBorder="1" applyAlignment="1" applyProtection="1">
      <alignment horizontal="center"/>
    </xf>
    <xf numFmtId="171" fontId="302" fillId="17" borderId="254" xfId="0" applyNumberFormat="1" applyFont="1" applyFill="1" applyBorder="1" applyAlignment="1" applyProtection="1">
      <alignment horizontal="center"/>
    </xf>
    <xf numFmtId="171" fontId="302" fillId="17" borderId="83" xfId="0" applyNumberFormat="1" applyFont="1" applyFill="1" applyBorder="1" applyAlignment="1" applyProtection="1">
      <alignment horizontal="center"/>
    </xf>
    <xf numFmtId="171" fontId="302" fillId="17" borderId="82" xfId="0" applyNumberFormat="1" applyFont="1" applyFill="1" applyBorder="1" applyAlignment="1" applyProtection="1">
      <alignment horizontal="center"/>
    </xf>
    <xf numFmtId="171" fontId="303" fillId="42" borderId="337" xfId="0" applyNumberFormat="1" applyFont="1" applyFill="1" applyBorder="1" applyProtection="1">
      <protection locked="0"/>
    </xf>
    <xf numFmtId="4" fontId="16" fillId="5" borderId="237" xfId="0" applyNumberFormat="1" applyFont="1" applyFill="1" applyBorder="1" applyAlignment="1" applyProtection="1">
      <alignment horizontal="center"/>
    </xf>
    <xf numFmtId="0" fontId="144" fillId="17" borderId="169" xfId="8" applyFont="1" applyFill="1" applyBorder="1" applyProtection="1"/>
    <xf numFmtId="0" fontId="144" fillId="17" borderId="174" xfId="8" applyFont="1" applyFill="1" applyBorder="1" applyProtection="1"/>
    <xf numFmtId="0" fontId="185" fillId="2" borderId="0" xfId="0" applyFont="1" applyFill="1" applyProtection="1"/>
    <xf numFmtId="0" fontId="304" fillId="43" borderId="0" xfId="0" applyFont="1" applyFill="1" applyProtection="1"/>
    <xf numFmtId="0" fontId="305" fillId="43" borderId="0" xfId="0" applyFont="1" applyFill="1" applyProtection="1"/>
    <xf numFmtId="168" fontId="272" fillId="16" borderId="255" xfId="0" applyNumberFormat="1" applyFont="1" applyFill="1" applyBorder="1" applyProtection="1"/>
    <xf numFmtId="168" fontId="275" fillId="16" borderId="255" xfId="0" applyNumberFormat="1" applyFont="1" applyFill="1" applyBorder="1" applyProtection="1"/>
    <xf numFmtId="0" fontId="306" fillId="16" borderId="196" xfId="0" applyFont="1" applyFill="1" applyBorder="1" applyAlignment="1" applyProtection="1">
      <alignment horizontal="center" vertical="center"/>
    </xf>
    <xf numFmtId="0" fontId="307" fillId="16" borderId="0" xfId="0" applyFont="1" applyFill="1" applyAlignment="1" applyProtection="1">
      <alignment horizontal="center"/>
    </xf>
    <xf numFmtId="0" fontId="308" fillId="16" borderId="0" xfId="0" applyFont="1" applyFill="1" applyAlignment="1" applyProtection="1">
      <alignment horizontal="center"/>
    </xf>
    <xf numFmtId="0" fontId="306" fillId="16" borderId="196" xfId="0" applyFont="1" applyFill="1" applyBorder="1" applyAlignment="1" applyProtection="1">
      <alignment horizontal="center" vertical="center"/>
      <protection locked="0"/>
    </xf>
    <xf numFmtId="38" fontId="90" fillId="5" borderId="47" xfId="9" applyNumberFormat="1" applyFont="1" applyFill="1" applyBorder="1" applyAlignment="1" applyProtection="1"/>
    <xf numFmtId="38" fontId="90" fillId="5" borderId="129" xfId="9" applyNumberFormat="1" applyFont="1" applyFill="1" applyBorder="1" applyAlignment="1" applyProtection="1"/>
    <xf numFmtId="38" fontId="93" fillId="8" borderId="87" xfId="9" applyNumberFormat="1" applyFont="1" applyFill="1" applyBorder="1" applyAlignment="1" applyProtection="1"/>
    <xf numFmtId="38" fontId="90" fillId="5" borderId="50" xfId="9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8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8" applyFont="1" applyFill="1" applyProtection="1"/>
    <xf numFmtId="0" fontId="7" fillId="0" borderId="0" xfId="5" applyFont="1" applyFill="1" applyProtection="1"/>
    <xf numFmtId="0" fontId="7" fillId="0" borderId="0" xfId="0" applyFont="1" applyFill="1" applyProtection="1"/>
    <xf numFmtId="0" fontId="185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83" xfId="8" applyFont="1" applyFill="1" applyBorder="1" applyAlignment="1" applyProtection="1">
      <alignment vertical="center"/>
    </xf>
    <xf numFmtId="0" fontId="13" fillId="5" borderId="183" xfId="8" applyFont="1" applyFill="1" applyBorder="1" applyAlignment="1" applyProtection="1">
      <alignment horizontal="left" vertical="center"/>
    </xf>
    <xf numFmtId="0" fontId="12" fillId="5" borderId="183" xfId="5" applyFont="1" applyFill="1" applyBorder="1" applyAlignment="1" applyProtection="1">
      <alignment horizontal="left" vertical="center"/>
    </xf>
    <xf numFmtId="0" fontId="7" fillId="5" borderId="184" xfId="5" applyFont="1" applyFill="1" applyBorder="1" applyProtection="1"/>
    <xf numFmtId="0" fontId="2" fillId="17" borderId="197" xfId="0" applyFont="1" applyFill="1" applyBorder="1" applyAlignment="1" applyProtection="1"/>
    <xf numFmtId="0" fontId="3" fillId="17" borderId="146" xfId="0" applyFont="1" applyFill="1" applyBorder="1" applyAlignment="1" applyProtection="1"/>
    <xf numFmtId="0" fontId="154" fillId="17" borderId="146" xfId="0" applyFont="1" applyFill="1" applyBorder="1" applyAlignment="1" applyProtection="1"/>
    <xf numFmtId="0" fontId="309" fillId="17" borderId="146" xfId="0" applyFont="1" applyFill="1" applyBorder="1" applyAlignment="1" applyProtection="1"/>
    <xf numFmtId="0" fontId="70" fillId="17" borderId="146" xfId="0" applyFont="1" applyFill="1" applyBorder="1" applyAlignment="1" applyProtection="1"/>
    <xf numFmtId="0" fontId="310" fillId="17" borderId="146" xfId="0" applyFont="1" applyFill="1" applyBorder="1" applyAlignment="1" applyProtection="1"/>
    <xf numFmtId="0" fontId="17" fillId="17" borderId="146" xfId="0" applyFont="1" applyFill="1" applyBorder="1" applyAlignment="1" applyProtection="1"/>
    <xf numFmtId="0" fontId="75" fillId="17" borderId="198" xfId="0" applyFont="1" applyFill="1" applyBorder="1" applyProtection="1"/>
    <xf numFmtId="0" fontId="157" fillId="17" borderId="196" xfId="0" applyFont="1" applyFill="1" applyBorder="1" applyAlignment="1" applyProtection="1">
      <alignment horizontal="center"/>
    </xf>
    <xf numFmtId="0" fontId="13" fillId="5" borderId="162" xfId="8" applyFont="1" applyFill="1" applyBorder="1" applyAlignment="1" applyProtection="1">
      <alignment vertical="center"/>
    </xf>
    <xf numFmtId="0" fontId="13" fillId="5" borderId="162" xfId="8" applyFont="1" applyFill="1" applyBorder="1" applyAlignment="1" applyProtection="1">
      <alignment horizontal="left" vertical="center"/>
    </xf>
    <xf numFmtId="0" fontId="7" fillId="5" borderId="84" xfId="8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11" fillId="2" borderId="0" xfId="0" applyNumberFormat="1" applyFont="1" applyFill="1" applyBorder="1" applyAlignment="1" applyProtection="1">
      <alignment horizontal="center"/>
    </xf>
    <xf numFmtId="4" fontId="2" fillId="17" borderId="148" xfId="0" applyNumberFormat="1" applyFont="1" applyFill="1" applyBorder="1" applyAlignment="1" applyProtection="1">
      <alignment horizontal="center"/>
    </xf>
    <xf numFmtId="4" fontId="62" fillId="21" borderId="223" xfId="0" applyNumberFormat="1" applyFont="1" applyFill="1" applyBorder="1" applyAlignment="1" applyProtection="1">
      <alignment horizontal="center" vertical="top"/>
    </xf>
    <xf numFmtId="4" fontId="62" fillId="21" borderId="196" xfId="0" applyNumberFormat="1" applyFont="1" applyFill="1" applyBorder="1" applyAlignment="1" applyProtection="1">
      <alignment horizontal="center" vertical="top"/>
    </xf>
    <xf numFmtId="171" fontId="2" fillId="17" borderId="251" xfId="0" applyNumberFormat="1" applyFont="1" applyFill="1" applyBorder="1" applyAlignment="1" applyProtection="1">
      <alignment horizontal="center"/>
    </xf>
    <xf numFmtId="4" fontId="22" fillId="17" borderId="148" xfId="0" applyNumberFormat="1" applyFont="1" applyFill="1" applyBorder="1" applyAlignment="1" applyProtection="1">
      <alignment horizontal="center" vertical="center"/>
    </xf>
    <xf numFmtId="4" fontId="22" fillId="17" borderId="251" xfId="0" applyNumberFormat="1" applyFont="1" applyFill="1" applyBorder="1" applyAlignment="1" applyProtection="1">
      <alignment horizontal="center" vertical="center"/>
    </xf>
    <xf numFmtId="4" fontId="312" fillId="2" borderId="0" xfId="0" applyNumberFormat="1" applyFont="1" applyFill="1" applyAlignment="1" applyProtection="1">
      <alignment horizontal="right"/>
    </xf>
    <xf numFmtId="4" fontId="312" fillId="2" borderId="0" xfId="0" applyNumberFormat="1" applyFont="1" applyFill="1" applyAlignment="1" applyProtection="1">
      <alignment horizontal="left"/>
    </xf>
    <xf numFmtId="4" fontId="311" fillId="2" borderId="0" xfId="0" applyNumberFormat="1" applyFont="1" applyFill="1" applyBorder="1" applyAlignment="1" applyProtection="1">
      <alignment horizontal="right"/>
    </xf>
    <xf numFmtId="0" fontId="140" fillId="16" borderId="87" xfId="0" applyFont="1" applyFill="1" applyBorder="1" applyAlignment="1" applyProtection="1"/>
    <xf numFmtId="168" fontId="275" fillId="16" borderId="250" xfId="0" applyNumberFormat="1" applyFont="1" applyFill="1" applyBorder="1" applyProtection="1"/>
    <xf numFmtId="0" fontId="8" fillId="16" borderId="146" xfId="0" applyFont="1" applyFill="1" applyBorder="1" applyAlignment="1" applyProtection="1"/>
    <xf numFmtId="0" fontId="8" fillId="16" borderId="146" xfId="0" applyFont="1" applyFill="1" applyBorder="1" applyAlignment="1" applyProtection="1">
      <alignment horizontal="center"/>
    </xf>
    <xf numFmtId="0" fontId="192" fillId="16" borderId="146" xfId="0" applyFont="1" applyFill="1" applyBorder="1" applyAlignment="1" applyProtection="1"/>
    <xf numFmtId="0" fontId="6" fillId="16" borderId="147" xfId="0" applyFont="1" applyFill="1" applyBorder="1" applyAlignment="1" applyProtection="1"/>
    <xf numFmtId="16" fontId="6" fillId="16" borderId="98" xfId="0" applyNumberFormat="1" applyFont="1" applyFill="1" applyBorder="1" applyAlignment="1" applyProtection="1">
      <alignment horizontal="center"/>
    </xf>
    <xf numFmtId="0" fontId="7" fillId="2" borderId="220" xfId="8" applyFont="1" applyFill="1" applyBorder="1" applyProtection="1"/>
    <xf numFmtId="168" fontId="2" fillId="0" borderId="220" xfId="9" applyNumberFormat="1" applyFont="1" applyBorder="1" applyAlignment="1" applyProtection="1"/>
    <xf numFmtId="168" fontId="73" fillId="0" borderId="220" xfId="9" applyNumberFormat="1" applyFont="1" applyBorder="1" applyAlignment="1" applyProtection="1"/>
    <xf numFmtId="0" fontId="7" fillId="2" borderId="219" xfId="8" applyFont="1" applyFill="1" applyBorder="1" applyProtection="1"/>
    <xf numFmtId="168" fontId="2" fillId="25" borderId="197" xfId="9" applyNumberFormat="1" applyFont="1" applyFill="1" applyBorder="1" applyAlignment="1" applyProtection="1"/>
    <xf numFmtId="168" fontId="73" fillId="25" borderId="198" xfId="9" applyNumberFormat="1" applyFont="1" applyFill="1" applyBorder="1" applyAlignment="1" applyProtection="1"/>
    <xf numFmtId="168" fontId="73" fillId="0" borderId="221" xfId="9" applyNumberFormat="1" applyFont="1" applyBorder="1" applyAlignment="1" applyProtection="1">
      <alignment horizontal="center"/>
    </xf>
    <xf numFmtId="165" fontId="12" fillId="44" borderId="196" xfId="0" applyNumberFormat="1" applyFont="1" applyFill="1" applyBorder="1" applyAlignment="1" applyProtection="1">
      <alignment horizontal="center" vertical="center"/>
    </xf>
    <xf numFmtId="164" fontId="2" fillId="0" borderId="220" xfId="9" applyNumberFormat="1" applyFont="1" applyBorder="1" applyAlignment="1" applyProtection="1"/>
    <xf numFmtId="164" fontId="73" fillId="0" borderId="220" xfId="9" applyNumberFormat="1" applyFont="1" applyBorder="1" applyAlignment="1" applyProtection="1"/>
    <xf numFmtId="38" fontId="8" fillId="21" borderId="8" xfId="9" applyNumberFormat="1" applyFont="1" applyFill="1" applyBorder="1" applyAlignment="1" applyProtection="1">
      <alignment horizontal="center" vertical="center"/>
    </xf>
    <xf numFmtId="164" fontId="22" fillId="21" borderId="124" xfId="9" applyNumberFormat="1" applyFont="1" applyFill="1" applyBorder="1" applyAlignment="1" applyProtection="1">
      <alignment horizontal="center" vertical="center" wrapText="1"/>
    </xf>
    <xf numFmtId="164" fontId="29" fillId="21" borderId="192" xfId="9" applyNumberFormat="1" applyFont="1" applyFill="1" applyBorder="1" applyAlignment="1" applyProtection="1">
      <alignment horizontal="center" vertical="center" wrapText="1"/>
    </xf>
    <xf numFmtId="164" fontId="2" fillId="21" borderId="124" xfId="9" applyNumberFormat="1" applyFont="1" applyFill="1" applyBorder="1" applyAlignment="1" applyProtection="1">
      <alignment horizontal="center" vertical="center"/>
    </xf>
    <xf numFmtId="164" fontId="2" fillId="21" borderId="184" xfId="9" applyNumberFormat="1" applyFont="1" applyFill="1" applyBorder="1" applyAlignment="1" applyProtection="1">
      <alignment horizontal="center" vertical="center"/>
    </xf>
    <xf numFmtId="164" fontId="29" fillId="21" borderId="184" xfId="9" applyNumberFormat="1" applyFont="1" applyFill="1" applyBorder="1" applyAlignment="1" applyProtection="1">
      <alignment horizontal="center" vertical="center" wrapText="1"/>
    </xf>
    <xf numFmtId="38" fontId="8" fillId="45" borderId="82" xfId="9" applyNumberFormat="1" applyFont="1" applyFill="1" applyBorder="1" applyAlignment="1" applyProtection="1">
      <alignment horizontal="center" vertical="center"/>
    </xf>
    <xf numFmtId="38" fontId="8" fillId="45" borderId="8" xfId="9" applyNumberFormat="1" applyFont="1" applyFill="1" applyBorder="1" applyAlignment="1" applyProtection="1">
      <alignment horizontal="center" vertical="center"/>
    </xf>
    <xf numFmtId="38" fontId="2" fillId="45" borderId="190" xfId="9" applyNumberFormat="1" applyFont="1" applyFill="1" applyBorder="1" applyAlignment="1" applyProtection="1">
      <alignment horizontal="center" vertical="center"/>
    </xf>
    <xf numFmtId="166" fontId="2" fillId="45" borderId="256" xfId="9" applyNumberFormat="1" applyFont="1" applyFill="1" applyBorder="1" applyAlignment="1" applyProtection="1">
      <alignment horizontal="center" vertical="center"/>
    </xf>
    <xf numFmtId="164" fontId="22" fillId="45" borderId="124" xfId="9" applyNumberFormat="1" applyFont="1" applyFill="1" applyBorder="1" applyAlignment="1" applyProtection="1">
      <alignment horizontal="center" vertical="center" wrapText="1"/>
    </xf>
    <xf numFmtId="164" fontId="29" fillId="45" borderId="184" xfId="9" applyNumberFormat="1" applyFont="1" applyFill="1" applyBorder="1" applyAlignment="1" applyProtection="1">
      <alignment horizontal="center" vertical="center" wrapText="1"/>
    </xf>
    <xf numFmtId="164" fontId="2" fillId="45" borderId="124" xfId="9" applyNumberFormat="1" applyFont="1" applyFill="1" applyBorder="1" applyAlignment="1" applyProtection="1">
      <alignment horizontal="center" vertical="center"/>
    </xf>
    <xf numFmtId="164" fontId="2" fillId="45" borderId="184" xfId="9" applyNumberFormat="1" applyFont="1" applyFill="1" applyBorder="1" applyAlignment="1" applyProtection="1">
      <alignment horizontal="center" vertical="center"/>
    </xf>
    <xf numFmtId="164" fontId="2" fillId="45" borderId="124" xfId="9" applyNumberFormat="1" applyFont="1" applyFill="1" applyBorder="1" applyAlignment="1" applyProtection="1">
      <alignment horizontal="center" vertical="center" wrapText="1"/>
    </xf>
    <xf numFmtId="164" fontId="6" fillId="45" borderId="184" xfId="9" applyNumberFormat="1" applyFont="1" applyFill="1" applyBorder="1" applyAlignment="1" applyProtection="1">
      <alignment horizontal="center" vertical="center" wrapText="1"/>
    </xf>
    <xf numFmtId="38" fontId="24" fillId="45" borderId="189" xfId="9" applyNumberFormat="1" applyFont="1" applyFill="1" applyBorder="1" applyAlignment="1" applyProtection="1"/>
    <xf numFmtId="167" fontId="8" fillId="45" borderId="98" xfId="9" applyNumberFormat="1" applyFont="1" applyFill="1" applyBorder="1" applyAlignment="1" applyProtection="1">
      <alignment horizontal="center" vertical="center"/>
    </xf>
    <xf numFmtId="168" fontId="2" fillId="45" borderId="96" xfId="9" applyNumberFormat="1" applyFont="1" applyFill="1" applyBorder="1" applyAlignment="1" applyProtection="1">
      <alignment horizontal="right"/>
    </xf>
    <xf numFmtId="168" fontId="3" fillId="45" borderId="99" xfId="9" applyNumberFormat="1" applyFont="1" applyFill="1" applyBorder="1" applyAlignment="1" applyProtection="1">
      <alignment horizontal="right"/>
    </xf>
    <xf numFmtId="164" fontId="13" fillId="21" borderId="184" xfId="9" applyNumberFormat="1" applyFont="1" applyFill="1" applyBorder="1" applyAlignment="1" applyProtection="1">
      <alignment horizontal="center" vertical="center" wrapText="1"/>
    </xf>
    <xf numFmtId="38" fontId="24" fillId="21" borderId="189" xfId="9" applyNumberFormat="1" applyFont="1" applyFill="1" applyBorder="1" applyAlignment="1" applyProtection="1"/>
    <xf numFmtId="167" fontId="24" fillId="21" borderId="98" xfId="9" applyNumberFormat="1" applyFont="1" applyFill="1" applyBorder="1" applyAlignment="1" applyProtection="1">
      <alignment horizontal="center"/>
    </xf>
    <xf numFmtId="164" fontId="13" fillId="45" borderId="184" xfId="9" applyNumberFormat="1" applyFont="1" applyFill="1" applyBorder="1" applyAlignment="1" applyProtection="1">
      <alignment horizontal="center" vertical="center" wrapText="1"/>
    </xf>
    <xf numFmtId="167" fontId="58" fillId="45" borderId="98" xfId="9" applyNumberFormat="1" applyFont="1" applyFill="1" applyBorder="1" applyAlignment="1" applyProtection="1">
      <alignment horizontal="center" vertical="center"/>
    </xf>
    <xf numFmtId="0" fontId="26" fillId="16" borderId="151" xfId="8" applyFont="1" applyFill="1" applyBorder="1" applyProtection="1"/>
    <xf numFmtId="0" fontId="7" fillId="16" borderId="153" xfId="8" applyFont="1" applyFill="1" applyBorder="1" applyProtection="1"/>
    <xf numFmtId="0" fontId="54" fillId="16" borderId="187" xfId="8" applyFont="1" applyFill="1" applyBorder="1" applyProtection="1"/>
    <xf numFmtId="0" fontId="7" fillId="16" borderId="205" xfId="8" applyFont="1" applyFill="1" applyBorder="1" applyProtection="1"/>
    <xf numFmtId="0" fontId="59" fillId="16" borderId="187" xfId="8" applyFont="1" applyFill="1" applyBorder="1" applyProtection="1"/>
    <xf numFmtId="0" fontId="71" fillId="16" borderId="151" xfId="8" applyFont="1" applyFill="1" applyBorder="1" applyProtection="1"/>
    <xf numFmtId="0" fontId="2" fillId="46" borderId="87" xfId="0" applyFont="1" applyFill="1" applyBorder="1" applyProtection="1"/>
    <xf numFmtId="0" fontId="70" fillId="46" borderId="146" xfId="0" applyFont="1" applyFill="1" applyBorder="1" applyProtection="1"/>
    <xf numFmtId="0" fontId="48" fillId="46" borderId="146" xfId="0" applyFont="1" applyFill="1" applyBorder="1" applyProtection="1"/>
    <xf numFmtId="181" fontId="74" fillId="46" borderId="147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70" fillId="46" borderId="148" xfId="0" applyNumberFormat="1" applyFont="1" applyFill="1" applyBorder="1" applyAlignment="1" applyProtection="1">
      <alignment horizontal="center"/>
    </xf>
    <xf numFmtId="168" fontId="70" fillId="46" borderId="93" xfId="0" applyNumberFormat="1" applyFont="1" applyFill="1" applyBorder="1" applyProtection="1"/>
    <xf numFmtId="168" fontId="70" fillId="46" borderId="148" xfId="0" applyNumberFormat="1" applyFont="1" applyFill="1" applyBorder="1" applyProtection="1"/>
    <xf numFmtId="169" fontId="70" fillId="46" borderId="93" xfId="0" applyNumberFormat="1" applyFont="1" applyFill="1" applyBorder="1" applyAlignment="1" applyProtection="1">
      <alignment horizontal="center"/>
    </xf>
    <xf numFmtId="168" fontId="70" fillId="46" borderId="148" xfId="0" applyNumberFormat="1" applyFont="1" applyFill="1" applyBorder="1" applyProtection="1">
      <protection locked="0"/>
    </xf>
    <xf numFmtId="168" fontId="70" fillId="46" borderId="93" xfId="0" applyNumberFormat="1" applyFont="1" applyFill="1" applyBorder="1" applyProtection="1">
      <protection locked="0"/>
    </xf>
    <xf numFmtId="4" fontId="3" fillId="17" borderId="172" xfId="0" applyNumberFormat="1" applyFont="1" applyFill="1" applyBorder="1" applyAlignment="1" applyProtection="1">
      <alignment vertical="center"/>
    </xf>
    <xf numFmtId="4" fontId="3" fillId="17" borderId="173" xfId="0" applyNumberFormat="1" applyFont="1" applyFill="1" applyBorder="1" applyAlignment="1" applyProtection="1">
      <alignment vertical="center"/>
    </xf>
    <xf numFmtId="0" fontId="137" fillId="17" borderId="174" xfId="0" applyFont="1" applyFill="1" applyBorder="1" applyAlignment="1" applyProtection="1">
      <alignment vertical="top"/>
    </xf>
    <xf numFmtId="0" fontId="147" fillId="17" borderId="175" xfId="0" applyFont="1" applyFill="1" applyBorder="1" applyAlignment="1" applyProtection="1">
      <alignment vertical="top"/>
    </xf>
    <xf numFmtId="4" fontId="2" fillId="16" borderId="237" xfId="0" applyNumberFormat="1" applyFont="1" applyFill="1" applyBorder="1" applyAlignment="1" applyProtection="1"/>
    <xf numFmtId="178" fontId="16" fillId="16" borderId="240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90" fillId="17" borderId="81" xfId="0" applyNumberFormat="1" applyFont="1" applyFill="1" applyBorder="1" applyAlignment="1" applyProtection="1">
      <alignment horizontal="center"/>
    </xf>
    <xf numFmtId="4" fontId="190" fillId="17" borderId="242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190" fillId="17" borderId="237" xfId="0" applyNumberFormat="1" applyFont="1" applyFill="1" applyBorder="1" applyAlignment="1" applyProtection="1"/>
    <xf numFmtId="4" fontId="62" fillId="17" borderId="238" xfId="0" applyNumberFormat="1" applyFont="1" applyFill="1" applyBorder="1" applyAlignment="1" applyProtection="1"/>
    <xf numFmtId="4" fontId="190" fillId="17" borderId="239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31" xfId="0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32" xfId="0" applyNumberFormat="1" applyFont="1" applyFill="1" applyBorder="1" applyAlignment="1" applyProtection="1">
      <alignment horizontal="center" vertical="top"/>
    </xf>
    <xf numFmtId="4" fontId="6" fillId="17" borderId="233" xfId="0" applyNumberFormat="1" applyFont="1" applyFill="1" applyBorder="1" applyAlignment="1" applyProtection="1">
      <alignment horizontal="center"/>
    </xf>
    <xf numFmtId="4" fontId="6" fillId="17" borderId="232" xfId="0" applyNumberFormat="1" applyFont="1" applyFill="1" applyBorder="1" applyAlignment="1" applyProtection="1">
      <alignment horizontal="center"/>
    </xf>
    <xf numFmtId="4" fontId="6" fillId="17" borderId="233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8" xfId="0" applyNumberFormat="1" applyFont="1" applyFill="1" applyBorder="1" applyAlignment="1" applyProtection="1"/>
    <xf numFmtId="168" fontId="2" fillId="38" borderId="149" xfId="0" applyNumberFormat="1" applyFont="1" applyFill="1" applyBorder="1" applyAlignment="1" applyProtection="1"/>
    <xf numFmtId="168" fontId="2" fillId="38" borderId="150" xfId="0" applyNumberFormat="1" applyFont="1" applyFill="1" applyBorder="1" applyAlignment="1" applyProtection="1"/>
    <xf numFmtId="168" fontId="2" fillId="38" borderId="93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41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91" xfId="0" applyNumberFormat="1" applyFont="1" applyFill="1" applyBorder="1" applyAlignment="1" applyProtection="1">
      <alignment horizontal="center"/>
    </xf>
    <xf numFmtId="0" fontId="6" fillId="38" borderId="256" xfId="0" applyFont="1" applyFill="1" applyBorder="1" applyAlignment="1" applyProtection="1">
      <alignment horizontal="center"/>
    </xf>
    <xf numFmtId="168" fontId="2" fillId="38" borderId="257" xfId="0" applyNumberFormat="1" applyFont="1" applyFill="1" applyBorder="1" applyProtection="1"/>
    <xf numFmtId="168" fontId="2" fillId="38" borderId="230" xfId="0" applyNumberFormat="1" applyFont="1" applyFill="1" applyBorder="1" applyProtection="1"/>
    <xf numFmtId="168" fontId="2" fillId="38" borderId="258" xfId="0" applyNumberFormat="1" applyFont="1" applyFill="1" applyBorder="1" applyProtection="1"/>
    <xf numFmtId="168" fontId="2" fillId="38" borderId="259" xfId="0" applyNumberFormat="1" applyFont="1" applyFill="1" applyBorder="1" applyProtection="1"/>
    <xf numFmtId="168" fontId="2" fillId="38" borderId="258" xfId="0" applyNumberFormat="1" applyFont="1" applyFill="1" applyBorder="1" applyProtection="1"/>
    <xf numFmtId="0" fontId="6" fillId="0" borderId="260" xfId="0" applyFont="1" applyFill="1" applyBorder="1" applyAlignment="1" applyProtection="1">
      <alignment horizontal="center"/>
    </xf>
    <xf numFmtId="168" fontId="2" fillId="0" borderId="261" xfId="0" applyNumberFormat="1" applyFont="1" applyFill="1" applyBorder="1" applyProtection="1"/>
    <xf numFmtId="168" fontId="2" fillId="0" borderId="262" xfId="0" applyNumberFormat="1" applyFont="1" applyFill="1" applyBorder="1" applyProtection="1"/>
    <xf numFmtId="168" fontId="2" fillId="0" borderId="263" xfId="0" applyNumberFormat="1" applyFont="1" applyFill="1" applyBorder="1" applyProtection="1"/>
    <xf numFmtId="168" fontId="2" fillId="0" borderId="264" xfId="0" applyNumberFormat="1" applyFont="1" applyFill="1" applyBorder="1" applyProtection="1"/>
    <xf numFmtId="4" fontId="12" fillId="0" borderId="265" xfId="0" applyNumberFormat="1" applyFont="1" applyFill="1" applyBorder="1" applyAlignment="1" applyProtection="1">
      <alignment horizontal="center"/>
    </xf>
    <xf numFmtId="4" fontId="16" fillId="14" borderId="266" xfId="0" applyNumberFormat="1" applyFont="1" applyFill="1" applyBorder="1" applyAlignment="1" applyProtection="1">
      <alignment horizontal="center"/>
    </xf>
    <xf numFmtId="4" fontId="12" fillId="0" borderId="259" xfId="0" applyNumberFormat="1" applyFont="1" applyFill="1" applyBorder="1" applyAlignment="1" applyProtection="1">
      <alignment horizontal="center"/>
    </xf>
    <xf numFmtId="4" fontId="194" fillId="17" borderId="267" xfId="0" applyNumberFormat="1" applyFont="1" applyFill="1" applyBorder="1" applyAlignment="1" applyProtection="1">
      <alignment horizontal="left"/>
    </xf>
    <xf numFmtId="4" fontId="190" fillId="17" borderId="89" xfId="0" applyNumberFormat="1" applyFont="1" applyFill="1" applyBorder="1" applyAlignment="1" applyProtection="1">
      <alignment horizontal="center"/>
    </xf>
    <xf numFmtId="4" fontId="190" fillId="17" borderId="193" xfId="0" applyNumberFormat="1" applyFont="1" applyFill="1" applyBorder="1" applyAlignment="1" applyProtection="1">
      <alignment horizontal="center"/>
    </xf>
    <xf numFmtId="0" fontId="313" fillId="16" borderId="268" xfId="0" applyFont="1" applyFill="1" applyBorder="1" applyAlignment="1" applyProtection="1">
      <alignment horizontal="center"/>
    </xf>
    <xf numFmtId="0" fontId="275" fillId="16" borderId="85" xfId="0" applyFont="1" applyFill="1" applyBorder="1" applyAlignment="1" applyProtection="1">
      <alignment horizontal="center" vertical="center"/>
    </xf>
    <xf numFmtId="180" fontId="314" fillId="16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31" xfId="0" applyNumberFormat="1" applyFont="1" applyFill="1" applyBorder="1" applyAlignment="1">
      <alignment horizontal="center" vertical="top"/>
    </xf>
    <xf numFmtId="0" fontId="2" fillId="5" borderId="231" xfId="0" applyFont="1" applyFill="1" applyBorder="1" applyAlignment="1">
      <alignment horizontal="center" vertical="top"/>
    </xf>
    <xf numFmtId="0" fontId="189" fillId="17" borderId="268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31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31" xfId="0" applyFont="1" applyFill="1" applyBorder="1" applyAlignment="1">
      <alignment horizontal="center" vertical="top"/>
    </xf>
    <xf numFmtId="0" fontId="93" fillId="5" borderId="0" xfId="8" applyFont="1" applyFill="1" applyBorder="1" applyAlignment="1" applyProtection="1">
      <alignment horizontal="left"/>
    </xf>
    <xf numFmtId="0" fontId="2" fillId="5" borderId="231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>
      <alignment horizontal="center" vertical="top"/>
    </xf>
    <xf numFmtId="180" fontId="22" fillId="5" borderId="231" xfId="0" applyNumberFormat="1" applyFont="1" applyFill="1" applyBorder="1" applyAlignment="1" applyProtection="1">
      <alignment horizontal="center" vertical="top"/>
    </xf>
    <xf numFmtId="0" fontId="189" fillId="5" borderId="85" xfId="0" applyFont="1" applyFill="1" applyBorder="1" applyAlignment="1">
      <alignment horizontal="center"/>
    </xf>
    <xf numFmtId="0" fontId="315" fillId="5" borderId="183" xfId="8" applyFont="1" applyFill="1" applyBorder="1" applyAlignment="1" applyProtection="1">
      <alignment horizontal="left" vertical="center"/>
    </xf>
    <xf numFmtId="0" fontId="316" fillId="5" borderId="183" xfId="5" applyFont="1" applyFill="1" applyBorder="1" applyAlignment="1" applyProtection="1">
      <alignment horizontal="left" vertical="center"/>
    </xf>
    <xf numFmtId="0" fontId="70" fillId="16" borderId="87" xfId="0" applyFont="1" applyFill="1" applyBorder="1" applyAlignment="1" applyProtection="1"/>
    <xf numFmtId="0" fontId="70" fillId="16" borderId="146" xfId="0" applyFont="1" applyFill="1" applyBorder="1" applyAlignment="1" applyProtection="1"/>
    <xf numFmtId="0" fontId="73" fillId="16" borderId="146" xfId="0" applyFont="1" applyFill="1" applyBorder="1" applyAlignment="1" applyProtection="1"/>
    <xf numFmtId="0" fontId="73" fillId="16" borderId="147" xfId="0" applyFont="1" applyFill="1" applyBorder="1" applyProtection="1"/>
    <xf numFmtId="171" fontId="2" fillId="17" borderId="196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horizontal="center" vertical="center"/>
    </xf>
    <xf numFmtId="0" fontId="140" fillId="17" borderId="87" xfId="0" applyFont="1" applyFill="1" applyBorder="1" applyAlignment="1" applyProtection="1"/>
    <xf numFmtId="0" fontId="32" fillId="17" borderId="146" xfId="0" applyFont="1" applyFill="1" applyBorder="1" applyAlignment="1" applyProtection="1"/>
    <xf numFmtId="0" fontId="10" fillId="17" borderId="146" xfId="0" applyFont="1" applyFill="1" applyBorder="1" applyAlignment="1" applyProtection="1"/>
    <xf numFmtId="0" fontId="32" fillId="17" borderId="146" xfId="0" applyFont="1" applyFill="1" applyBorder="1" applyAlignment="1" applyProtection="1">
      <alignment horizontal="center"/>
    </xf>
    <xf numFmtId="0" fontId="49" fillId="17" borderId="146" xfId="0" applyFont="1" applyFill="1" applyBorder="1" applyAlignment="1" applyProtection="1"/>
    <xf numFmtId="175" fontId="48" fillId="16" borderId="196" xfId="0" applyNumberFormat="1" applyFont="1" applyFill="1" applyBorder="1" applyAlignment="1" applyProtection="1">
      <alignment horizontal="center"/>
    </xf>
    <xf numFmtId="0" fontId="130" fillId="17" borderId="147" xfId="0" applyFont="1" applyFill="1" applyBorder="1" applyAlignment="1" applyProtection="1">
      <alignment horizontal="left"/>
    </xf>
    <xf numFmtId="4" fontId="12" fillId="17" borderId="89" xfId="0" applyNumberFormat="1" applyFont="1" applyFill="1" applyBorder="1" applyAlignment="1" applyProtection="1">
      <alignment horizontal="center"/>
    </xf>
    <xf numFmtId="4" fontId="12" fillId="17" borderId="193" xfId="0" applyNumberFormat="1" applyFont="1" applyFill="1" applyBorder="1" applyAlignment="1" applyProtection="1">
      <alignment horizontal="center"/>
    </xf>
    <xf numFmtId="4" fontId="190" fillId="17" borderId="237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5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91" xfId="0" applyNumberFormat="1" applyFont="1" applyFill="1" applyBorder="1" applyAlignment="1" applyProtection="1">
      <alignment horizontal="center" vertical="top"/>
    </xf>
    <xf numFmtId="168" fontId="16" fillId="17" borderId="148" xfId="0" applyNumberFormat="1" applyFont="1" applyFill="1" applyBorder="1" applyAlignment="1" applyProtection="1"/>
    <xf numFmtId="168" fontId="16" fillId="17" borderId="93" xfId="0" applyNumberFormat="1" applyFont="1" applyFill="1" applyBorder="1" applyAlignment="1" applyProtection="1"/>
    <xf numFmtId="168" fontId="3" fillId="11" borderId="128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6" xfId="0" applyNumberFormat="1" applyFont="1" applyFill="1" applyBorder="1" applyProtection="1"/>
    <xf numFmtId="168" fontId="2" fillId="17" borderId="207" xfId="0" applyNumberFormat="1" applyFont="1" applyFill="1" applyBorder="1" applyProtection="1"/>
    <xf numFmtId="4" fontId="30" fillId="2" borderId="218" xfId="0" applyNumberFormat="1" applyFont="1" applyFill="1" applyBorder="1" applyAlignment="1" applyProtection="1">
      <alignment vertical="center"/>
    </xf>
    <xf numFmtId="4" fontId="30" fillId="2" borderId="252" xfId="0" applyNumberFormat="1" applyFont="1" applyFill="1" applyBorder="1" applyAlignment="1" applyProtection="1">
      <alignment vertical="center"/>
    </xf>
    <xf numFmtId="168" fontId="65" fillId="4" borderId="249" xfId="0" applyNumberFormat="1" applyFont="1" applyFill="1" applyBorder="1" applyAlignment="1" applyProtection="1">
      <alignment horizontal="center"/>
    </xf>
    <xf numFmtId="168" fontId="65" fillId="4" borderId="218" xfId="0" applyNumberFormat="1" applyFont="1" applyFill="1" applyBorder="1" applyAlignment="1" applyProtection="1">
      <alignment horizontal="center"/>
    </xf>
    <xf numFmtId="4" fontId="3" fillId="6" borderId="196" xfId="0" applyNumberFormat="1" applyFont="1" applyFill="1" applyBorder="1" applyProtection="1"/>
    <xf numFmtId="168" fontId="67" fillId="3" borderId="223" xfId="0" applyNumberFormat="1" applyFont="1" applyFill="1" applyBorder="1" applyAlignment="1" applyProtection="1">
      <alignment horizontal="center"/>
    </xf>
    <xf numFmtId="4" fontId="12" fillId="0" borderId="269" xfId="0" applyNumberFormat="1" applyFont="1" applyFill="1" applyBorder="1" applyAlignment="1" applyProtection="1">
      <alignment horizontal="center"/>
    </xf>
    <xf numFmtId="4" fontId="16" fillId="3" borderId="269" xfId="0" applyNumberFormat="1" applyFont="1" applyFill="1" applyBorder="1" applyAlignment="1" applyProtection="1">
      <alignment horizontal="center"/>
    </xf>
    <xf numFmtId="4" fontId="16" fillId="4" borderId="270" xfId="0" applyNumberFormat="1" applyFont="1" applyFill="1" applyBorder="1" applyAlignment="1" applyProtection="1">
      <alignment horizontal="center"/>
    </xf>
    <xf numFmtId="4" fontId="12" fillId="0" borderId="271" xfId="0" applyNumberFormat="1" applyFont="1" applyFill="1" applyBorder="1" applyAlignment="1" applyProtection="1">
      <alignment horizontal="center"/>
    </xf>
    <xf numFmtId="4" fontId="48" fillId="4" borderId="272" xfId="0" applyNumberFormat="1" applyFont="1" applyFill="1" applyBorder="1" applyAlignment="1" applyProtection="1">
      <alignment horizontal="center"/>
    </xf>
    <xf numFmtId="4" fontId="48" fillId="4" borderId="271" xfId="0" applyNumberFormat="1" applyFont="1" applyFill="1" applyBorder="1" applyAlignment="1" applyProtection="1">
      <alignment horizontal="center"/>
    </xf>
    <xf numFmtId="4" fontId="43" fillId="7" borderId="273" xfId="0" applyNumberFormat="1" applyFont="1" applyFill="1" applyBorder="1" applyAlignment="1" applyProtection="1">
      <alignment horizontal="center"/>
    </xf>
    <xf numFmtId="4" fontId="43" fillId="7" borderId="274" xfId="0" applyNumberFormat="1" applyFont="1" applyFill="1" applyBorder="1" applyAlignment="1" applyProtection="1">
      <alignment horizontal="center"/>
    </xf>
    <xf numFmtId="4" fontId="12" fillId="16" borderId="275" xfId="0" applyNumberFormat="1" applyFont="1" applyFill="1" applyBorder="1" applyAlignment="1" applyProtection="1">
      <alignment horizontal="center"/>
    </xf>
    <xf numFmtId="4" fontId="2" fillId="0" borderId="276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12" fillId="17" borderId="245" xfId="0" applyNumberFormat="1" applyFont="1" applyFill="1" applyBorder="1" applyAlignment="1" applyProtection="1">
      <alignment horizontal="left"/>
    </xf>
    <xf numFmtId="4" fontId="12" fillId="17" borderId="248" xfId="0" applyNumberFormat="1" applyFont="1" applyFill="1" applyBorder="1" applyAlignment="1" applyProtection="1">
      <alignment horizontal="center"/>
    </xf>
    <xf numFmtId="4" fontId="314" fillId="33" borderId="245" xfId="0" applyNumberFormat="1" applyFont="1" applyFill="1" applyBorder="1" applyAlignment="1" applyProtection="1">
      <alignment horizontal="left"/>
    </xf>
    <xf numFmtId="4" fontId="280" fillId="33" borderId="248" xfId="0" applyNumberFormat="1" applyFont="1" applyFill="1" applyBorder="1" applyAlignment="1" applyProtection="1">
      <alignment horizontal="center"/>
    </xf>
    <xf numFmtId="4" fontId="22" fillId="18" borderId="245" xfId="0" applyNumberFormat="1" applyFont="1" applyFill="1" applyBorder="1" applyAlignment="1" applyProtection="1">
      <alignment horizontal="left"/>
    </xf>
    <xf numFmtId="4" fontId="99" fillId="18" borderId="248" xfId="0" applyNumberFormat="1" applyFont="1" applyFill="1" applyBorder="1" applyAlignment="1" applyProtection="1">
      <alignment horizontal="center"/>
    </xf>
    <xf numFmtId="4" fontId="144" fillId="3" borderId="245" xfId="0" applyNumberFormat="1" applyFont="1" applyFill="1" applyBorder="1" applyAlignment="1" applyProtection="1">
      <alignment horizontal="left"/>
    </xf>
    <xf numFmtId="4" fontId="27" fillId="3" borderId="248" xfId="0" applyNumberFormat="1" applyFont="1" applyFill="1" applyBorder="1" applyAlignment="1" applyProtection="1">
      <alignment horizontal="center"/>
    </xf>
    <xf numFmtId="178" fontId="275" fillId="5" borderId="240" xfId="0" applyNumberFormat="1" applyFont="1" applyFill="1" applyBorder="1" applyAlignment="1" applyProtection="1">
      <alignment horizontal="center"/>
    </xf>
    <xf numFmtId="171" fontId="275" fillId="33" borderId="196" xfId="0" applyNumberFormat="1" applyFont="1" applyFill="1" applyBorder="1" applyAlignment="1" applyProtection="1">
      <alignment horizontal="center"/>
    </xf>
    <xf numFmtId="168" fontId="275" fillId="33" borderId="277" xfId="0" applyNumberFormat="1" applyFont="1" applyFill="1" applyBorder="1" applyProtection="1"/>
    <xf numFmtId="38" fontId="81" fillId="5" borderId="48" xfId="9" applyNumberFormat="1" applyFont="1" applyFill="1" applyBorder="1" applyAlignment="1" applyProtection="1">
      <alignment horizontal="right"/>
    </xf>
    <xf numFmtId="0" fontId="160" fillId="5" borderId="162" xfId="8" applyFont="1" applyFill="1" applyBorder="1" applyAlignment="1" applyProtection="1">
      <alignment horizontal="left" vertical="center"/>
    </xf>
    <xf numFmtId="38" fontId="8" fillId="48" borderId="82" xfId="9" applyNumberFormat="1" applyFont="1" applyFill="1" applyBorder="1" applyAlignment="1" applyProtection="1">
      <alignment horizontal="center" vertical="center"/>
    </xf>
    <xf numFmtId="38" fontId="2" fillId="48" borderId="8" xfId="9" applyNumberFormat="1" applyFont="1" applyFill="1" applyBorder="1" applyAlignment="1" applyProtection="1">
      <alignment horizontal="center" vertical="center"/>
    </xf>
    <xf numFmtId="38" fontId="2" fillId="48" borderId="162" xfId="9" applyNumberFormat="1" applyFont="1" applyFill="1" applyBorder="1" applyAlignment="1" applyProtection="1">
      <alignment horizontal="center" vertical="center"/>
    </xf>
    <xf numFmtId="38" fontId="2" fillId="48" borderId="190" xfId="9" applyNumberFormat="1" applyFont="1" applyFill="1" applyBorder="1" applyAlignment="1" applyProtection="1">
      <alignment horizontal="center" vertical="center"/>
    </xf>
    <xf numFmtId="166" fontId="2" fillId="48" borderId="256" xfId="9" applyNumberFormat="1" applyFont="1" applyFill="1" applyBorder="1" applyAlignment="1" applyProtection="1">
      <alignment horizontal="center" vertical="center"/>
    </xf>
    <xf numFmtId="168" fontId="29" fillId="48" borderId="183" xfId="9" applyNumberFormat="1" applyFont="1" applyFill="1" applyBorder="1" applyAlignment="1" applyProtection="1">
      <alignment horizontal="center" vertical="center" wrapText="1"/>
    </xf>
    <xf numFmtId="1" fontId="2" fillId="48" borderId="183" xfId="9" applyNumberFormat="1" applyFont="1" applyFill="1" applyBorder="1" applyAlignment="1" applyProtection="1">
      <alignment horizontal="center" vertical="center"/>
    </xf>
    <xf numFmtId="168" fontId="22" fillId="48" borderId="230" xfId="9" applyNumberFormat="1" applyFont="1" applyFill="1" applyBorder="1" applyAlignment="1" applyProtection="1">
      <alignment horizontal="center" vertical="center" wrapText="1"/>
    </xf>
    <xf numFmtId="1" fontId="2" fillId="48" borderId="230" xfId="9" applyNumberFormat="1" applyFont="1" applyFill="1" applyBorder="1" applyAlignment="1" applyProtection="1">
      <alignment horizontal="center" vertical="center"/>
    </xf>
    <xf numFmtId="38" fontId="2" fillId="48" borderId="189" xfId="9" applyNumberFormat="1" applyFont="1" applyFill="1" applyBorder="1" applyAlignment="1" applyProtection="1"/>
    <xf numFmtId="167" fontId="2" fillId="48" borderId="98" xfId="9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7" xfId="0" applyFont="1" applyFill="1" applyBorder="1" applyAlignment="1" applyProtection="1">
      <alignment horizontal="right"/>
    </xf>
    <xf numFmtId="171" fontId="38" fillId="4" borderId="148" xfId="9" applyNumberFormat="1" applyFont="1" applyFill="1" applyBorder="1" applyAlignment="1" applyProtection="1"/>
    <xf numFmtId="171" fontId="37" fillId="4" borderId="93" xfId="9" applyNumberFormat="1" applyFont="1" applyFill="1" applyBorder="1" applyAlignment="1" applyProtection="1"/>
    <xf numFmtId="168" fontId="2" fillId="16" borderId="197" xfId="9" applyNumberFormat="1" applyFont="1" applyFill="1" applyBorder="1" applyAlignment="1" applyProtection="1"/>
    <xf numFmtId="168" fontId="73" fillId="16" borderId="198" xfId="9" applyNumberFormat="1" applyFont="1" applyFill="1" applyBorder="1" applyAlignment="1" applyProtection="1"/>
    <xf numFmtId="168" fontId="2" fillId="0" borderId="221" xfId="9" applyNumberFormat="1" applyFont="1" applyBorder="1" applyAlignment="1" applyProtection="1">
      <alignment horizontal="center"/>
    </xf>
    <xf numFmtId="0" fontId="70" fillId="17" borderId="169" xfId="8" applyFont="1" applyFill="1" applyBorder="1" applyProtection="1"/>
    <xf numFmtId="38" fontId="2" fillId="23" borderId="197" xfId="9" applyNumberFormat="1" applyFont="1" applyFill="1" applyBorder="1" applyAlignment="1" applyProtection="1"/>
    <xf numFmtId="38" fontId="2" fillId="23" borderId="148" xfId="9" applyNumberFormat="1" applyFont="1" applyFill="1" applyBorder="1" applyAlignment="1" applyProtection="1"/>
    <xf numFmtId="168" fontId="73" fillId="0" borderId="219" xfId="9" applyNumberFormat="1" applyFont="1" applyBorder="1" applyAlignment="1" applyProtection="1"/>
    <xf numFmtId="168" fontId="2" fillId="43" borderId="220" xfId="9" applyNumberFormat="1" applyFont="1" applyFill="1" applyBorder="1" applyAlignment="1" applyProtection="1"/>
    <xf numFmtId="168" fontId="73" fillId="43" borderId="220" xfId="9" applyNumberFormat="1" applyFont="1" applyFill="1" applyBorder="1" applyAlignment="1" applyProtection="1"/>
    <xf numFmtId="38" fontId="12" fillId="29" borderId="197" xfId="9" applyNumberFormat="1" applyFont="1" applyFill="1" applyBorder="1" applyAlignment="1" applyProtection="1">
      <alignment horizontal="left"/>
    </xf>
    <xf numFmtId="38" fontId="12" fillId="29" borderId="198" xfId="9" applyNumberFormat="1" applyFont="1" applyFill="1" applyBorder="1" applyAlignment="1" applyProtection="1">
      <alignment horizontal="left"/>
    </xf>
    <xf numFmtId="168" fontId="2" fillId="17" borderId="252" xfId="9" applyNumberFormat="1" applyFont="1" applyFill="1" applyBorder="1" applyAlignment="1" applyProtection="1">
      <alignment horizontal="center"/>
    </xf>
    <xf numFmtId="168" fontId="73" fillId="17" borderId="252" xfId="9" applyNumberFormat="1" applyFont="1" applyFill="1" applyBorder="1" applyAlignment="1" applyProtection="1">
      <alignment horizontal="center"/>
    </xf>
    <xf numFmtId="0" fontId="7" fillId="17" borderId="222" xfId="8" applyFont="1" applyFill="1" applyBorder="1" applyProtection="1"/>
    <xf numFmtId="168" fontId="2" fillId="21" borderId="223" xfId="9" applyNumberFormat="1" applyFont="1" applyFill="1" applyBorder="1" applyAlignment="1" applyProtection="1"/>
    <xf numFmtId="168" fontId="73" fillId="21" borderId="223" xfId="9" applyNumberFormat="1" applyFont="1" applyFill="1" applyBorder="1" applyAlignment="1" applyProtection="1"/>
    <xf numFmtId="168" fontId="70" fillId="23" borderId="196" xfId="9" applyNumberFormat="1" applyFont="1" applyFill="1" applyBorder="1" applyAlignment="1" applyProtection="1">
      <alignment horizontal="right"/>
    </xf>
    <xf numFmtId="164" fontId="70" fillId="23" borderId="196" xfId="9" applyNumberFormat="1" applyFont="1" applyFill="1" applyBorder="1" applyAlignment="1" applyProtection="1">
      <alignment horizontal="right"/>
    </xf>
    <xf numFmtId="164" fontId="73" fillId="0" borderId="219" xfId="9" applyNumberFormat="1" applyFont="1" applyBorder="1" applyAlignment="1" applyProtection="1"/>
    <xf numFmtId="164" fontId="2" fillId="43" borderId="220" xfId="9" applyNumberFormat="1" applyFont="1" applyFill="1" applyBorder="1" applyAlignment="1" applyProtection="1"/>
    <xf numFmtId="164" fontId="73" fillId="43" borderId="220" xfId="9" applyNumberFormat="1" applyFont="1" applyFill="1" applyBorder="1" applyAlignment="1" applyProtection="1"/>
    <xf numFmtId="164" fontId="2" fillId="21" borderId="223" xfId="9" applyNumberFormat="1" applyFont="1" applyFill="1" applyBorder="1" applyAlignment="1" applyProtection="1"/>
    <xf numFmtId="164" fontId="73" fillId="21" borderId="223" xfId="9" applyNumberFormat="1" applyFont="1" applyFill="1" applyBorder="1" applyAlignment="1" applyProtection="1"/>
    <xf numFmtId="179" fontId="2" fillId="5" borderId="196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70" fillId="49" borderId="146" xfId="0" applyFont="1" applyFill="1" applyBorder="1" applyProtection="1"/>
    <xf numFmtId="0" fontId="48" fillId="49" borderId="146" xfId="0" applyFont="1" applyFill="1" applyBorder="1" applyProtection="1"/>
    <xf numFmtId="0" fontId="85" fillId="49" borderId="147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70" fillId="49" borderId="148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>
      <protection locked="0"/>
    </xf>
    <xf numFmtId="168" fontId="70" fillId="49" borderId="148" xfId="0" applyNumberFormat="1" applyFont="1" applyFill="1" applyBorder="1" applyProtection="1">
      <protection locked="0"/>
    </xf>
    <xf numFmtId="169" fontId="70" fillId="49" borderId="93" xfId="0" applyNumberFormat="1" applyFont="1" applyFill="1" applyBorder="1" applyAlignment="1" applyProtection="1">
      <alignment horizontal="center"/>
    </xf>
    <xf numFmtId="0" fontId="137" fillId="21" borderId="169" xfId="0" applyFont="1" applyFill="1" applyBorder="1" applyProtection="1"/>
    <xf numFmtId="0" fontId="137" fillId="21" borderId="170" xfId="0" applyFont="1" applyFill="1" applyBorder="1" applyProtection="1"/>
    <xf numFmtId="0" fontId="157" fillId="21" borderId="170" xfId="0" applyFont="1" applyFill="1" applyBorder="1" applyProtection="1"/>
    <xf numFmtId="0" fontId="21" fillId="21" borderId="171" xfId="0" applyFont="1" applyFill="1" applyBorder="1" applyProtection="1"/>
    <xf numFmtId="0" fontId="137" fillId="21" borderId="174" xfId="0" applyFont="1" applyFill="1" applyBorder="1" applyAlignment="1" applyProtection="1">
      <alignment vertical="center"/>
    </xf>
    <xf numFmtId="0" fontId="137" fillId="21" borderId="11" xfId="0" applyFont="1" applyFill="1" applyBorder="1" applyAlignment="1" applyProtection="1">
      <alignment vertical="center"/>
    </xf>
    <xf numFmtId="0" fontId="157" fillId="21" borderId="175" xfId="0" applyFont="1" applyFill="1" applyBorder="1" applyAlignment="1" applyProtection="1">
      <alignment vertical="center"/>
    </xf>
    <xf numFmtId="171" fontId="2" fillId="5" borderId="252" xfId="0" applyNumberFormat="1" applyFont="1" applyFill="1" applyBorder="1" applyAlignment="1" applyProtection="1">
      <alignment horizontal="center"/>
    </xf>
    <xf numFmtId="0" fontId="317" fillId="42" borderId="338" xfId="0" applyFont="1" applyFill="1" applyBorder="1" applyProtection="1"/>
    <xf numFmtId="0" fontId="318" fillId="42" borderId="339" xfId="0" applyFont="1" applyFill="1" applyBorder="1" applyProtection="1"/>
    <xf numFmtId="0" fontId="317" fillId="42" borderId="340" xfId="0" applyFont="1" applyFill="1" applyBorder="1" applyProtection="1"/>
    <xf numFmtId="0" fontId="318" fillId="42" borderId="341" xfId="0" applyFont="1" applyFill="1" applyBorder="1" applyProtection="1"/>
    <xf numFmtId="0" fontId="175" fillId="42" borderId="340" xfId="0" applyFont="1" applyFill="1" applyBorder="1" applyAlignment="1" applyProtection="1">
      <alignment vertical="center"/>
    </xf>
    <xf numFmtId="0" fontId="175" fillId="42" borderId="342" xfId="0" applyFont="1" applyFill="1" applyBorder="1" applyAlignment="1" applyProtection="1">
      <alignment vertical="center"/>
    </xf>
    <xf numFmtId="0" fontId="318" fillId="42" borderId="343" xfId="0" applyFont="1" applyFill="1" applyBorder="1" applyAlignment="1" applyProtection="1">
      <alignment vertical="center"/>
    </xf>
    <xf numFmtId="179" fontId="12" fillId="5" borderId="252" xfId="0" applyNumberFormat="1" applyFont="1" applyFill="1" applyBorder="1" applyAlignment="1" applyProtection="1">
      <alignment horizontal="center"/>
    </xf>
    <xf numFmtId="0" fontId="70" fillId="46" borderId="87" xfId="0" applyFont="1" applyFill="1" applyBorder="1" applyProtection="1"/>
    <xf numFmtId="181" fontId="70" fillId="46" borderId="147" xfId="0" applyNumberFormat="1" applyFont="1" applyFill="1" applyBorder="1" applyAlignment="1" applyProtection="1">
      <alignment horizontal="left"/>
    </xf>
    <xf numFmtId="0" fontId="70" fillId="17" borderId="48" xfId="0" applyFont="1" applyFill="1" applyBorder="1" applyProtection="1"/>
    <xf numFmtId="0" fontId="73" fillId="17" borderId="49" xfId="0" applyFont="1" applyFill="1" applyBorder="1" applyProtection="1"/>
    <xf numFmtId="0" fontId="70" fillId="17" borderId="51" xfId="0" applyFont="1" applyFill="1" applyBorder="1" applyProtection="1"/>
    <xf numFmtId="0" fontId="73" fillId="17" borderId="52" xfId="0" applyFont="1" applyFill="1" applyBorder="1" applyProtection="1"/>
    <xf numFmtId="0" fontId="70" fillId="49" borderId="87" xfId="0" applyFont="1" applyFill="1" applyBorder="1" applyProtection="1"/>
    <xf numFmtId="0" fontId="73" fillId="49" borderId="147" xfId="0" applyFont="1" applyFill="1" applyBorder="1" applyProtection="1"/>
    <xf numFmtId="0" fontId="2" fillId="46" borderId="146" xfId="0" applyFont="1" applyFill="1" applyBorder="1" applyProtection="1"/>
    <xf numFmtId="181" fontId="2" fillId="46" borderId="147" xfId="0" applyNumberFormat="1" applyFont="1" applyFill="1" applyBorder="1" applyAlignment="1" applyProtection="1">
      <alignment horizontal="left"/>
    </xf>
    <xf numFmtId="0" fontId="2" fillId="49" borderId="146" xfId="0" applyFont="1" applyFill="1" applyBorder="1" applyProtection="1"/>
    <xf numFmtId="0" fontId="3" fillId="49" borderId="147" xfId="0" applyFont="1" applyFill="1" applyBorder="1" applyProtection="1"/>
    <xf numFmtId="168" fontId="2" fillId="16" borderId="336" xfId="0" applyNumberFormat="1" applyFont="1" applyFill="1" applyBorder="1" applyProtection="1"/>
    <xf numFmtId="4" fontId="31" fillId="32" borderId="0" xfId="0" applyNumberFormat="1" applyFont="1" applyFill="1" applyProtection="1"/>
    <xf numFmtId="0" fontId="198" fillId="17" borderId="197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7" fillId="16" borderId="146" xfId="0" applyFont="1" applyFill="1" applyBorder="1" applyProtection="1"/>
    <xf numFmtId="0" fontId="147" fillId="16" borderId="198" xfId="0" applyFont="1" applyFill="1" applyBorder="1" applyProtection="1"/>
    <xf numFmtId="0" fontId="153" fillId="16" borderId="197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8" xfId="0" applyFont="1" applyFill="1" applyBorder="1" applyAlignment="1" applyProtection="1">
      <alignment horizontal="center"/>
    </xf>
    <xf numFmtId="0" fontId="2" fillId="17" borderId="130" xfId="0" applyFont="1" applyFill="1" applyBorder="1" applyAlignment="1" applyProtection="1">
      <alignment horizontal="center"/>
    </xf>
    <xf numFmtId="0" fontId="2" fillId="17" borderId="231" xfId="0" applyFont="1" applyFill="1" applyBorder="1" applyAlignment="1" applyProtection="1">
      <alignment horizontal="center"/>
    </xf>
    <xf numFmtId="4" fontId="12" fillId="0" borderId="257" xfId="0" applyNumberFormat="1" applyFont="1" applyFill="1" applyBorder="1" applyAlignment="1" applyProtection="1">
      <alignment horizontal="center"/>
    </xf>
    <xf numFmtId="4" fontId="2" fillId="0" borderId="258" xfId="0" applyNumberFormat="1" applyFont="1" applyFill="1" applyBorder="1" applyAlignment="1" applyProtection="1">
      <alignment horizontal="center"/>
    </xf>
    <xf numFmtId="4" fontId="2" fillId="0" borderId="279" xfId="0" applyNumberFormat="1" applyFont="1" applyFill="1" applyBorder="1" applyAlignment="1" applyProtection="1">
      <alignment horizontal="center"/>
    </xf>
    <xf numFmtId="4" fontId="2" fillId="0" borderId="230" xfId="0" applyNumberFormat="1" applyFont="1" applyFill="1" applyBorder="1" applyAlignment="1" applyProtection="1">
      <alignment horizontal="center"/>
    </xf>
    <xf numFmtId="0" fontId="2" fillId="5" borderId="48" xfId="8" applyFont="1" applyFill="1" applyBorder="1" applyAlignment="1" applyProtection="1">
      <alignment horizontal="left"/>
    </xf>
    <xf numFmtId="165" fontId="8" fillId="5" borderId="196" xfId="8" applyNumberFormat="1" applyFont="1" applyFill="1" applyBorder="1" applyAlignment="1" applyProtection="1">
      <alignment horizontal="center" vertical="center"/>
    </xf>
    <xf numFmtId="0" fontId="317" fillId="42" borderId="338" xfId="0" applyFont="1" applyFill="1" applyBorder="1" applyAlignment="1" applyProtection="1">
      <alignment horizontal="left" vertical="top"/>
    </xf>
    <xf numFmtId="0" fontId="317" fillId="42" borderId="344" xfId="0" applyFont="1" applyFill="1" applyBorder="1" applyAlignment="1" applyProtection="1">
      <alignment horizontal="center" vertical="top"/>
    </xf>
    <xf numFmtId="0" fontId="318" fillId="42" borderId="344" xfId="0" applyFont="1" applyFill="1" applyBorder="1" applyAlignment="1" applyProtection="1">
      <alignment horizontal="center" vertical="top"/>
    </xf>
    <xf numFmtId="0" fontId="319" fillId="42" borderId="339" xfId="0" applyFont="1" applyFill="1" applyBorder="1" applyAlignment="1" applyProtection="1">
      <alignment horizontal="center" vertical="top"/>
    </xf>
    <xf numFmtId="0" fontId="175" fillId="50" borderId="340" xfId="0" applyFont="1" applyFill="1" applyBorder="1" applyProtection="1"/>
    <xf numFmtId="0" fontId="317" fillId="50" borderId="0" xfId="0" applyFont="1" applyFill="1" applyBorder="1" applyProtection="1"/>
    <xf numFmtId="0" fontId="318" fillId="50" borderId="0" xfId="0" applyFont="1" applyFill="1" applyBorder="1" applyProtection="1"/>
    <xf numFmtId="0" fontId="319" fillId="50" borderId="341" xfId="0" applyFont="1" applyFill="1" applyBorder="1" applyProtection="1"/>
    <xf numFmtId="0" fontId="175" fillId="42" borderId="342" xfId="0" applyFont="1" applyFill="1" applyBorder="1" applyProtection="1"/>
    <xf numFmtId="0" fontId="317" fillId="42" borderId="345" xfId="0" applyFont="1" applyFill="1" applyBorder="1" applyProtection="1"/>
    <xf numFmtId="0" fontId="318" fillId="42" borderId="345" xfId="0" applyFont="1" applyFill="1" applyBorder="1" applyProtection="1"/>
    <xf numFmtId="0" fontId="319" fillId="42" borderId="343" xfId="0" applyFont="1" applyFill="1" applyBorder="1" applyProtection="1"/>
    <xf numFmtId="0" fontId="175" fillId="42" borderId="346" xfId="0" applyFont="1" applyFill="1" applyBorder="1" applyProtection="1"/>
    <xf numFmtId="0" fontId="317" fillId="42" borderId="347" xfId="0" applyFont="1" applyFill="1" applyBorder="1" applyProtection="1"/>
    <xf numFmtId="0" fontId="318" fillId="42" borderId="347" xfId="0" applyFont="1" applyFill="1" applyBorder="1" applyProtection="1"/>
    <xf numFmtId="0" fontId="319" fillId="42" borderId="348" xfId="0" applyFont="1" applyFill="1" applyBorder="1" applyProtection="1"/>
    <xf numFmtId="0" fontId="317" fillId="42" borderId="349" xfId="0" applyFont="1" applyFill="1" applyBorder="1" applyProtection="1"/>
    <xf numFmtId="0" fontId="317" fillId="42" borderId="0" xfId="0" applyFont="1" applyFill="1" applyBorder="1" applyProtection="1"/>
    <xf numFmtId="0" fontId="319" fillId="42" borderId="350" xfId="0" applyFont="1" applyFill="1" applyBorder="1" applyProtection="1"/>
    <xf numFmtId="0" fontId="175" fillId="50" borderId="338" xfId="0" applyFont="1" applyFill="1" applyBorder="1" applyProtection="1"/>
    <xf numFmtId="0" fontId="317" fillId="50" borderId="344" xfId="0" applyFont="1" applyFill="1" applyBorder="1" applyProtection="1"/>
    <xf numFmtId="0" fontId="318" fillId="50" borderId="344" xfId="0" applyFont="1" applyFill="1" applyBorder="1" applyProtection="1"/>
    <xf numFmtId="0" fontId="319" fillId="50" borderId="339" xfId="0" applyFont="1" applyFill="1" applyBorder="1" applyProtection="1"/>
    <xf numFmtId="0" fontId="317" fillId="50" borderId="340" xfId="0" applyFont="1" applyFill="1" applyBorder="1" applyProtection="1"/>
    <xf numFmtId="0" fontId="317" fillId="50" borderId="342" xfId="0" applyFont="1" applyFill="1" applyBorder="1" applyProtection="1"/>
    <xf numFmtId="0" fontId="317" fillId="50" borderId="345" xfId="0" applyFont="1" applyFill="1" applyBorder="1" applyProtection="1"/>
    <xf numFmtId="0" fontId="319" fillId="50" borderId="343" xfId="0" applyFont="1" applyFill="1" applyBorder="1" applyProtection="1"/>
    <xf numFmtId="0" fontId="317" fillId="42" borderId="146" xfId="0" applyFont="1" applyFill="1" applyBorder="1" applyAlignment="1" applyProtection="1">
      <alignment vertical="center"/>
    </xf>
    <xf numFmtId="170" fontId="286" fillId="42" borderId="231" xfId="0" applyNumberFormat="1" applyFont="1" applyFill="1" applyBorder="1" applyAlignment="1" applyProtection="1">
      <alignment horizontal="center"/>
    </xf>
    <xf numFmtId="0" fontId="318" fillId="42" borderId="87" xfId="0" applyFont="1" applyFill="1" applyBorder="1" applyAlignment="1" applyProtection="1">
      <alignment vertical="center"/>
    </xf>
    <xf numFmtId="0" fontId="317" fillId="42" borderId="147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75" fillId="5" borderId="237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91" xfId="0" applyNumberFormat="1" applyFont="1" applyFill="1" applyBorder="1" applyProtection="1"/>
    <xf numFmtId="0" fontId="2" fillId="5" borderId="177" xfId="0" applyFont="1" applyFill="1" applyBorder="1" applyProtection="1"/>
    <xf numFmtId="0" fontId="48" fillId="17" borderId="177" xfId="0" applyFont="1" applyFill="1" applyBorder="1" applyProtection="1"/>
    <xf numFmtId="0" fontId="85" fillId="17" borderId="178" xfId="0" applyFont="1" applyFill="1" applyBorder="1" applyProtection="1"/>
    <xf numFmtId="0" fontId="2" fillId="17" borderId="210" xfId="0" applyFont="1" applyFill="1" applyBorder="1" applyProtection="1"/>
    <xf numFmtId="0" fontId="48" fillId="17" borderId="210" xfId="0" applyFont="1" applyFill="1" applyBorder="1" applyProtection="1"/>
    <xf numFmtId="0" fontId="85" fillId="17" borderId="176" xfId="0" applyFont="1" applyFill="1" applyBorder="1" applyProtection="1"/>
    <xf numFmtId="168" fontId="3" fillId="17" borderId="280" xfId="0" applyNumberFormat="1" applyFont="1" applyFill="1" applyBorder="1" applyProtection="1">
      <protection locked="0"/>
    </xf>
    <xf numFmtId="169" fontId="3" fillId="0" borderId="281" xfId="0" applyNumberFormat="1" applyFont="1" applyFill="1" applyBorder="1" applyAlignment="1" applyProtection="1">
      <alignment horizontal="center"/>
    </xf>
    <xf numFmtId="168" fontId="3" fillId="17" borderId="282" xfId="0" applyNumberFormat="1" applyFont="1" applyFill="1" applyBorder="1" applyProtection="1">
      <protection locked="0"/>
    </xf>
    <xf numFmtId="169" fontId="3" fillId="0" borderId="163" xfId="0" applyNumberFormat="1" applyFont="1" applyFill="1" applyBorder="1" applyAlignment="1" applyProtection="1">
      <alignment horizontal="center"/>
    </xf>
    <xf numFmtId="169" fontId="160" fillId="17" borderId="128" xfId="0" applyNumberFormat="1" applyFont="1" applyFill="1" applyBorder="1" applyAlignment="1" applyProtection="1">
      <alignment horizontal="center"/>
    </xf>
    <xf numFmtId="171" fontId="297" fillId="17" borderId="8" xfId="0" applyNumberFormat="1" applyFont="1" applyFill="1" applyBorder="1" applyAlignment="1" applyProtection="1">
      <alignment horizontal="center"/>
    </xf>
    <xf numFmtId="171" fontId="302" fillId="17" borderId="10" xfId="0" applyNumberFormat="1" applyFont="1" applyFill="1" applyBorder="1" applyAlignment="1" applyProtection="1">
      <alignment horizontal="center"/>
    </xf>
    <xf numFmtId="171" fontId="297" fillId="17" borderId="0" xfId="0" applyNumberFormat="1" applyFont="1" applyFill="1" applyBorder="1" applyAlignment="1" applyProtection="1">
      <alignment horizontal="center"/>
    </xf>
    <xf numFmtId="169" fontId="160" fillId="17" borderId="163" xfId="0" applyNumberFormat="1" applyFont="1" applyFill="1" applyBorder="1" applyAlignment="1" applyProtection="1">
      <alignment horizontal="center"/>
    </xf>
    <xf numFmtId="0" fontId="48" fillId="17" borderId="283" xfId="0" applyFont="1" applyFill="1" applyBorder="1" applyProtection="1"/>
    <xf numFmtId="0" fontId="85" fillId="17" borderId="284" xfId="0" applyFont="1" applyFill="1" applyBorder="1" applyProtection="1"/>
    <xf numFmtId="0" fontId="73" fillId="17" borderId="285" xfId="0" applyFont="1" applyFill="1" applyBorder="1" applyProtection="1"/>
    <xf numFmtId="0" fontId="73" fillId="17" borderId="215" xfId="0" applyFont="1" applyFill="1" applyBorder="1" applyProtection="1"/>
    <xf numFmtId="0" fontId="73" fillId="17" borderId="254" xfId="0" applyFont="1" applyFill="1" applyBorder="1" applyProtection="1"/>
    <xf numFmtId="0" fontId="48" fillId="17" borderId="286" xfId="0" applyFont="1" applyFill="1" applyBorder="1" applyProtection="1"/>
    <xf numFmtId="0" fontId="73" fillId="17" borderId="0" xfId="0" applyFont="1" applyFill="1" applyBorder="1" applyProtection="1"/>
    <xf numFmtId="0" fontId="48" fillId="17" borderId="173" xfId="0" applyFont="1" applyFill="1" applyBorder="1" applyProtection="1"/>
    <xf numFmtId="168" fontId="275" fillId="33" borderId="287" xfId="0" applyNumberFormat="1" applyFont="1" applyFill="1" applyBorder="1" applyProtection="1"/>
    <xf numFmtId="168" fontId="275" fillId="33" borderId="288" xfId="0" applyNumberFormat="1" applyFont="1" applyFill="1" applyBorder="1" applyProtection="1"/>
    <xf numFmtId="168" fontId="2" fillId="17" borderId="223" xfId="0" applyNumberFormat="1" applyFont="1" applyFill="1" applyBorder="1" applyProtection="1"/>
    <xf numFmtId="4" fontId="12" fillId="0" borderId="274" xfId="0" applyNumberFormat="1" applyFont="1" applyFill="1" applyBorder="1" applyAlignment="1" applyProtection="1">
      <alignment horizontal="center"/>
    </xf>
    <xf numFmtId="0" fontId="137" fillId="17" borderId="11" xfId="0" applyFont="1" applyFill="1" applyBorder="1" applyProtection="1"/>
    <xf numFmtId="169" fontId="2" fillId="5" borderId="167" xfId="9" applyNumberFormat="1" applyFont="1" applyFill="1" applyBorder="1" applyAlignment="1" applyProtection="1">
      <alignment horizontal="center"/>
    </xf>
    <xf numFmtId="0" fontId="320" fillId="17" borderId="83" xfId="0" applyFont="1" applyFill="1" applyBorder="1" applyProtection="1"/>
    <xf numFmtId="0" fontId="321" fillId="5" borderId="82" xfId="0" applyFont="1" applyFill="1" applyBorder="1" applyAlignment="1" applyProtection="1">
      <alignment horizontal="center"/>
    </xf>
    <xf numFmtId="171" fontId="322" fillId="32" borderId="0" xfId="0" applyNumberFormat="1" applyFont="1" applyFill="1" applyBorder="1" applyAlignment="1" applyProtection="1">
      <alignment horizontal="center"/>
    </xf>
    <xf numFmtId="171" fontId="323" fillId="32" borderId="0" xfId="0" applyNumberFormat="1" applyFont="1" applyFill="1" applyBorder="1" applyAlignment="1" applyProtection="1">
      <alignment horizontal="center"/>
    </xf>
    <xf numFmtId="0" fontId="191" fillId="15" borderId="289" xfId="6" applyFont="1" applyFill="1" applyBorder="1" applyAlignment="1"/>
    <xf numFmtId="0" fontId="218" fillId="15" borderId="289" xfId="6" applyFont="1" applyFill="1" applyBorder="1"/>
    <xf numFmtId="0" fontId="219" fillId="15" borderId="289" xfId="6" applyFont="1" applyFill="1" applyBorder="1"/>
    <xf numFmtId="0" fontId="220" fillId="2" borderId="0" xfId="3" applyFill="1" applyBorder="1"/>
    <xf numFmtId="0" fontId="137" fillId="2" borderId="0" xfId="3" applyFont="1" applyFill="1" applyAlignment="1">
      <alignment horizontal="center"/>
    </xf>
    <xf numFmtId="0" fontId="220" fillId="2" borderId="0" xfId="3" applyFill="1"/>
    <xf numFmtId="0" fontId="220" fillId="0" borderId="0" xfId="3" applyFill="1"/>
    <xf numFmtId="0" fontId="221" fillId="15" borderId="115" xfId="6" applyFont="1" applyFill="1" applyBorder="1" applyAlignment="1"/>
    <xf numFmtId="0" fontId="218" fillId="15" borderId="115" xfId="6" applyFont="1" applyFill="1" applyBorder="1"/>
    <xf numFmtId="0" fontId="219" fillId="15" borderId="115" xfId="6" applyFont="1" applyFill="1" applyBorder="1"/>
    <xf numFmtId="0" fontId="3" fillId="5" borderId="0" xfId="3" applyFont="1" applyFill="1" applyBorder="1"/>
    <xf numFmtId="0" fontId="6" fillId="5" borderId="0" xfId="3" quotePrefix="1" applyFont="1" applyFill="1" applyBorder="1" applyAlignment="1">
      <alignment horizontal="left"/>
    </xf>
    <xf numFmtId="0" fontId="223" fillId="5" borderId="0" xfId="3" applyFont="1" applyFill="1"/>
    <xf numFmtId="0" fontId="93" fillId="0" borderId="0" xfId="3" applyFont="1" applyFill="1" applyBorder="1"/>
    <xf numFmtId="0" fontId="3" fillId="5" borderId="9" xfId="3" applyFont="1" applyFill="1" applyBorder="1" applyAlignment="1">
      <alignment horizontal="center"/>
    </xf>
    <xf numFmtId="0" fontId="225" fillId="15" borderId="290" xfId="3" applyFont="1" applyFill="1" applyBorder="1" applyAlignment="1">
      <alignment horizontal="center" vertical="center"/>
    </xf>
    <xf numFmtId="0" fontId="64" fillId="15" borderId="290" xfId="3" applyFont="1" applyFill="1" applyBorder="1" applyAlignment="1">
      <alignment horizontal="center" vertical="center" wrapText="1"/>
    </xf>
    <xf numFmtId="182" fontId="2" fillId="15" borderId="291" xfId="3" quotePrefix="1" applyNumberFormat="1" applyFont="1" applyFill="1" applyBorder="1" applyAlignment="1">
      <alignment horizontal="center" vertical="center"/>
    </xf>
    <xf numFmtId="0" fontId="306" fillId="21" borderId="196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/>
    </xf>
    <xf numFmtId="0" fontId="225" fillId="5" borderId="292" xfId="3" applyFont="1" applyFill="1" applyBorder="1" applyAlignment="1">
      <alignment horizontal="center" vertical="center"/>
    </xf>
    <xf numFmtId="0" fontId="2" fillId="5" borderId="292" xfId="3" applyFont="1" applyFill="1" applyBorder="1" applyAlignment="1">
      <alignment horizontal="center" vertical="center" wrapText="1"/>
    </xf>
    <xf numFmtId="0" fontId="3" fillId="5" borderId="9" xfId="3" quotePrefix="1" applyFont="1" applyFill="1" applyBorder="1" applyAlignment="1">
      <alignment horizontal="center"/>
    </xf>
    <xf numFmtId="0" fontId="2" fillId="15" borderId="293" xfId="3" applyFont="1" applyFill="1" applyBorder="1" applyAlignment="1">
      <alignment horizontal="center"/>
    </xf>
    <xf numFmtId="183" fontId="49" fillId="15" borderId="160" xfId="3" quotePrefix="1" applyNumberFormat="1" applyFont="1" applyFill="1" applyBorder="1" applyAlignment="1">
      <alignment horizontal="center"/>
    </xf>
    <xf numFmtId="0" fontId="15" fillId="0" borderId="294" xfId="3" applyFont="1" applyBorder="1" applyAlignment="1">
      <alignment horizontal="center"/>
    </xf>
    <xf numFmtId="0" fontId="49" fillId="0" borderId="294" xfId="3" quotePrefix="1" applyNumberFormat="1" applyFont="1" applyBorder="1" applyAlignment="1">
      <alignment horizontal="center"/>
    </xf>
    <xf numFmtId="0" fontId="137" fillId="17" borderId="219" xfId="3" applyFont="1" applyFill="1" applyBorder="1" applyAlignment="1">
      <alignment horizontal="center"/>
    </xf>
    <xf numFmtId="0" fontId="15" fillId="0" borderId="295" xfId="3" applyFont="1" applyBorder="1" applyAlignment="1">
      <alignment horizontal="center"/>
    </xf>
    <xf numFmtId="0" fontId="49" fillId="0" borderId="295" xfId="3" quotePrefix="1" applyNumberFormat="1" applyFont="1" applyBorder="1" applyAlignment="1">
      <alignment horizontal="center"/>
    </xf>
    <xf numFmtId="0" fontId="137" fillId="17" borderId="220" xfId="3" applyFont="1" applyFill="1" applyBorder="1" applyAlignment="1">
      <alignment horizontal="center"/>
    </xf>
    <xf numFmtId="0" fontId="100" fillId="0" borderId="295" xfId="3" applyFont="1" applyBorder="1" applyAlignment="1">
      <alignment horizontal="center"/>
    </xf>
    <xf numFmtId="0" fontId="15" fillId="0" borderId="295" xfId="3" quotePrefix="1" applyFont="1" applyBorder="1" applyAlignment="1">
      <alignment horizontal="center"/>
    </xf>
    <xf numFmtId="0" fontId="15" fillId="0" borderId="295" xfId="3" quotePrefix="1" applyFont="1" applyFill="1" applyBorder="1" applyAlignment="1">
      <alignment horizontal="center"/>
    </xf>
    <xf numFmtId="0" fontId="49" fillId="0" borderId="295" xfId="3" quotePrefix="1" applyNumberFormat="1" applyFont="1" applyFill="1" applyBorder="1" applyAlignment="1">
      <alignment horizontal="center"/>
    </xf>
    <xf numFmtId="0" fontId="15" fillId="0" borderId="295" xfId="3" applyFont="1" applyFill="1" applyBorder="1" applyAlignment="1">
      <alignment horizontal="center"/>
    </xf>
    <xf numFmtId="0" fontId="15" fillId="0" borderId="296" xfId="3" applyFont="1" applyFill="1" applyBorder="1" applyAlignment="1">
      <alignment horizontal="center"/>
    </xf>
    <xf numFmtId="0" fontId="49" fillId="0" borderId="296" xfId="3" quotePrefix="1" applyNumberFormat="1" applyFont="1" applyFill="1" applyBorder="1" applyAlignment="1">
      <alignment horizontal="center"/>
    </xf>
    <xf numFmtId="0" fontId="137" fillId="17" borderId="221" xfId="3" applyFont="1" applyFill="1" applyBorder="1" applyAlignment="1">
      <alignment horizontal="center"/>
    </xf>
    <xf numFmtId="0" fontId="3" fillId="5" borderId="0" xfId="3" quotePrefix="1" applyFont="1" applyFill="1" applyBorder="1" applyAlignment="1">
      <alignment horizontal="center"/>
    </xf>
    <xf numFmtId="183" fontId="49" fillId="5" borderId="0" xfId="3" quotePrefix="1" applyNumberFormat="1" applyFont="1" applyFill="1" applyBorder="1" applyAlignment="1">
      <alignment horizontal="center"/>
    </xf>
    <xf numFmtId="0" fontId="100" fillId="0" borderId="295" xfId="3" applyFont="1" applyFill="1" applyBorder="1" applyAlignment="1">
      <alignment horizontal="center"/>
    </xf>
    <xf numFmtId="0" fontId="48" fillId="15" borderId="293" xfId="3" applyFont="1" applyFill="1" applyBorder="1" applyAlignment="1">
      <alignment horizontal="center"/>
    </xf>
    <xf numFmtId="0" fontId="15" fillId="0" borderId="294" xfId="3" applyFont="1" applyFill="1" applyBorder="1" applyAlignment="1">
      <alignment horizontal="center"/>
    </xf>
    <xf numFmtId="0" fontId="49" fillId="0" borderId="294" xfId="3" quotePrefix="1" applyNumberFormat="1" applyFont="1" applyFill="1" applyBorder="1" applyAlignment="1">
      <alignment horizontal="center"/>
    </xf>
    <xf numFmtId="0" fontId="100" fillId="0" borderId="294" xfId="3" applyFont="1" applyFill="1" applyBorder="1" applyAlignment="1">
      <alignment horizontal="center"/>
    </xf>
    <xf numFmtId="0" fontId="227" fillId="2" borderId="297" xfId="3" applyFont="1" applyFill="1" applyBorder="1" applyAlignment="1">
      <alignment horizontal="center"/>
    </xf>
    <xf numFmtId="0" fontId="228" fillId="2" borderId="295" xfId="3" quotePrefix="1" applyNumberFormat="1" applyFont="1" applyFill="1" applyBorder="1" applyAlignment="1">
      <alignment horizontal="center"/>
    </xf>
    <xf numFmtId="0" fontId="15" fillId="5" borderId="295" xfId="3" applyFont="1" applyFill="1" applyBorder="1" applyAlignment="1">
      <alignment horizontal="center"/>
    </xf>
    <xf numFmtId="0" fontId="3" fillId="5" borderId="292" xfId="3" applyFont="1" applyFill="1" applyBorder="1" applyAlignment="1">
      <alignment horizontal="center"/>
    </xf>
    <xf numFmtId="0" fontId="15" fillId="0" borderId="137" xfId="3" applyFont="1" applyFill="1" applyBorder="1" applyAlignment="1">
      <alignment horizontal="center"/>
    </xf>
    <xf numFmtId="0" fontId="49" fillId="0" borderId="137" xfId="3" quotePrefix="1" applyNumberFormat="1" applyFont="1" applyFill="1" applyBorder="1" applyAlignment="1">
      <alignment horizontal="center"/>
    </xf>
    <xf numFmtId="183" fontId="49" fillId="0" borderId="296" xfId="3" quotePrefix="1" applyNumberFormat="1" applyFont="1" applyFill="1" applyBorder="1" applyAlignment="1">
      <alignment horizontal="center"/>
    </xf>
    <xf numFmtId="0" fontId="229" fillId="5" borderId="296" xfId="3" applyFont="1" applyFill="1" applyBorder="1" applyAlignment="1">
      <alignment horizontal="center"/>
    </xf>
    <xf numFmtId="0" fontId="49" fillId="5" borderId="296" xfId="3" quotePrefix="1" applyNumberFormat="1" applyFont="1" applyFill="1" applyBorder="1" applyAlignment="1">
      <alignment horizontal="center"/>
    </xf>
    <xf numFmtId="0" fontId="100" fillId="0" borderId="296" xfId="3" applyFont="1" applyFill="1" applyBorder="1" applyAlignment="1">
      <alignment horizontal="center"/>
    </xf>
    <xf numFmtId="0" fontId="137" fillId="17" borderId="196" xfId="3" applyFont="1" applyFill="1" applyBorder="1" applyAlignment="1">
      <alignment horizontal="center"/>
    </xf>
    <xf numFmtId="0" fontId="3" fillId="5" borderId="5" xfId="3" applyFont="1" applyFill="1" applyBorder="1" applyAlignment="1">
      <alignment horizontal="center"/>
    </xf>
    <xf numFmtId="0" fontId="2" fillId="5" borderId="0" xfId="3" applyFont="1" applyFill="1" applyBorder="1"/>
    <xf numFmtId="0" fontId="2" fillId="5" borderId="0" xfId="3" applyFont="1" applyFill="1"/>
    <xf numFmtId="0" fontId="7" fillId="2" borderId="0" xfId="3" applyFont="1" applyFill="1"/>
    <xf numFmtId="0" fontId="7" fillId="0" borderId="0" xfId="3" applyFont="1" applyFill="1"/>
    <xf numFmtId="0" fontId="7" fillId="2" borderId="0" xfId="3" applyFont="1" applyFill="1" applyBorder="1"/>
    <xf numFmtId="0" fontId="137" fillId="0" borderId="0" xfId="3" applyFont="1" applyFill="1" applyAlignment="1">
      <alignment horizontal="center"/>
    </xf>
    <xf numFmtId="0" fontId="324" fillId="17" borderId="254" xfId="0" applyFont="1" applyFill="1" applyBorder="1" applyAlignment="1" applyProtection="1">
      <alignment horizontal="center"/>
    </xf>
    <xf numFmtId="168" fontId="70" fillId="49" borderId="148" xfId="0" applyNumberFormat="1" applyFont="1" applyFill="1" applyBorder="1" applyProtection="1"/>
    <xf numFmtId="168" fontId="3" fillId="17" borderId="125" xfId="0" applyNumberFormat="1" applyFont="1" applyFill="1" applyBorder="1" applyProtection="1"/>
    <xf numFmtId="168" fontId="3" fillId="17" borderId="282" xfId="0" applyNumberFormat="1" applyFont="1" applyFill="1" applyBorder="1" applyProtection="1"/>
    <xf numFmtId="168" fontId="70" fillId="5" borderId="163" xfId="9" applyNumberFormat="1" applyFont="1" applyFill="1" applyBorder="1" applyAlignment="1" applyProtection="1"/>
    <xf numFmtId="0" fontId="8" fillId="32" borderId="0" xfId="8" applyFont="1" applyFill="1" applyProtection="1"/>
    <xf numFmtId="38" fontId="3" fillId="32" borderId="0" xfId="9" applyNumberFormat="1" applyFont="1" applyFill="1" applyProtection="1"/>
    <xf numFmtId="0" fontId="7" fillId="32" borderId="0" xfId="8" applyFont="1" applyFill="1" applyProtection="1"/>
    <xf numFmtId="164" fontId="3" fillId="32" borderId="0" xfId="9" applyNumberFormat="1" applyFont="1" applyFill="1" applyAlignment="1" applyProtection="1"/>
    <xf numFmtId="164" fontId="3" fillId="32" borderId="0" xfId="9" applyNumberFormat="1" applyFont="1" applyFill="1" applyProtection="1"/>
    <xf numFmtId="0" fontId="15" fillId="32" borderId="0" xfId="8" applyFont="1" applyFill="1" applyProtection="1"/>
    <xf numFmtId="166" fontId="30" fillId="32" borderId="0" xfId="9" applyNumberFormat="1" applyFont="1" applyFill="1" applyProtection="1"/>
    <xf numFmtId="38" fontId="3" fillId="36" borderId="87" xfId="9" applyNumberFormat="1" applyFont="1" applyFill="1" applyBorder="1" applyAlignment="1" applyProtection="1"/>
    <xf numFmtId="167" fontId="3" fillId="36" borderId="88" xfId="9" applyNumberFormat="1" applyFont="1" applyFill="1" applyBorder="1" applyAlignment="1" applyProtection="1">
      <alignment horizontal="center"/>
    </xf>
    <xf numFmtId="168" fontId="70" fillId="36" borderId="92" xfId="9" applyNumberFormat="1" applyFont="1" applyFill="1" applyBorder="1" applyAlignment="1" applyProtection="1">
      <alignment horizontal="right"/>
    </xf>
    <xf numFmtId="168" fontId="73" fillId="36" borderId="95" xfId="9" applyNumberFormat="1" applyFont="1" applyFill="1" applyBorder="1" applyAlignment="1" applyProtection="1">
      <alignment horizontal="right"/>
    </xf>
    <xf numFmtId="164" fontId="70" fillId="36" borderId="92" xfId="9" applyNumberFormat="1" applyFont="1" applyFill="1" applyBorder="1" applyAlignment="1" applyProtection="1">
      <alignment horizontal="right"/>
    </xf>
    <xf numFmtId="164" fontId="73" fillId="36" borderId="95" xfId="9" applyNumberFormat="1" applyFont="1" applyFill="1" applyBorder="1" applyAlignment="1" applyProtection="1">
      <alignment horizontal="right"/>
    </xf>
    <xf numFmtId="38" fontId="233" fillId="36" borderId="87" xfId="9" applyNumberFormat="1" applyFont="1" applyFill="1" applyBorder="1" applyAlignment="1" applyProtection="1"/>
    <xf numFmtId="184" fontId="325" fillId="17" borderId="171" xfId="8" applyNumberFormat="1" applyFont="1" applyFill="1" applyBorder="1" applyAlignment="1" applyProtection="1">
      <alignment horizontal="left"/>
    </xf>
    <xf numFmtId="185" fontId="326" fillId="42" borderId="341" xfId="0" applyNumberFormat="1" applyFont="1" applyFill="1" applyBorder="1" applyAlignment="1" applyProtection="1">
      <alignment horizontal="left"/>
    </xf>
    <xf numFmtId="0" fontId="70" fillId="2" borderId="0" xfId="8" applyFont="1" applyFill="1" applyAlignment="1" applyProtection="1">
      <alignment horizontal="right"/>
    </xf>
    <xf numFmtId="168" fontId="2" fillId="0" borderId="196" xfId="9" applyNumberFormat="1" applyFont="1" applyBorder="1" applyAlignment="1" applyProtection="1">
      <alignment horizontal="center"/>
    </xf>
    <xf numFmtId="168" fontId="73" fillId="0" borderId="196" xfId="9" applyNumberFormat="1" applyFont="1" applyBorder="1" applyAlignment="1" applyProtection="1">
      <alignment horizontal="center"/>
    </xf>
    <xf numFmtId="0" fontId="7" fillId="2" borderId="173" xfId="8" applyFont="1" applyFill="1" applyBorder="1" applyProtection="1"/>
    <xf numFmtId="0" fontId="7" fillId="2" borderId="196" xfId="8" applyFont="1" applyFill="1" applyBorder="1" applyProtection="1"/>
    <xf numFmtId="0" fontId="7" fillId="2" borderId="196" xfId="5" applyFont="1" applyFill="1" applyBorder="1" applyProtection="1"/>
    <xf numFmtId="0" fontId="70" fillId="32" borderId="0" xfId="8" applyFont="1" applyFill="1" applyAlignment="1" applyProtection="1">
      <alignment horizontal="right"/>
    </xf>
    <xf numFmtId="186" fontId="296" fillId="17" borderId="171" xfId="8" applyNumberFormat="1" applyFont="1" applyFill="1" applyBorder="1" applyAlignment="1" applyProtection="1">
      <alignment horizontal="left"/>
    </xf>
    <xf numFmtId="184" fontId="296" fillId="17" borderId="175" xfId="8" applyNumberFormat="1" applyFont="1" applyFill="1" applyBorder="1" applyAlignment="1" applyProtection="1">
      <alignment horizontal="center"/>
    </xf>
    <xf numFmtId="184" fontId="296" fillId="17" borderId="171" xfId="8" applyNumberFormat="1" applyFont="1" applyFill="1" applyBorder="1" applyAlignment="1" applyProtection="1">
      <alignment horizontal="left"/>
    </xf>
    <xf numFmtId="186" fontId="326" fillId="42" borderId="341" xfId="0" applyNumberFormat="1" applyFont="1" applyFill="1" applyBorder="1" applyAlignment="1" applyProtection="1">
      <alignment horizontal="left"/>
    </xf>
    <xf numFmtId="0" fontId="175" fillId="42" borderId="340" xfId="0" applyFont="1" applyFill="1" applyBorder="1" applyAlignment="1" applyProtection="1">
      <alignment horizontal="left" vertical="center"/>
    </xf>
    <xf numFmtId="187" fontId="326" fillId="42" borderId="343" xfId="0" applyNumberFormat="1" applyFont="1" applyFill="1" applyBorder="1" applyAlignment="1" applyProtection="1">
      <alignment horizontal="left" vertical="center"/>
    </xf>
    <xf numFmtId="0" fontId="317" fillId="42" borderId="0" xfId="0" applyFont="1" applyFill="1" applyBorder="1" applyAlignment="1" applyProtection="1">
      <alignment horizontal="center"/>
    </xf>
    <xf numFmtId="0" fontId="317" fillId="42" borderId="350" xfId="0" applyFont="1" applyFill="1" applyBorder="1" applyProtection="1"/>
    <xf numFmtId="38" fontId="327" fillId="21" borderId="162" xfId="9" applyNumberFormat="1" applyFont="1" applyFill="1" applyBorder="1" applyAlignment="1" applyProtection="1">
      <alignment horizontal="center" vertical="center"/>
    </xf>
    <xf numFmtId="38" fontId="328" fillId="45" borderId="162" xfId="9" applyNumberFormat="1" applyFont="1" applyFill="1" applyBorder="1" applyAlignment="1" applyProtection="1">
      <alignment horizontal="center" vertical="center"/>
    </xf>
    <xf numFmtId="38" fontId="329" fillId="16" borderId="162" xfId="9" applyNumberFormat="1" applyFont="1" applyFill="1" applyBorder="1" applyAlignment="1" applyProtection="1">
      <alignment horizontal="center" vertical="center"/>
    </xf>
    <xf numFmtId="38" fontId="330" fillId="16" borderId="162" xfId="9" applyNumberFormat="1" applyFont="1" applyFill="1" applyBorder="1" applyAlignment="1" applyProtection="1">
      <alignment horizontal="center" vertical="center"/>
    </xf>
    <xf numFmtId="0" fontId="77" fillId="2" borderId="0" xfId="0" applyFont="1" applyFill="1" applyBorder="1" applyAlignment="1">
      <alignment vertical="center"/>
    </xf>
    <xf numFmtId="0" fontId="237" fillId="2" borderId="0" xfId="0" applyFont="1" applyFill="1" applyBorder="1" applyAlignment="1">
      <alignment horizontal="left" vertical="center"/>
    </xf>
    <xf numFmtId="0" fontId="77" fillId="2" borderId="0" xfId="0" applyFont="1" applyFill="1" applyBorder="1" applyAlignment="1" applyProtection="1">
      <alignment vertical="center"/>
    </xf>
    <xf numFmtId="0" fontId="237" fillId="2" borderId="0" xfId="0" applyFont="1" applyFill="1" applyBorder="1" applyAlignment="1" applyProtection="1">
      <alignment horizontal="left" vertical="center"/>
    </xf>
    <xf numFmtId="0" fontId="147" fillId="16" borderId="169" xfId="0" applyFont="1" applyFill="1" applyBorder="1" applyProtection="1"/>
    <xf numFmtId="0" fontId="0" fillId="16" borderId="170" xfId="0" applyFill="1" applyBorder="1" applyProtection="1"/>
    <xf numFmtId="0" fontId="0" fillId="16" borderId="171" xfId="0" applyFill="1" applyBorder="1" applyProtection="1"/>
    <xf numFmtId="0" fontId="147" fillId="16" borderId="172" xfId="0" applyFont="1" applyFill="1" applyBorder="1" applyProtection="1"/>
    <xf numFmtId="0" fontId="0" fillId="16" borderId="0" xfId="0" applyFill="1" applyBorder="1" applyProtection="1"/>
    <xf numFmtId="0" fontId="0" fillId="16" borderId="173" xfId="0" applyFill="1" applyBorder="1" applyProtection="1"/>
    <xf numFmtId="0" fontId="331" fillId="16" borderId="0" xfId="0" applyFont="1" applyFill="1" applyBorder="1" applyProtection="1"/>
    <xf numFmtId="0" fontId="147" fillId="16" borderId="0" xfId="0" applyFont="1" applyFill="1" applyBorder="1" applyProtection="1"/>
    <xf numFmtId="0" fontId="147" fillId="16" borderId="174" xfId="0" applyFont="1" applyFill="1" applyBorder="1" applyProtection="1"/>
    <xf numFmtId="0" fontId="332" fillId="16" borderId="11" xfId="0" applyFont="1" applyFill="1" applyBorder="1" applyProtection="1"/>
    <xf numFmtId="0" fontId="147" fillId="16" borderId="11" xfId="0" applyFont="1" applyFill="1" applyBorder="1" applyProtection="1"/>
    <xf numFmtId="0" fontId="0" fillId="16" borderId="11" xfId="0" applyFill="1" applyBorder="1" applyProtection="1"/>
    <xf numFmtId="0" fontId="0" fillId="16" borderId="175" xfId="0" applyFill="1" applyBorder="1" applyProtection="1"/>
    <xf numFmtId="186" fontId="296" fillId="17" borderId="171" xfId="8" quotePrefix="1" applyNumberFormat="1" applyFont="1" applyFill="1" applyBorder="1" applyAlignment="1" applyProtection="1">
      <alignment horizontal="left"/>
    </xf>
    <xf numFmtId="184" fontId="296" fillId="17" borderId="175" xfId="8" quotePrefix="1" applyNumberFormat="1" applyFont="1" applyFill="1" applyBorder="1" applyAlignment="1" applyProtection="1">
      <alignment horizontal="center"/>
    </xf>
    <xf numFmtId="168" fontId="2" fillId="17" borderId="196" xfId="9" applyNumberFormat="1" applyFont="1" applyFill="1" applyBorder="1" applyAlignment="1" applyProtection="1"/>
    <xf numFmtId="168" fontId="73" fillId="17" borderId="196" xfId="9" applyNumberFormat="1" applyFont="1" applyFill="1" applyBorder="1" applyAlignment="1" applyProtection="1"/>
    <xf numFmtId="165" fontId="8" fillId="5" borderId="196" xfId="5" applyNumberFormat="1" applyFont="1" applyFill="1" applyBorder="1" applyAlignment="1" applyProtection="1">
      <alignment horizontal="center" vertical="center"/>
    </xf>
    <xf numFmtId="168" fontId="73" fillId="0" borderId="196" xfId="9" applyNumberFormat="1" applyFont="1" applyBorder="1" applyAlignment="1" applyProtection="1"/>
    <xf numFmtId="168" fontId="2" fillId="32" borderId="221" xfId="9" applyNumberFormat="1" applyFont="1" applyFill="1" applyBorder="1" applyAlignment="1" applyProtection="1"/>
    <xf numFmtId="168" fontId="73" fillId="32" borderId="221" xfId="9" applyNumberFormat="1" applyFont="1" applyFill="1" applyBorder="1" applyAlignment="1" applyProtection="1"/>
    <xf numFmtId="168" fontId="73" fillId="17" borderId="166" xfId="9" applyNumberFormat="1" applyFont="1" applyFill="1" applyBorder="1" applyAlignment="1" applyProtection="1">
      <alignment horizontal="right"/>
    </xf>
    <xf numFmtId="168" fontId="70" fillId="17" borderId="164" xfId="9" applyNumberFormat="1" applyFont="1" applyFill="1" applyBorder="1" applyAlignment="1" applyProtection="1">
      <alignment horizontal="right"/>
    </xf>
    <xf numFmtId="168" fontId="70" fillId="17" borderId="165" xfId="9" applyNumberFormat="1" applyFont="1" applyFill="1" applyBorder="1" applyAlignment="1" applyProtection="1">
      <alignment horizontal="right"/>
    </xf>
    <xf numFmtId="168" fontId="73" fillId="17" borderId="167" xfId="9" applyNumberFormat="1" applyFont="1" applyFill="1" applyBorder="1" applyAlignment="1" applyProtection="1">
      <alignment horizontal="right"/>
    </xf>
    <xf numFmtId="164" fontId="73" fillId="0" borderId="196" xfId="9" applyNumberFormat="1" applyFont="1" applyBorder="1" applyAlignment="1" applyProtection="1"/>
    <xf numFmtId="0" fontId="333" fillId="21" borderId="342" xfId="0" applyFont="1" applyFill="1" applyBorder="1" applyProtection="1"/>
    <xf numFmtId="0" fontId="333" fillId="21" borderId="345" xfId="0" applyFont="1" applyFill="1" applyBorder="1" applyProtection="1"/>
    <xf numFmtId="0" fontId="306" fillId="21" borderId="345" xfId="0" applyFont="1" applyFill="1" applyBorder="1" applyProtection="1"/>
    <xf numFmtId="0" fontId="334" fillId="21" borderId="343" xfId="0" applyFont="1" applyFill="1" applyBorder="1" applyProtection="1"/>
    <xf numFmtId="0" fontId="335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8" xfId="0" applyNumberFormat="1" applyFont="1" applyFill="1" applyBorder="1" applyProtection="1"/>
    <xf numFmtId="0" fontId="137" fillId="2" borderId="0" xfId="0" applyFont="1" applyFill="1" applyProtection="1"/>
    <xf numFmtId="179" fontId="206" fillId="3" borderId="298" xfId="0" applyNumberFormat="1" applyFont="1" applyFill="1" applyBorder="1" applyAlignment="1" applyProtection="1">
      <alignment horizontal="center"/>
    </xf>
    <xf numFmtId="4" fontId="239" fillId="3" borderId="298" xfId="0" applyNumberFormat="1" applyFont="1" applyFill="1" applyBorder="1" applyAlignment="1" applyProtection="1">
      <alignment horizontal="center"/>
    </xf>
    <xf numFmtId="4" fontId="239" fillId="11" borderId="298" xfId="0" applyNumberFormat="1" applyFont="1" applyFill="1" applyBorder="1" applyAlignment="1" applyProtection="1">
      <alignment horizontal="center"/>
    </xf>
    <xf numFmtId="4" fontId="239" fillId="7" borderId="298" xfId="0" applyNumberFormat="1" applyFont="1" applyFill="1" applyBorder="1" applyAlignment="1" applyProtection="1">
      <alignment horizontal="center"/>
    </xf>
    <xf numFmtId="4" fontId="167" fillId="5" borderId="192" xfId="0" applyNumberFormat="1" applyFont="1" applyFill="1" applyBorder="1" applyAlignment="1" applyProtection="1">
      <alignment horizontal="center"/>
    </xf>
    <xf numFmtId="179" fontId="73" fillId="5" borderId="192" xfId="0" applyNumberFormat="1" applyFont="1" applyFill="1" applyBorder="1" applyAlignment="1" applyProtection="1">
      <alignment horizontal="center"/>
    </xf>
    <xf numFmtId="179" fontId="206" fillId="7" borderId="298" xfId="0" applyNumberFormat="1" applyFont="1" applyFill="1" applyBorder="1" applyAlignment="1" applyProtection="1">
      <alignment horizontal="center"/>
    </xf>
    <xf numFmtId="179" fontId="206" fillId="11" borderId="298" xfId="0" applyNumberFormat="1" applyFont="1" applyFill="1" applyBorder="1" applyAlignment="1" applyProtection="1">
      <alignment horizontal="center"/>
    </xf>
    <xf numFmtId="4" fontId="206" fillId="3" borderId="298" xfId="0" applyNumberFormat="1" applyFont="1" applyFill="1" applyBorder="1" applyAlignment="1" applyProtection="1">
      <alignment horizontal="center"/>
    </xf>
    <xf numFmtId="171" fontId="206" fillId="11" borderId="298" xfId="0" applyNumberFormat="1" applyFont="1" applyFill="1" applyBorder="1" applyAlignment="1" applyProtection="1">
      <alignment horizontal="center"/>
    </xf>
    <xf numFmtId="171" fontId="206" fillId="7" borderId="298" xfId="0" applyNumberFormat="1" applyFont="1" applyFill="1" applyBorder="1" applyAlignment="1" applyProtection="1">
      <alignment horizontal="center"/>
    </xf>
    <xf numFmtId="171" fontId="73" fillId="5" borderId="192" xfId="0" applyNumberFormat="1" applyFont="1" applyFill="1" applyBorder="1" applyAlignment="1" applyProtection="1">
      <alignment horizontal="center"/>
    </xf>
    <xf numFmtId="4" fontId="206" fillId="3" borderId="299" xfId="0" applyNumberFormat="1" applyFont="1" applyFill="1" applyBorder="1" applyAlignment="1" applyProtection="1">
      <alignment horizontal="center"/>
    </xf>
    <xf numFmtId="4" fontId="206" fillId="3" borderId="300" xfId="0" applyNumberFormat="1" applyFont="1" applyFill="1" applyBorder="1" applyAlignment="1" applyProtection="1">
      <alignment horizontal="center"/>
    </xf>
    <xf numFmtId="4" fontId="206" fillId="11" borderId="299" xfId="0" applyNumberFormat="1" applyFont="1" applyFill="1" applyBorder="1" applyAlignment="1" applyProtection="1">
      <alignment horizontal="center"/>
    </xf>
    <xf numFmtId="4" fontId="206" fillId="11" borderId="300" xfId="0" applyNumberFormat="1" applyFont="1" applyFill="1" applyBorder="1" applyAlignment="1" applyProtection="1">
      <alignment horizontal="center"/>
    </xf>
    <xf numFmtId="4" fontId="206" fillId="7" borderId="299" xfId="0" applyNumberFormat="1" applyFont="1" applyFill="1" applyBorder="1" applyAlignment="1" applyProtection="1">
      <alignment horizontal="center"/>
    </xf>
    <xf numFmtId="4" fontId="206" fillId="7" borderId="300" xfId="0" applyNumberFormat="1" applyFont="1" applyFill="1" applyBorder="1" applyAlignment="1" applyProtection="1">
      <alignment horizontal="center"/>
    </xf>
    <xf numFmtId="4" fontId="73" fillId="5" borderId="158" xfId="0" applyNumberFormat="1" applyFont="1" applyFill="1" applyBorder="1" applyAlignment="1" applyProtection="1">
      <alignment horizontal="center"/>
    </xf>
    <xf numFmtId="4" fontId="73" fillId="5" borderId="301" xfId="0" applyNumberFormat="1" applyFont="1" applyFill="1" applyBorder="1" applyAlignment="1" applyProtection="1">
      <alignment horizontal="center"/>
    </xf>
    <xf numFmtId="4" fontId="206" fillId="17" borderId="158" xfId="0" applyNumberFormat="1" applyFont="1" applyFill="1" applyBorder="1" applyAlignment="1" applyProtection="1">
      <alignment horizontal="center"/>
    </xf>
    <xf numFmtId="4" fontId="206" fillId="17" borderId="301" xfId="0" applyNumberFormat="1" applyFont="1" applyFill="1" applyBorder="1" applyAlignment="1" applyProtection="1">
      <alignment horizontal="center"/>
    </xf>
    <xf numFmtId="3" fontId="206" fillId="3" borderId="299" xfId="0" applyNumberFormat="1" applyFont="1" applyFill="1" applyBorder="1" applyAlignment="1" applyProtection="1">
      <alignment horizontal="center"/>
    </xf>
    <xf numFmtId="3" fontId="206" fillId="3" borderId="300" xfId="0" applyNumberFormat="1" applyFont="1" applyFill="1" applyBorder="1" applyAlignment="1" applyProtection="1">
      <alignment horizontal="center"/>
    </xf>
    <xf numFmtId="3" fontId="206" fillId="11" borderId="299" xfId="0" applyNumberFormat="1" applyFont="1" applyFill="1" applyBorder="1" applyAlignment="1" applyProtection="1">
      <alignment horizontal="center"/>
    </xf>
    <xf numFmtId="3" fontId="206" fillId="11" borderId="300" xfId="0" applyNumberFormat="1" applyFont="1" applyFill="1" applyBorder="1" applyAlignment="1" applyProtection="1">
      <alignment horizontal="center"/>
    </xf>
    <xf numFmtId="3" fontId="206" fillId="7" borderId="299" xfId="0" applyNumberFormat="1" applyFont="1" applyFill="1" applyBorder="1" applyAlignment="1" applyProtection="1">
      <alignment horizontal="center"/>
    </xf>
    <xf numFmtId="3" fontId="206" fillId="7" borderId="300" xfId="0" applyNumberFormat="1" applyFont="1" applyFill="1" applyBorder="1" applyAlignment="1" applyProtection="1">
      <alignment horizontal="center"/>
    </xf>
    <xf numFmtId="3" fontId="206" fillId="17" borderId="158" xfId="0" applyNumberFormat="1" applyFont="1" applyFill="1" applyBorder="1" applyAlignment="1" applyProtection="1">
      <alignment horizontal="center"/>
    </xf>
    <xf numFmtId="3" fontId="206" fillId="17" borderId="301" xfId="0" applyNumberFormat="1" applyFont="1" applyFill="1" applyBorder="1" applyAlignment="1" applyProtection="1">
      <alignment horizontal="center"/>
    </xf>
    <xf numFmtId="167" fontId="3" fillId="16" borderId="65" xfId="9" applyNumberFormat="1" applyFont="1" applyFill="1" applyBorder="1" applyAlignment="1" applyProtection="1">
      <alignment horizontal="center"/>
    </xf>
    <xf numFmtId="167" fontId="3" fillId="16" borderId="130" xfId="9" applyNumberFormat="1" applyFont="1" applyFill="1" applyBorder="1" applyAlignment="1" applyProtection="1">
      <alignment horizontal="center"/>
    </xf>
    <xf numFmtId="167" fontId="2" fillId="16" borderId="88" xfId="9" applyNumberFormat="1" applyFont="1" applyFill="1" applyBorder="1" applyAlignment="1" applyProtection="1">
      <alignment horizontal="center"/>
    </xf>
    <xf numFmtId="167" fontId="3" fillId="23" borderId="65" xfId="9" applyNumberFormat="1" applyFont="1" applyFill="1" applyBorder="1" applyAlignment="1" applyProtection="1">
      <alignment horizontal="center" vertical="center"/>
    </xf>
    <xf numFmtId="167" fontId="3" fillId="16" borderId="64" xfId="9" applyNumberFormat="1" applyFont="1" applyFill="1" applyBorder="1" applyAlignment="1" applyProtection="1">
      <alignment horizontal="center"/>
    </xf>
    <xf numFmtId="167" fontId="3" fillId="16" borderId="302" xfId="9" applyNumberFormat="1" applyFont="1" applyFill="1" applyBorder="1" applyAlignment="1" applyProtection="1">
      <alignment horizontal="center"/>
    </xf>
    <xf numFmtId="167" fontId="3" fillId="16" borderId="278" xfId="9" applyNumberFormat="1" applyFont="1" applyFill="1" applyBorder="1" applyAlignment="1" applyProtection="1">
      <alignment horizontal="center"/>
    </xf>
    <xf numFmtId="167" fontId="3" fillId="23" borderId="302" xfId="9" applyNumberFormat="1" applyFont="1" applyFill="1" applyBorder="1" applyAlignment="1" applyProtection="1">
      <alignment horizontal="center" vertical="center"/>
    </xf>
    <xf numFmtId="0" fontId="160" fillId="21" borderId="303" xfId="5" applyFont="1" applyFill="1" applyBorder="1" applyProtection="1"/>
    <xf numFmtId="167" fontId="3" fillId="23" borderId="64" xfId="9" applyNumberFormat="1" applyFont="1" applyFill="1" applyBorder="1" applyAlignment="1" applyProtection="1">
      <alignment horizontal="center" vertical="center"/>
    </xf>
    <xf numFmtId="166" fontId="12" fillId="45" borderId="303" xfId="9" applyNumberFormat="1" applyFont="1" applyFill="1" applyBorder="1" applyAlignment="1" applyProtection="1">
      <alignment horizontal="center" vertical="center"/>
    </xf>
    <xf numFmtId="0" fontId="7" fillId="32" borderId="0" xfId="5" applyFont="1" applyFill="1" applyProtection="1"/>
    <xf numFmtId="0" fontId="160" fillId="16" borderId="93" xfId="5" applyFont="1" applyFill="1" applyBorder="1" applyProtection="1"/>
    <xf numFmtId="0" fontId="233" fillId="17" borderId="280" xfId="5" applyFont="1" applyFill="1" applyBorder="1" applyAlignment="1" applyProtection="1">
      <alignment horizontal="right"/>
    </xf>
    <xf numFmtId="167" fontId="233" fillId="0" borderId="281" xfId="9" applyNumberFormat="1" applyFont="1" applyBorder="1" applyAlignment="1" applyProtection="1">
      <alignment horizontal="center" vertical="center"/>
      <protection locked="0"/>
    </xf>
    <xf numFmtId="0" fontId="233" fillId="17" borderId="304" xfId="5" applyFont="1" applyFill="1" applyBorder="1" applyAlignment="1" applyProtection="1">
      <alignment horizontal="right"/>
    </xf>
    <xf numFmtId="0" fontId="160" fillId="45" borderId="148" xfId="5" applyFont="1" applyFill="1" applyBorder="1" applyAlignment="1" applyProtection="1">
      <alignment horizontal="right"/>
    </xf>
    <xf numFmtId="0" fontId="160" fillId="45" borderId="93" xfId="5" applyFont="1" applyFill="1" applyBorder="1" applyProtection="1"/>
    <xf numFmtId="0" fontId="233" fillId="17" borderId="280" xfId="5" applyFont="1" applyFill="1" applyBorder="1" applyAlignment="1" applyProtection="1">
      <alignment horizontal="left"/>
    </xf>
    <xf numFmtId="0" fontId="233" fillId="17" borderId="304" xfId="5" applyFont="1" applyFill="1" applyBorder="1" applyAlignment="1" applyProtection="1">
      <alignment horizontal="left"/>
    </xf>
    <xf numFmtId="0" fontId="160" fillId="16" borderId="148" xfId="5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6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6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6" fillId="18" borderId="7" xfId="0" applyNumberFormat="1" applyFont="1" applyFill="1" applyBorder="1" applyAlignment="1" applyProtection="1">
      <alignment horizontal="center"/>
    </xf>
    <xf numFmtId="0" fontId="160" fillId="2" borderId="0" xfId="5" applyFont="1" applyFill="1" applyAlignment="1" applyProtection="1">
      <alignment horizontal="center"/>
    </xf>
    <xf numFmtId="0" fontId="167" fillId="2" borderId="0" xfId="5" applyFont="1" applyFill="1" applyAlignment="1" applyProtection="1">
      <alignment horizontal="center"/>
    </xf>
    <xf numFmtId="0" fontId="169" fillId="8" borderId="0" xfId="8" applyFont="1" applyFill="1" applyProtection="1"/>
    <xf numFmtId="0" fontId="7" fillId="5" borderId="0" xfId="5" applyFont="1" applyFill="1" applyBorder="1" applyProtection="1"/>
    <xf numFmtId="0" fontId="2" fillId="29" borderId="0" xfId="8" applyFont="1" applyFill="1" applyProtection="1"/>
    <xf numFmtId="0" fontId="70" fillId="29" borderId="0" xfId="8" applyFont="1" applyFill="1" applyProtection="1"/>
    <xf numFmtId="0" fontId="2" fillId="17" borderId="0" xfId="8" applyFont="1" applyFill="1" applyProtection="1"/>
    <xf numFmtId="0" fontId="2" fillId="5" borderId="0" xfId="5" applyFont="1" applyFill="1" applyProtection="1"/>
    <xf numFmtId="0" fontId="2" fillId="17" borderId="0" xfId="5" applyFont="1" applyFill="1" applyProtection="1"/>
    <xf numFmtId="0" fontId="160" fillId="16" borderId="351" xfId="5" applyFont="1" applyFill="1" applyBorder="1" applyProtection="1"/>
    <xf numFmtId="167" fontId="233" fillId="0" borderId="352" xfId="9" applyNumberFormat="1" applyFont="1" applyBorder="1" applyAlignment="1" applyProtection="1">
      <alignment horizontal="center" vertical="center"/>
      <protection locked="0"/>
    </xf>
    <xf numFmtId="167" fontId="233" fillId="0" borderId="353" xfId="9" applyNumberFormat="1" applyFont="1" applyBorder="1" applyAlignment="1" applyProtection="1">
      <alignment horizontal="center" vertical="center"/>
      <protection locked="0"/>
    </xf>
    <xf numFmtId="167" fontId="233" fillId="0" borderId="163" xfId="9" applyNumberFormat="1" applyFont="1" applyBorder="1" applyAlignment="1" applyProtection="1">
      <alignment horizontal="center" vertical="center"/>
      <protection locked="0"/>
    </xf>
    <xf numFmtId="0" fontId="160" fillId="17" borderId="269" xfId="5" applyFont="1" applyFill="1" applyBorder="1" applyAlignment="1" applyProtection="1">
      <alignment horizontal="center"/>
    </xf>
    <xf numFmtId="0" fontId="137" fillId="32" borderId="0" xfId="0" applyFont="1" applyFill="1" applyProtection="1"/>
    <xf numFmtId="0" fontId="312" fillId="32" borderId="0" xfId="0" applyFont="1" applyFill="1" applyProtection="1"/>
    <xf numFmtId="168" fontId="312" fillId="32" borderId="0" xfId="0" applyNumberFormat="1" applyFont="1" applyFill="1" applyAlignment="1" applyProtection="1">
      <alignment horizontal="right"/>
    </xf>
    <xf numFmtId="0" fontId="185" fillId="32" borderId="0" xfId="0" applyFont="1" applyFill="1" applyProtection="1"/>
    <xf numFmtId="0" fontId="185" fillId="32" borderId="0" xfId="0" applyFont="1" applyFill="1" applyAlignment="1" applyProtection="1">
      <alignment horizontal="right"/>
    </xf>
    <xf numFmtId="0" fontId="160" fillId="17" borderId="305" xfId="5" applyFont="1" applyFill="1" applyBorder="1" applyAlignment="1" applyProtection="1">
      <alignment horizontal="center"/>
    </xf>
    <xf numFmtId="0" fontId="7" fillId="17" borderId="305" xfId="5" applyFont="1" applyFill="1" applyBorder="1" applyAlignment="1" applyProtection="1">
      <alignment horizontal="center"/>
    </xf>
    <xf numFmtId="215" fontId="296" fillId="29" borderId="48" xfId="8" applyNumberFormat="1" applyFont="1" applyFill="1" applyBorder="1" applyAlignment="1" applyProtection="1">
      <alignment horizontal="center"/>
    </xf>
    <xf numFmtId="215" fontId="76" fillId="17" borderId="48" xfId="8" applyNumberFormat="1" applyFont="1" applyFill="1" applyBorder="1" applyAlignment="1" applyProtection="1">
      <alignment horizontal="center"/>
    </xf>
    <xf numFmtId="215" fontId="296" fillId="8" borderId="48" xfId="8" applyNumberFormat="1" applyFont="1" applyFill="1" applyBorder="1" applyAlignment="1" applyProtection="1">
      <alignment horizontal="center"/>
    </xf>
    <xf numFmtId="164" fontId="8" fillId="45" borderId="96" xfId="9" applyNumberFormat="1" applyFont="1" applyFill="1" applyBorder="1" applyAlignment="1" applyProtection="1">
      <alignment horizontal="right"/>
    </xf>
    <xf numFmtId="164" fontId="15" fillId="45" borderId="99" xfId="9" applyNumberFormat="1" applyFont="1" applyFill="1" applyBorder="1" applyAlignment="1" applyProtection="1">
      <alignment horizontal="right"/>
    </xf>
    <xf numFmtId="164" fontId="8" fillId="21" borderId="96" xfId="9" applyNumberFormat="1" applyFont="1" applyFill="1" applyBorder="1" applyAlignment="1" applyProtection="1"/>
    <xf numFmtId="164" fontId="15" fillId="21" borderId="99" xfId="9" applyNumberFormat="1" applyFont="1" applyFill="1" applyBorder="1" applyAlignment="1" applyProtection="1"/>
    <xf numFmtId="0" fontId="2" fillId="8" borderId="0" xfId="8" applyFont="1" applyFill="1" applyAlignment="1" applyProtection="1">
      <alignment horizontal="right"/>
    </xf>
    <xf numFmtId="0" fontId="2" fillId="17" borderId="0" xfId="8" applyFont="1" applyFill="1" applyAlignment="1" applyProtection="1">
      <alignment horizontal="right"/>
    </xf>
    <xf numFmtId="0" fontId="294" fillId="2" borderId="0" xfId="5" applyFont="1" applyFill="1" applyAlignment="1" applyProtection="1">
      <alignment horizontal="center"/>
    </xf>
    <xf numFmtId="0" fontId="160" fillId="21" borderId="303" xfId="5" applyFont="1" applyFill="1" applyBorder="1" applyAlignment="1" applyProtection="1">
      <alignment horizontal="center"/>
    </xf>
    <xf numFmtId="167" fontId="3" fillId="0" borderId="302" xfId="9" applyNumberFormat="1" applyFont="1" applyBorder="1" applyAlignment="1" applyProtection="1">
      <alignment horizontal="center"/>
    </xf>
    <xf numFmtId="167" fontId="3" fillId="0" borderId="278" xfId="9" applyNumberFormat="1" applyFont="1" applyBorder="1" applyAlignment="1" applyProtection="1">
      <alignment horizontal="center"/>
    </xf>
    <xf numFmtId="0" fontId="160" fillId="51" borderId="148" xfId="5" applyFont="1" applyFill="1" applyBorder="1" applyAlignment="1" applyProtection="1">
      <alignment horizontal="left"/>
    </xf>
    <xf numFmtId="0" fontId="160" fillId="51" borderId="351" xfId="5" applyFont="1" applyFill="1" applyBorder="1" applyProtection="1"/>
    <xf numFmtId="164" fontId="2" fillId="17" borderId="354" xfId="0" applyNumberFormat="1" applyFont="1" applyFill="1" applyBorder="1" applyAlignment="1" applyProtection="1">
      <alignment horizontal="center"/>
      <protection locked="0"/>
    </xf>
    <xf numFmtId="164" fontId="3" fillId="17" borderId="306" xfId="0" applyNumberFormat="1" applyFont="1" applyFill="1" applyBorder="1" applyAlignment="1" applyProtection="1">
      <alignment horizontal="center"/>
      <protection locked="0"/>
    </xf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7" xfId="0" applyNumberFormat="1" applyFont="1" applyFill="1" applyBorder="1" applyAlignment="1" applyProtection="1">
      <alignment horizontal="center"/>
      <protection locked="0"/>
    </xf>
    <xf numFmtId="164" fontId="2" fillId="16" borderId="356" xfId="0" applyNumberFormat="1" applyFont="1" applyFill="1" applyBorder="1" applyAlignment="1" applyProtection="1">
      <alignment horizontal="center"/>
    </xf>
    <xf numFmtId="164" fontId="3" fillId="16" borderId="269" xfId="0" applyNumberFormat="1" applyFont="1" applyFill="1" applyBorder="1" applyAlignment="1" applyProtection="1">
      <alignment horizontal="center"/>
    </xf>
    <xf numFmtId="164" fontId="2" fillId="51" borderId="356" xfId="0" applyNumberFormat="1" applyFont="1" applyFill="1" applyBorder="1" applyAlignment="1" applyProtection="1">
      <alignment horizontal="center"/>
    </xf>
    <xf numFmtId="164" fontId="3" fillId="51" borderId="269" xfId="0" applyNumberFormat="1" applyFont="1" applyFill="1" applyBorder="1" applyAlignment="1" applyProtection="1">
      <alignment horizontal="center"/>
    </xf>
    <xf numFmtId="164" fontId="2" fillId="45" borderId="270" xfId="0" applyNumberFormat="1" applyFont="1" applyFill="1" applyBorder="1" applyAlignment="1" applyProtection="1">
      <alignment horizontal="center"/>
    </xf>
    <xf numFmtId="164" fontId="3" fillId="45" borderId="269" xfId="0" applyNumberFormat="1" applyFont="1" applyFill="1" applyBorder="1" applyAlignment="1" applyProtection="1">
      <alignment horizontal="center"/>
    </xf>
    <xf numFmtId="164" fontId="2" fillId="17" borderId="308" xfId="0" applyNumberFormat="1" applyFont="1" applyFill="1" applyBorder="1" applyAlignment="1" applyProtection="1">
      <alignment horizontal="center"/>
      <protection locked="0"/>
    </xf>
    <xf numFmtId="164" fontId="2" fillId="17" borderId="309" xfId="0" applyNumberFormat="1" applyFont="1" applyFill="1" applyBorder="1" applyAlignment="1" applyProtection="1">
      <alignment horizontal="center"/>
      <protection locked="0"/>
    </xf>
    <xf numFmtId="38" fontId="3" fillId="0" borderId="47" xfId="9" applyNumberFormat="1" applyFont="1" applyBorder="1" applyAlignment="1" applyProtection="1"/>
    <xf numFmtId="168" fontId="93" fillId="5" borderId="128" xfId="9" applyNumberFormat="1" applyFont="1" applyFill="1" applyBorder="1" applyAlignment="1" applyProtection="1">
      <protection locked="0"/>
    </xf>
    <xf numFmtId="167" fontId="233" fillId="0" borderId="357" xfId="9" applyNumberFormat="1" applyFont="1" applyBorder="1" applyAlignment="1" applyProtection="1">
      <alignment horizontal="center" vertical="center"/>
      <protection locked="0"/>
    </xf>
    <xf numFmtId="164" fontId="2" fillId="17" borderId="358" xfId="0" applyNumberFormat="1" applyFont="1" applyFill="1" applyBorder="1" applyAlignment="1" applyProtection="1">
      <alignment horizontal="center"/>
      <protection locked="0"/>
    </xf>
    <xf numFmtId="164" fontId="3" fillId="17" borderId="359" xfId="0" applyNumberFormat="1" applyFont="1" applyFill="1" applyBorder="1" applyAlignment="1" applyProtection="1">
      <alignment horizontal="center"/>
      <protection locked="0"/>
    </xf>
    <xf numFmtId="164" fontId="2" fillId="17" borderId="360" xfId="0" applyNumberFormat="1" applyFont="1" applyFill="1" applyBorder="1" applyAlignment="1" applyProtection="1">
      <alignment horizontal="center"/>
      <protection locked="0"/>
    </xf>
    <xf numFmtId="164" fontId="3" fillId="17" borderId="361" xfId="0" applyNumberFormat="1" applyFont="1" applyFill="1" applyBorder="1" applyAlignment="1" applyProtection="1">
      <alignment horizontal="center"/>
      <protection locked="0"/>
    </xf>
    <xf numFmtId="164" fontId="2" fillId="17" borderId="362" xfId="0" applyNumberFormat="1" applyFont="1" applyFill="1" applyBorder="1" applyAlignment="1" applyProtection="1">
      <alignment horizontal="center"/>
      <protection locked="0"/>
    </xf>
    <xf numFmtId="164" fontId="3" fillId="17" borderId="363" xfId="0" applyNumberFormat="1" applyFont="1" applyFill="1" applyBorder="1" applyAlignment="1" applyProtection="1">
      <alignment horizontal="center"/>
      <protection locked="0"/>
    </xf>
    <xf numFmtId="0" fontId="7" fillId="2" borderId="218" xfId="5" applyFont="1" applyFill="1" applyBorder="1" applyProtection="1"/>
    <xf numFmtId="164" fontId="206" fillId="21" borderId="7" xfId="0" applyNumberFormat="1" applyFont="1" applyFill="1" applyBorder="1" applyAlignment="1" applyProtection="1">
      <alignment horizontal="center"/>
    </xf>
    <xf numFmtId="0" fontId="70" fillId="2" borderId="0" xfId="5" applyFont="1" applyFill="1" applyAlignment="1" applyProtection="1">
      <alignment horizontal="center"/>
    </xf>
    <xf numFmtId="0" fontId="294" fillId="17" borderId="196" xfId="5" applyFont="1" applyFill="1" applyBorder="1" applyAlignment="1" applyProtection="1">
      <alignment horizontal="center"/>
    </xf>
    <xf numFmtId="0" fontId="7" fillId="32" borderId="0" xfId="5" applyFont="1" applyFill="1" applyBorder="1" applyProtection="1"/>
    <xf numFmtId="0" fontId="294" fillId="32" borderId="310" xfId="5" applyFont="1" applyFill="1" applyBorder="1" applyAlignment="1" applyProtection="1">
      <alignment horizontal="center"/>
    </xf>
    <xf numFmtId="0" fontId="160" fillId="17" borderId="93" xfId="5" applyFont="1" applyFill="1" applyBorder="1" applyProtection="1"/>
    <xf numFmtId="164" fontId="2" fillId="17" borderId="270" xfId="0" applyNumberFormat="1" applyFont="1" applyFill="1" applyBorder="1" applyAlignment="1" applyProtection="1">
      <alignment horizontal="center"/>
    </xf>
    <xf numFmtId="164" fontId="3" fillId="17" borderId="269" xfId="0" applyNumberFormat="1" applyFont="1" applyFill="1" applyBorder="1" applyAlignment="1" applyProtection="1">
      <alignment horizontal="center"/>
    </xf>
    <xf numFmtId="0" fontId="198" fillId="17" borderId="304" xfId="5" applyFont="1" applyFill="1" applyBorder="1" applyAlignment="1" applyProtection="1">
      <alignment horizontal="right"/>
    </xf>
    <xf numFmtId="0" fontId="198" fillId="17" borderId="280" xfId="5" applyFont="1" applyFill="1" applyBorder="1" applyAlignment="1" applyProtection="1">
      <alignment horizontal="left"/>
    </xf>
    <xf numFmtId="0" fontId="160" fillId="17" borderId="148" xfId="5" applyFont="1" applyFill="1" applyBorder="1" applyAlignment="1" applyProtection="1">
      <alignment horizontal="center"/>
    </xf>
    <xf numFmtId="167" fontId="77" fillId="0" borderId="281" xfId="9" applyNumberFormat="1" applyFont="1" applyBorder="1" applyAlignment="1" applyProtection="1">
      <alignment horizontal="center" vertical="center"/>
    </xf>
    <xf numFmtId="167" fontId="77" fillId="0" borderId="163" xfId="9" applyNumberFormat="1" applyFont="1" applyBorder="1" applyAlignment="1" applyProtection="1">
      <alignment horizontal="center" vertical="center"/>
    </xf>
    <xf numFmtId="0" fontId="233" fillId="17" borderId="280" xfId="5" applyFont="1" applyFill="1" applyBorder="1" applyAlignment="1" applyProtection="1">
      <alignment horizontal="center"/>
    </xf>
    <xf numFmtId="0" fontId="233" fillId="17" borderId="1" xfId="5" applyFont="1" applyFill="1" applyBorder="1" applyAlignment="1" applyProtection="1">
      <alignment horizontal="center"/>
    </xf>
    <xf numFmtId="0" fontId="233" fillId="17" borderId="304" xfId="5" applyFont="1" applyFill="1" applyBorder="1" applyAlignment="1" applyProtection="1">
      <alignment horizontal="center"/>
    </xf>
    <xf numFmtId="168" fontId="2" fillId="0" borderId="252" xfId="9" applyNumberFormat="1" applyFont="1" applyBorder="1" applyAlignment="1" applyProtection="1"/>
    <xf numFmtId="168" fontId="73" fillId="0" borderId="218" xfId="9" applyNumberFormat="1" applyFont="1" applyBorder="1" applyAlignment="1" applyProtection="1"/>
    <xf numFmtId="168" fontId="2" fillId="0" borderId="249" xfId="9" applyNumberFormat="1" applyFont="1" applyBorder="1" applyAlignment="1" applyProtection="1"/>
    <xf numFmtId="168" fontId="2" fillId="32" borderId="220" xfId="9" applyNumberFormat="1" applyFont="1" applyFill="1" applyBorder="1" applyAlignment="1" applyProtection="1"/>
    <xf numFmtId="168" fontId="73" fillId="32" borderId="220" xfId="9" applyNumberFormat="1" applyFont="1" applyFill="1" applyBorder="1" applyAlignment="1" applyProtection="1"/>
    <xf numFmtId="164" fontId="2" fillId="0" borderId="252" xfId="9" applyNumberFormat="1" applyFont="1" applyBorder="1" applyAlignment="1" applyProtection="1"/>
    <xf numFmtId="164" fontId="73" fillId="0" borderId="218" xfId="9" applyNumberFormat="1" applyFont="1" applyBorder="1" applyAlignment="1" applyProtection="1"/>
    <xf numFmtId="164" fontId="2" fillId="0" borderId="249" xfId="9" applyNumberFormat="1" applyFont="1" applyBorder="1" applyAlignment="1" applyProtection="1"/>
    <xf numFmtId="164" fontId="73" fillId="0" borderId="222" xfId="9" applyNumberFormat="1" applyFont="1" applyBorder="1" applyAlignment="1" applyProtection="1"/>
    <xf numFmtId="215" fontId="48" fillId="5" borderId="48" xfId="8" applyNumberFormat="1" applyFont="1" applyFill="1" applyBorder="1" applyAlignment="1" applyProtection="1">
      <alignment horizontal="center"/>
    </xf>
    <xf numFmtId="0" fontId="242" fillId="2" borderId="0" xfId="0" applyFont="1" applyFill="1" applyProtection="1"/>
    <xf numFmtId="0" fontId="3" fillId="5" borderId="9" xfId="7" applyFont="1" applyFill="1" applyBorder="1" applyAlignment="1">
      <alignment horizontal="center"/>
    </xf>
    <xf numFmtId="0" fontId="243" fillId="11" borderId="290" xfId="0" applyFont="1" applyFill="1" applyBorder="1" applyAlignment="1">
      <alignment horizontal="center" vertical="center"/>
    </xf>
    <xf numFmtId="0" fontId="64" fillId="11" borderId="290" xfId="0" applyFont="1" applyFill="1" applyBorder="1" applyAlignment="1">
      <alignment horizontal="center" vertical="center" wrapText="1"/>
    </xf>
    <xf numFmtId="182" fontId="2" fillId="11" borderId="290" xfId="0" quotePrefix="1" applyNumberFormat="1" applyFont="1" applyFill="1" applyBorder="1" applyAlignment="1">
      <alignment horizontal="center" vertical="center"/>
    </xf>
    <xf numFmtId="0" fontId="3" fillId="5" borderId="9" xfId="7" quotePrefix="1" applyFont="1" applyFill="1" applyBorder="1" applyAlignment="1">
      <alignment horizontal="center"/>
    </xf>
    <xf numFmtId="0" fontId="3" fillId="5" borderId="137" xfId="0" applyFont="1" applyFill="1" applyBorder="1"/>
    <xf numFmtId="180" fontId="244" fillId="5" borderId="137" xfId="0" applyNumberFormat="1" applyFont="1" applyFill="1" applyBorder="1" applyAlignment="1">
      <alignment horizontal="center"/>
    </xf>
    <xf numFmtId="0" fontId="3" fillId="5" borderId="295" xfId="0" applyFont="1" applyFill="1" applyBorder="1"/>
    <xf numFmtId="180" fontId="244" fillId="5" borderId="295" xfId="0" applyNumberFormat="1" applyFont="1" applyFill="1" applyBorder="1" applyAlignment="1">
      <alignment horizontal="center"/>
    </xf>
    <xf numFmtId="0" fontId="3" fillId="5" borderId="296" xfId="0" applyFont="1" applyFill="1" applyBorder="1" applyAlignment="1">
      <alignment horizontal="left" wrapText="1"/>
    </xf>
    <xf numFmtId="180" fontId="244" fillId="5" borderId="296" xfId="0" applyNumberFormat="1" applyFont="1" applyFill="1" applyBorder="1" applyAlignment="1">
      <alignment horizontal="center"/>
    </xf>
    <xf numFmtId="0" fontId="223" fillId="5" borderId="0" xfId="7" applyFont="1" applyFill="1"/>
    <xf numFmtId="0" fontId="6" fillId="5" borderId="0" xfId="7" quotePrefix="1" applyFont="1" applyFill="1" applyBorder="1" applyAlignment="1">
      <alignment horizontal="left"/>
    </xf>
    <xf numFmtId="0" fontId="220" fillId="17" borderId="0" xfId="3" applyFill="1"/>
    <xf numFmtId="174" fontId="147" fillId="2" borderId="0" xfId="0" applyNumberFormat="1" applyFont="1" applyFill="1" applyBorder="1" applyAlignment="1" applyProtection="1">
      <alignment horizontal="right" vertical="top"/>
    </xf>
    <xf numFmtId="174" fontId="147" fillId="2" borderId="0" xfId="0" applyNumberFormat="1" applyFont="1" applyFill="1" applyAlignment="1" applyProtection="1">
      <alignment horizontal="right" vertical="top"/>
    </xf>
    <xf numFmtId="0" fontId="242" fillId="32" borderId="0" xfId="0" applyFont="1" applyFill="1" applyAlignment="1" applyProtection="1">
      <alignment horizontal="left"/>
    </xf>
    <xf numFmtId="169" fontId="73" fillId="17" borderId="12" xfId="0" applyNumberFormat="1" applyFont="1" applyFill="1" applyBorder="1" applyAlignment="1" applyProtection="1">
      <alignment horizontal="center"/>
    </xf>
    <xf numFmtId="169" fontId="73" fillId="17" borderId="128" xfId="0" applyNumberFormat="1" applyFont="1" applyFill="1" applyBorder="1" applyAlignment="1" applyProtection="1">
      <alignment horizontal="center"/>
    </xf>
    <xf numFmtId="0" fontId="147" fillId="2" borderId="0" xfId="0" applyFont="1" applyFill="1" applyProtection="1"/>
    <xf numFmtId="0" fontId="150" fillId="2" borderId="0" xfId="0" applyFont="1" applyFill="1" applyProtection="1"/>
    <xf numFmtId="0" fontId="147" fillId="0" borderId="0" xfId="0" applyFont="1" applyFill="1" applyProtection="1"/>
    <xf numFmtId="0" fontId="336" fillId="32" borderId="0" xfId="0" applyFont="1" applyFill="1" applyAlignment="1" applyProtection="1">
      <alignment horizontal="left"/>
    </xf>
    <xf numFmtId="0" fontId="336" fillId="32" borderId="0" xfId="0" applyFont="1" applyFill="1" applyAlignment="1" applyProtection="1">
      <alignment horizontal="right"/>
    </xf>
    <xf numFmtId="0" fontId="336" fillId="2" borderId="0" xfId="0" applyFont="1" applyFill="1" applyProtection="1"/>
    <xf numFmtId="0" fontId="336" fillId="2" borderId="0" xfId="0" applyFont="1" applyFill="1" applyAlignment="1" applyProtection="1">
      <alignment horizontal="center"/>
    </xf>
    <xf numFmtId="168" fontId="73" fillId="29" borderId="13" xfId="0" applyNumberFormat="1" applyFont="1" applyFill="1" applyBorder="1" applyAlignment="1" applyProtection="1">
      <alignment horizontal="right"/>
    </xf>
    <xf numFmtId="0" fontId="337" fillId="38" borderId="0" xfId="0" applyFont="1" applyFill="1" applyAlignment="1" applyProtection="1">
      <alignment horizontal="right"/>
    </xf>
    <xf numFmtId="0" fontId="338" fillId="38" borderId="0" xfId="0" applyFont="1" applyFill="1" applyAlignment="1" applyProtection="1">
      <alignment horizontal="center"/>
    </xf>
    <xf numFmtId="0" fontId="247" fillId="32" borderId="0" xfId="0" applyFont="1" applyFill="1" applyProtection="1"/>
    <xf numFmtId="0" fontId="242" fillId="32" borderId="0" xfId="0" applyFont="1" applyFill="1" applyProtection="1"/>
    <xf numFmtId="0" fontId="169" fillId="17" borderId="0" xfId="8" applyFont="1" applyFill="1" applyProtection="1"/>
    <xf numFmtId="166" fontId="30" fillId="8" borderId="48" xfId="9" applyNumberFormat="1" applyFont="1" applyFill="1" applyBorder="1" applyProtection="1"/>
    <xf numFmtId="164" fontId="3" fillId="8" borderId="48" xfId="9" applyNumberFormat="1" applyFont="1" applyFill="1" applyBorder="1" applyAlignment="1" applyProtection="1"/>
    <xf numFmtId="0" fontId="70" fillId="8" borderId="48" xfId="8" applyFont="1" applyFill="1" applyBorder="1" applyProtection="1"/>
    <xf numFmtId="168" fontId="73" fillId="16" borderId="13" xfId="0" applyNumberFormat="1" applyFont="1" applyFill="1" applyBorder="1" applyAlignment="1" applyProtection="1">
      <alignment horizontal="right"/>
    </xf>
    <xf numFmtId="168" fontId="73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6" xfId="0" applyNumberFormat="1" applyFont="1" applyFill="1" applyBorder="1" applyProtection="1"/>
    <xf numFmtId="0" fontId="93" fillId="17" borderId="65" xfId="0" applyFont="1" applyFill="1" applyBorder="1" applyAlignment="1" applyProtection="1">
      <alignment horizontal="center"/>
    </xf>
    <xf numFmtId="184" fontId="339" fillId="42" borderId="0" xfId="0" applyNumberFormat="1" applyFont="1" applyFill="1" applyBorder="1" applyAlignment="1" applyProtection="1">
      <alignment horizontal="center"/>
    </xf>
    <xf numFmtId="192" fontId="340" fillId="17" borderId="0" xfId="0" quotePrefix="1" applyNumberFormat="1" applyFont="1" applyFill="1" applyBorder="1" applyAlignment="1" applyProtection="1">
      <alignment horizontal="left"/>
    </xf>
    <xf numFmtId="192" fontId="340" fillId="17" borderId="0" xfId="0" applyNumberFormat="1" applyFont="1" applyFill="1" applyBorder="1" applyAlignment="1" applyProtection="1">
      <alignment horizontal="left"/>
    </xf>
    <xf numFmtId="193" fontId="339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7" fillId="16" borderId="198" xfId="0" applyFont="1" applyFill="1" applyBorder="1" applyAlignment="1" applyProtection="1">
      <alignment horizontal="center"/>
    </xf>
    <xf numFmtId="0" fontId="277" fillId="34" borderId="198" xfId="0" applyFont="1" applyFill="1" applyBorder="1" applyAlignment="1" applyProtection="1">
      <alignment horizontal="center"/>
    </xf>
    <xf numFmtId="168" fontId="2" fillId="29" borderId="336" xfId="0" applyNumberFormat="1" applyFont="1" applyFill="1" applyBorder="1" applyProtection="1"/>
    <xf numFmtId="171" fontId="303" fillId="53" borderId="337" xfId="0" applyNumberFormat="1" applyFont="1" applyFill="1" applyBorder="1" applyProtection="1"/>
    <xf numFmtId="168" fontId="2" fillId="29" borderId="196" xfId="0" applyNumberFormat="1" applyFont="1" applyFill="1" applyBorder="1" applyProtection="1"/>
    <xf numFmtId="0" fontId="341" fillId="34" borderId="198" xfId="0" applyFont="1" applyFill="1" applyBorder="1" applyAlignment="1" applyProtection="1">
      <alignment horizontal="left"/>
    </xf>
    <xf numFmtId="0" fontId="198" fillId="17" borderId="196" xfId="0" applyFont="1" applyFill="1" applyBorder="1" applyAlignment="1" applyProtection="1">
      <alignment horizontal="left"/>
    </xf>
    <xf numFmtId="226" fontId="341" fillId="34" borderId="146" xfId="0" applyNumberFormat="1" applyFont="1" applyFill="1" applyBorder="1" applyAlignment="1" applyProtection="1"/>
    <xf numFmtId="168" fontId="2" fillId="17" borderId="252" xfId="0" applyNumberFormat="1" applyFont="1" applyFill="1" applyBorder="1" applyProtection="1">
      <protection locked="0"/>
    </xf>
    <xf numFmtId="168" fontId="2" fillId="17" borderId="196" xfId="0" applyNumberFormat="1" applyFont="1" applyFill="1" applyBorder="1" applyProtection="1">
      <protection locked="0"/>
    </xf>
    <xf numFmtId="226" fontId="341" fillId="34" borderId="146" xfId="0" quotePrefix="1" applyNumberFormat="1" applyFont="1" applyFill="1" applyBorder="1" applyAlignment="1" applyProtection="1"/>
    <xf numFmtId="228" fontId="342" fillId="17" borderId="198" xfId="0" applyNumberFormat="1" applyFont="1" applyFill="1" applyBorder="1" applyAlignment="1" applyProtection="1">
      <alignment horizontal="left"/>
    </xf>
    <xf numFmtId="171" fontId="302" fillId="17" borderId="0" xfId="0" applyNumberFormat="1" applyFont="1" applyFill="1" applyBorder="1" applyAlignment="1" applyProtection="1">
      <alignment horizontal="center"/>
    </xf>
    <xf numFmtId="171" fontId="297" fillId="17" borderId="10" xfId="0" applyNumberFormat="1" applyFont="1" applyFill="1" applyBorder="1" applyAlignment="1" applyProtection="1">
      <alignment horizontal="center"/>
    </xf>
    <xf numFmtId="171" fontId="302" fillId="17" borderId="8" xfId="0" applyNumberFormat="1" applyFont="1" applyFill="1" applyBorder="1" applyAlignment="1" applyProtection="1">
      <alignment horizontal="center"/>
    </xf>
    <xf numFmtId="168" fontId="3" fillId="17" borderId="163" xfId="0" applyNumberFormat="1" applyFont="1" applyFill="1" applyBorder="1" applyProtection="1"/>
    <xf numFmtId="169" fontId="3" fillId="0" borderId="311" xfId="0" applyNumberFormat="1" applyFont="1" applyFill="1" applyBorder="1" applyAlignment="1" applyProtection="1">
      <alignment horizontal="center"/>
    </xf>
    <xf numFmtId="168" fontId="3" fillId="17" borderId="312" xfId="0" applyNumberFormat="1" applyFont="1" applyFill="1" applyBorder="1" applyProtection="1"/>
    <xf numFmtId="169" fontId="3" fillId="0" borderId="282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/>
    <xf numFmtId="168" fontId="3" fillId="17" borderId="163" xfId="0" applyNumberFormat="1" applyFont="1" applyFill="1" applyBorder="1" applyProtection="1">
      <protection locked="0"/>
    </xf>
    <xf numFmtId="0" fontId="70" fillId="17" borderId="210" xfId="0" applyFont="1" applyFill="1" applyBorder="1" applyProtection="1"/>
    <xf numFmtId="0" fontId="73" fillId="17" borderId="176" xfId="0" applyFont="1" applyFill="1" applyBorder="1" applyProtection="1"/>
    <xf numFmtId="0" fontId="21" fillId="16" borderId="173" xfId="0" applyFont="1" applyFill="1" applyBorder="1" applyProtection="1"/>
    <xf numFmtId="175" fontId="343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8" xfId="0" applyNumberFormat="1" applyFont="1" applyFill="1" applyBorder="1" applyAlignment="1" applyProtection="1">
      <alignment horizontal="center"/>
    </xf>
    <xf numFmtId="38" fontId="93" fillId="5" borderId="313" xfId="9" applyNumberFormat="1" applyFont="1" applyFill="1" applyBorder="1" applyAlignment="1" applyProtection="1"/>
    <xf numFmtId="4" fontId="254" fillId="4" borderId="314" xfId="0" applyNumberFormat="1" applyFont="1" applyFill="1" applyBorder="1" applyAlignment="1" applyProtection="1">
      <alignment horizontal="center"/>
    </xf>
    <xf numFmtId="4" fontId="197" fillId="3" borderId="196" xfId="0" applyNumberFormat="1" applyFont="1" applyFill="1" applyBorder="1" applyAlignment="1" applyProtection="1">
      <alignment horizontal="center"/>
    </xf>
    <xf numFmtId="4" fontId="62" fillId="2" borderId="315" xfId="0" applyNumberFormat="1" applyFont="1" applyFill="1" applyBorder="1" applyAlignment="1" applyProtection="1">
      <alignment horizontal="center" vertical="top"/>
    </xf>
    <xf numFmtId="168" fontId="67" fillId="3" borderId="314" xfId="0" applyNumberFormat="1" applyFont="1" applyFill="1" applyBorder="1" applyAlignment="1" applyProtection="1">
      <alignment horizontal="center"/>
    </xf>
    <xf numFmtId="4" fontId="62" fillId="2" borderId="179" xfId="0" applyNumberFormat="1" applyFont="1" applyFill="1" applyBorder="1" applyAlignment="1" applyProtection="1">
      <alignment horizontal="center" vertical="top"/>
    </xf>
    <xf numFmtId="4" fontId="62" fillId="2" borderId="316" xfId="0" applyNumberFormat="1" applyFont="1" applyFill="1" applyBorder="1" applyAlignment="1" applyProtection="1">
      <alignment horizontal="center" vertical="top"/>
    </xf>
    <xf numFmtId="4" fontId="62" fillId="2" borderId="180" xfId="0" applyNumberFormat="1" applyFont="1" applyFill="1" applyBorder="1" applyAlignment="1" applyProtection="1">
      <alignment horizontal="center" vertical="top"/>
    </xf>
    <xf numFmtId="229" fontId="341" fillId="34" borderId="197" xfId="0" applyNumberFormat="1" applyFont="1" applyFill="1" applyBorder="1" applyAlignment="1" applyProtection="1">
      <alignment horizontal="center"/>
    </xf>
    <xf numFmtId="229" fontId="242" fillId="16" borderId="197" xfId="0" applyNumberFormat="1" applyFont="1" applyFill="1" applyBorder="1" applyAlignment="1" applyProtection="1">
      <alignment horizontal="center"/>
    </xf>
    <xf numFmtId="0" fontId="2" fillId="16" borderId="0" xfId="8" applyNumberFormat="1" applyFont="1" applyFill="1" applyProtection="1"/>
    <xf numFmtId="0" fontId="2" fillId="16" borderId="0" xfId="8" applyFont="1" applyFill="1" applyProtection="1"/>
    <xf numFmtId="0" fontId="90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56" fillId="11" borderId="113" xfId="0" applyNumberFormat="1" applyFont="1" applyFill="1" applyBorder="1" applyAlignment="1" applyProtection="1">
      <alignment horizontal="center"/>
    </xf>
    <xf numFmtId="169" fontId="257" fillId="7" borderId="113" xfId="0" applyNumberFormat="1" applyFont="1" applyFill="1" applyBorder="1" applyAlignment="1" applyProtection="1">
      <alignment horizontal="center"/>
    </xf>
    <xf numFmtId="169" fontId="258" fillId="3" borderId="113" xfId="0" applyNumberFormat="1" applyFont="1" applyFill="1" applyBorder="1" applyAlignment="1" applyProtection="1">
      <alignment horizontal="center"/>
    </xf>
    <xf numFmtId="175" fontId="344" fillId="21" borderId="146" xfId="0" applyNumberFormat="1" applyFont="1" applyFill="1" applyBorder="1" applyAlignment="1" applyProtection="1">
      <alignment horizontal="center"/>
    </xf>
    <xf numFmtId="184" fontId="339" fillId="42" borderId="0" xfId="0" quotePrefix="1" applyNumberFormat="1" applyFont="1" applyFill="1" applyBorder="1" applyAlignment="1" applyProtection="1">
      <alignment horizontal="left"/>
    </xf>
    <xf numFmtId="4" fontId="37" fillId="4" borderId="243" xfId="0" applyNumberFormat="1" applyFont="1" applyFill="1" applyBorder="1" applyAlignment="1" applyProtection="1">
      <alignment horizontal="center"/>
    </xf>
    <xf numFmtId="4" fontId="37" fillId="4" borderId="150" xfId="0" applyNumberFormat="1" applyFont="1" applyFill="1" applyBorder="1" applyAlignment="1" applyProtection="1">
      <alignment horizontal="center"/>
    </xf>
    <xf numFmtId="4" fontId="37" fillId="4" borderId="148" xfId="0" applyNumberFormat="1" applyFont="1" applyFill="1" applyBorder="1" applyAlignment="1" applyProtection="1">
      <alignment horizontal="center"/>
    </xf>
    <xf numFmtId="4" fontId="37" fillId="4" borderId="147" xfId="0" applyNumberFormat="1" applyFont="1" applyFill="1" applyBorder="1" applyAlignment="1" applyProtection="1">
      <alignment horizontal="center"/>
    </xf>
    <xf numFmtId="0" fontId="125" fillId="18" borderId="145" xfId="0" applyFont="1" applyFill="1" applyBorder="1" applyProtection="1"/>
    <xf numFmtId="0" fontId="125" fillId="18" borderId="246" xfId="0" applyFont="1" applyFill="1" applyBorder="1" applyProtection="1"/>
    <xf numFmtId="0" fontId="125" fillId="18" borderId="74" xfId="0" applyFont="1" applyFill="1" applyBorder="1" applyProtection="1"/>
    <xf numFmtId="0" fontId="125" fillId="18" borderId="248" xfId="0" applyFont="1" applyFill="1" applyBorder="1" applyProtection="1"/>
    <xf numFmtId="4" fontId="48" fillId="18" borderId="228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33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59" fillId="3" borderId="317" xfId="0" applyNumberFormat="1" applyFont="1" applyFill="1" applyBorder="1" applyAlignment="1" applyProtection="1">
      <alignment horizontal="center"/>
    </xf>
    <xf numFmtId="164" fontId="206" fillId="3" borderId="318" xfId="0" applyNumberFormat="1" applyFont="1" applyFill="1" applyBorder="1" applyAlignment="1" applyProtection="1">
      <alignment horizontal="center"/>
    </xf>
    <xf numFmtId="164" fontId="16" fillId="11" borderId="317" xfId="0" applyNumberFormat="1" applyFont="1" applyFill="1" applyBorder="1" applyAlignment="1" applyProtection="1">
      <alignment horizontal="center"/>
    </xf>
    <xf numFmtId="164" fontId="206" fillId="11" borderId="318" xfId="0" applyNumberFormat="1" applyFont="1" applyFill="1" applyBorder="1" applyAlignment="1" applyProtection="1">
      <alignment horizontal="center"/>
    </xf>
    <xf numFmtId="164" fontId="16" fillId="7" borderId="319" xfId="0" applyNumberFormat="1" applyFont="1" applyFill="1" applyBorder="1" applyAlignment="1" applyProtection="1">
      <alignment horizontal="center"/>
    </xf>
    <xf numFmtId="164" fontId="206" fillId="7" borderId="320" xfId="0" applyNumberFormat="1" applyFont="1" applyFill="1" applyBorder="1" applyAlignment="1" applyProtection="1">
      <alignment horizontal="center"/>
    </xf>
    <xf numFmtId="164" fontId="2" fillId="5" borderId="319" xfId="0" applyNumberFormat="1" applyFont="1" applyFill="1" applyBorder="1" applyAlignment="1" applyProtection="1">
      <alignment horizontal="center"/>
    </xf>
    <xf numFmtId="164" fontId="73" fillId="5" borderId="320" xfId="0" applyNumberFormat="1" applyFont="1" applyFill="1" applyBorder="1" applyAlignment="1" applyProtection="1">
      <alignment horizontal="center"/>
    </xf>
    <xf numFmtId="0" fontId="2" fillId="5" borderId="0" xfId="8" applyFont="1" applyFill="1" applyAlignment="1" applyProtection="1">
      <alignment horizontal="left"/>
    </xf>
    <xf numFmtId="0" fontId="22" fillId="10" borderId="0" xfId="8" applyFont="1" applyFill="1" applyAlignment="1" applyProtection="1">
      <alignment horizontal="right"/>
    </xf>
    <xf numFmtId="0" fontId="22" fillId="10" borderId="0" xfId="8" applyFont="1" applyFill="1" applyAlignment="1" applyProtection="1">
      <alignment horizontal="left"/>
    </xf>
    <xf numFmtId="0" fontId="2" fillId="5" borderId="0" xfId="5" applyFont="1" applyFill="1" applyAlignment="1" applyProtection="1">
      <alignment horizontal="left"/>
    </xf>
    <xf numFmtId="0" fontId="2" fillId="30" borderId="0" xfId="8" applyFont="1" applyFill="1" applyAlignment="1" applyProtection="1">
      <alignment horizontal="left"/>
    </xf>
    <xf numFmtId="0" fontId="255" fillId="5" borderId="196" xfId="8" applyNumberFormat="1" applyFont="1" applyFill="1" applyBorder="1" applyAlignment="1" applyProtection="1">
      <alignment horizontal="center" vertical="center"/>
    </xf>
    <xf numFmtId="0" fontId="341" fillId="17" borderId="197" xfId="0" applyFont="1" applyFill="1" applyBorder="1" applyAlignment="1" applyProtection="1">
      <alignment horizontal="right" vertical="center"/>
    </xf>
    <xf numFmtId="0" fontId="137" fillId="16" borderId="196" xfId="3" applyFont="1" applyFill="1" applyBorder="1" applyAlignment="1">
      <alignment horizontal="center" textRotation="90" wrapText="1"/>
    </xf>
    <xf numFmtId="0" fontId="312" fillId="32" borderId="0" xfId="3" applyFont="1" applyFill="1" applyBorder="1" applyAlignment="1">
      <alignment horizontal="center"/>
    </xf>
    <xf numFmtId="168" fontId="2" fillId="29" borderId="252" xfId="0" applyNumberFormat="1" applyFont="1" applyFill="1" applyBorder="1" applyProtection="1"/>
    <xf numFmtId="168" fontId="3" fillId="17" borderId="169" xfId="0" applyNumberFormat="1" applyFont="1" applyFill="1" applyBorder="1" applyAlignment="1" applyProtection="1">
      <alignment horizontal="left"/>
    </xf>
    <xf numFmtId="168" fontId="184" fillId="17" borderId="171" xfId="0" applyNumberFormat="1" applyFont="1" applyFill="1" applyBorder="1" applyProtection="1"/>
    <xf numFmtId="168" fontId="3" fillId="17" borderId="174" xfId="0" applyNumberFormat="1" applyFont="1" applyFill="1" applyBorder="1" applyAlignment="1" applyProtection="1">
      <alignment horizontal="left"/>
    </xf>
    <xf numFmtId="168" fontId="184" fillId="17" borderId="175" xfId="0" applyNumberFormat="1" applyFont="1" applyFill="1" applyBorder="1" applyProtection="1"/>
    <xf numFmtId="168" fontId="3" fillId="17" borderId="172" xfId="0" applyNumberFormat="1" applyFont="1" applyFill="1" applyBorder="1" applyAlignment="1" applyProtection="1">
      <alignment horizontal="left"/>
    </xf>
    <xf numFmtId="168" fontId="184" fillId="17" borderId="173" xfId="0" applyNumberFormat="1" applyFont="1" applyFill="1" applyBorder="1" applyProtection="1"/>
    <xf numFmtId="168" fontId="70" fillId="17" borderId="174" xfId="0" applyNumberFormat="1" applyFont="1" applyFill="1" applyBorder="1" applyAlignment="1" applyProtection="1">
      <alignment horizontal="left"/>
    </xf>
    <xf numFmtId="231" fontId="341" fillId="34" borderId="197" xfId="0" applyNumberFormat="1" applyFont="1" applyFill="1" applyBorder="1" applyAlignment="1" applyProtection="1">
      <alignment horizontal="right"/>
    </xf>
    <xf numFmtId="232" fontId="341" fillId="34" borderId="198" xfId="0" applyNumberFormat="1" applyFont="1" applyFill="1" applyBorder="1" applyAlignment="1" applyProtection="1">
      <alignment horizontal="left"/>
    </xf>
    <xf numFmtId="175" fontId="2" fillId="16" borderId="196" xfId="0" applyNumberFormat="1" applyFont="1" applyFill="1" applyBorder="1" applyProtection="1"/>
    <xf numFmtId="175" fontId="264" fillId="16" borderId="334" xfId="0" applyNumberFormat="1" applyFont="1" applyFill="1" applyBorder="1" applyAlignment="1" applyProtection="1">
      <alignment horizontal="center"/>
    </xf>
    <xf numFmtId="175" fontId="265" fillId="16" borderId="334" xfId="0" applyNumberFormat="1" applyFont="1" applyFill="1" applyBorder="1" applyAlignment="1" applyProtection="1">
      <alignment horizontal="center"/>
    </xf>
    <xf numFmtId="226" fontId="288" fillId="34" borderId="146" xfId="0" applyNumberFormat="1" applyFont="1" applyFill="1" applyBorder="1" applyAlignment="1" applyProtection="1"/>
    <xf numFmtId="0" fontId="277" fillId="34" borderId="198" xfId="0" applyFont="1" applyFill="1" applyBorder="1" applyAlignment="1" applyProtection="1">
      <alignment horizontal="left"/>
    </xf>
    <xf numFmtId="0" fontId="333" fillId="16" borderId="146" xfId="0" applyFont="1" applyFill="1" applyBorder="1" applyAlignment="1" applyProtection="1">
      <alignment vertical="center"/>
    </xf>
    <xf numFmtId="0" fontId="333" fillId="16" borderId="198" xfId="0" applyFont="1" applyFill="1" applyBorder="1" applyAlignment="1" applyProtection="1">
      <alignment vertical="center"/>
    </xf>
    <xf numFmtId="0" fontId="137" fillId="16" borderId="197" xfId="0" applyFont="1" applyFill="1" applyBorder="1" applyAlignment="1" applyProtection="1">
      <alignment vertical="center"/>
    </xf>
    <xf numFmtId="180" fontId="160" fillId="16" borderId="336" xfId="0" applyNumberFormat="1" applyFont="1" applyFill="1" applyBorder="1" applyAlignment="1" applyProtection="1">
      <alignment horizontal="center"/>
    </xf>
    <xf numFmtId="230" fontId="277" fillId="34" borderId="197" xfId="0" quotePrefix="1" applyNumberFormat="1" applyFont="1" applyFill="1" applyBorder="1" applyAlignment="1" applyProtection="1">
      <alignment horizontal="center"/>
    </xf>
    <xf numFmtId="0" fontId="57" fillId="2" borderId="0" xfId="2" applyFont="1" applyFill="1" applyProtection="1"/>
    <xf numFmtId="0" fontId="202" fillId="2" borderId="0" xfId="2" applyFont="1" applyFill="1" applyBorder="1" applyAlignment="1">
      <alignment vertical="center"/>
    </xf>
    <xf numFmtId="0" fontId="57" fillId="2" borderId="0" xfId="2" applyFont="1" applyFill="1" applyBorder="1" applyAlignment="1">
      <alignment vertical="center"/>
    </xf>
    <xf numFmtId="0" fontId="57" fillId="2" borderId="0" xfId="2" applyFont="1" applyFill="1" applyBorder="1" applyAlignment="1" applyProtection="1">
      <alignment vertical="center"/>
    </xf>
    <xf numFmtId="0" fontId="202" fillId="2" borderId="0" xfId="2" applyFont="1" applyFill="1" applyBorder="1" applyAlignment="1">
      <alignment horizontal="center" vertical="center"/>
    </xf>
    <xf numFmtId="4" fontId="57" fillId="2" borderId="0" xfId="2" applyNumberFormat="1" applyFont="1" applyFill="1" applyAlignment="1" applyProtection="1">
      <alignment vertical="center"/>
    </xf>
    <xf numFmtId="4" fontId="57" fillId="0" borderId="0" xfId="2" applyNumberFormat="1" applyFont="1" applyFill="1" applyAlignment="1" applyProtection="1">
      <alignment vertical="center"/>
    </xf>
    <xf numFmtId="0" fontId="57" fillId="0" borderId="0" xfId="2" applyFont="1" applyFill="1" applyBorder="1" applyAlignment="1" applyProtection="1">
      <alignment vertical="center"/>
    </xf>
    <xf numFmtId="0" fontId="57" fillId="0" borderId="0" xfId="2" applyFont="1" applyFill="1" applyProtection="1"/>
    <xf numFmtId="0" fontId="202" fillId="0" borderId="0" xfId="2" applyFont="1" applyFill="1" applyBorder="1" applyAlignment="1" applyProtection="1">
      <alignment horizontal="center" vertical="center"/>
    </xf>
    <xf numFmtId="0" fontId="57" fillId="2" borderId="0" xfId="2" applyFont="1" applyFill="1"/>
    <xf numFmtId="0" fontId="17" fillId="3" borderId="321" xfId="2" applyFont="1" applyFill="1" applyBorder="1"/>
    <xf numFmtId="0" fontId="57" fillId="0" borderId="0" xfId="2" applyFont="1" applyFill="1"/>
    <xf numFmtId="0" fontId="3" fillId="5" borderId="322" xfId="2" applyFont="1" applyFill="1" applyBorder="1"/>
    <xf numFmtId="0" fontId="3" fillId="5" borderId="0" xfId="2" applyFont="1" applyFill="1" applyBorder="1"/>
    <xf numFmtId="0" fontId="3" fillId="5" borderId="323" xfId="2" applyFont="1" applyFill="1" applyBorder="1"/>
    <xf numFmtId="0" fontId="2" fillId="5" borderId="322" xfId="2" applyFont="1" applyFill="1" applyBorder="1" applyAlignment="1">
      <alignment horizontal="right"/>
    </xf>
    <xf numFmtId="0" fontId="93" fillId="5" borderId="0" xfId="2" applyFont="1" applyFill="1" applyBorder="1"/>
    <xf numFmtId="174" fontId="2" fillId="5" borderId="0" xfId="2" applyNumberFormat="1" applyFont="1" applyFill="1" applyBorder="1" applyAlignment="1">
      <alignment horizontal="right"/>
    </xf>
    <xf numFmtId="0" fontId="90" fillId="5" borderId="0" xfId="2" applyFont="1" applyFill="1" applyBorder="1"/>
    <xf numFmtId="0" fontId="2" fillId="5" borderId="0" xfId="2" applyFont="1" applyFill="1" applyBorder="1"/>
    <xf numFmtId="0" fontId="200" fillId="5" borderId="0" xfId="2" applyFont="1" applyFill="1" applyBorder="1"/>
    <xf numFmtId="0" fontId="91" fillId="5" borderId="0" xfId="2" applyFont="1" applyFill="1" applyBorder="1"/>
    <xf numFmtId="0" fontId="91" fillId="5" borderId="323" xfId="2" applyFont="1" applyFill="1" applyBorder="1"/>
    <xf numFmtId="0" fontId="3" fillId="17" borderId="0" xfId="2" applyFont="1" applyFill="1" applyBorder="1"/>
    <xf numFmtId="0" fontId="91" fillId="17" borderId="0" xfId="2" applyFont="1" applyFill="1" applyBorder="1"/>
    <xf numFmtId="0" fontId="91" fillId="17" borderId="323" xfId="2" applyFont="1" applyFill="1" applyBorder="1"/>
    <xf numFmtId="0" fontId="200" fillId="17" borderId="0" xfId="2" applyFont="1" applyFill="1" applyBorder="1"/>
    <xf numFmtId="0" fontId="3" fillId="17" borderId="323" xfId="2" applyFont="1" applyFill="1" applyBorder="1"/>
    <xf numFmtId="0" fontId="3" fillId="5" borderId="0" xfId="2" quotePrefix="1" applyFont="1" applyFill="1" applyBorder="1"/>
    <xf numFmtId="0" fontId="3" fillId="17" borderId="322" xfId="2" applyFont="1" applyFill="1" applyBorder="1"/>
    <xf numFmtId="174" fontId="2" fillId="17" borderId="0" xfId="2" applyNumberFormat="1" applyFont="1" applyFill="1" applyBorder="1" applyAlignment="1">
      <alignment horizontal="right"/>
    </xf>
    <xf numFmtId="0" fontId="207" fillId="5" borderId="0" xfId="2" applyFont="1" applyFill="1" applyBorder="1"/>
    <xf numFmtId="0" fontId="205" fillId="5" borderId="0" xfId="2" applyFont="1" applyFill="1" applyBorder="1"/>
    <xf numFmtId="0" fontId="162" fillId="5" borderId="0" xfId="2" applyFont="1" applyFill="1" applyBorder="1"/>
    <xf numFmtId="0" fontId="210" fillId="5" borderId="0" xfId="2" quotePrefix="1" applyFont="1" applyFill="1" applyBorder="1"/>
    <xf numFmtId="0" fontId="3" fillId="0" borderId="0" xfId="2" applyFont="1" applyFill="1"/>
    <xf numFmtId="217" fontId="77" fillId="17" borderId="0" xfId="2" applyNumberFormat="1" applyFont="1" applyFill="1" applyBorder="1"/>
    <xf numFmtId="0" fontId="61" fillId="5" borderId="0" xfId="2" applyFont="1" applyFill="1" applyBorder="1"/>
    <xf numFmtId="0" fontId="61" fillId="17" borderId="0" xfId="2" applyFont="1" applyFill="1" applyBorder="1"/>
    <xf numFmtId="0" fontId="61" fillId="17" borderId="323" xfId="2" applyFont="1" applyFill="1" applyBorder="1"/>
    <xf numFmtId="0" fontId="3" fillId="5" borderId="324" xfId="2" applyFont="1" applyFill="1" applyBorder="1"/>
    <xf numFmtId="0" fontId="3" fillId="5" borderId="325" xfId="2" applyFont="1" applyFill="1" applyBorder="1"/>
    <xf numFmtId="0" fontId="47" fillId="5" borderId="325" xfId="2" applyFont="1" applyFill="1" applyBorder="1"/>
    <xf numFmtId="0" fontId="3" fillId="5" borderId="326" xfId="2" applyFont="1" applyFill="1" applyBorder="1"/>
    <xf numFmtId="0" fontId="3" fillId="2" borderId="0" xfId="2" applyFont="1" applyFill="1"/>
    <xf numFmtId="0" fontId="91" fillId="17" borderId="0" xfId="2" applyFont="1" applyFill="1" applyBorder="1" applyAlignment="1">
      <alignment horizontal="left"/>
    </xf>
    <xf numFmtId="0" fontId="345" fillId="17" borderId="0" xfId="2" applyFont="1" applyFill="1" applyBorder="1"/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90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90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6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6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7" fillId="25" borderId="169" xfId="0" applyFont="1" applyFill="1" applyBorder="1" applyProtection="1"/>
    <xf numFmtId="0" fontId="147" fillId="25" borderId="171" xfId="0" applyFont="1" applyFill="1" applyBorder="1" applyProtection="1"/>
    <xf numFmtId="0" fontId="147" fillId="25" borderId="172" xfId="0" applyFont="1" applyFill="1" applyBorder="1" applyProtection="1"/>
    <xf numFmtId="0" fontId="147" fillId="25" borderId="173" xfId="0" applyFont="1" applyFill="1" applyBorder="1" applyProtection="1"/>
    <xf numFmtId="0" fontId="147" fillId="16" borderId="175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3" fillId="0" borderId="51" xfId="0" applyFont="1" applyFill="1" applyBorder="1"/>
    <xf numFmtId="0" fontId="3" fillId="0" borderId="51" xfId="0" applyFont="1" applyFill="1" applyBorder="1" applyProtection="1"/>
    <xf numFmtId="0" fontId="90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3" fillId="17" borderId="51" xfId="0" applyFont="1" applyFill="1" applyBorder="1" applyAlignment="1"/>
    <xf numFmtId="175" fontId="3" fillId="5" borderId="0" xfId="2" applyNumberFormat="1" applyFont="1" applyFill="1" applyBorder="1" applyAlignment="1">
      <alignment horizontal="left"/>
    </xf>
    <xf numFmtId="222" fontId="127" fillId="17" borderId="0" xfId="2" applyNumberFormat="1" applyFont="1" applyFill="1" applyBorder="1" applyAlignment="1">
      <alignment horizontal="left"/>
    </xf>
    <xf numFmtId="221" fontId="127" fillId="17" borderId="0" xfId="2" applyNumberFormat="1" applyFont="1" applyFill="1" applyBorder="1" applyAlignment="1">
      <alignment horizontal="left"/>
    </xf>
    <xf numFmtId="204" fontId="2" fillId="17" borderId="323" xfId="2" applyNumberFormat="1" applyFont="1" applyFill="1" applyBorder="1" applyAlignment="1"/>
    <xf numFmtId="207" fontId="127" fillId="17" borderId="0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horizontal="center"/>
    </xf>
    <xf numFmtId="204" fontId="3" fillId="5" borderId="0" xfId="2" applyNumberFormat="1" applyFont="1" applyFill="1" applyBorder="1" applyAlignment="1"/>
    <xf numFmtId="188" fontId="127" fillId="17" borderId="0" xfId="2" applyNumberFormat="1" applyFont="1" applyFill="1" applyBorder="1" applyAlignment="1">
      <alignment horizontal="left"/>
    </xf>
    <xf numFmtId="0" fontId="90" fillId="17" borderId="0" xfId="2" applyFont="1" applyFill="1" applyBorder="1"/>
    <xf numFmtId="203" fontId="127" fillId="5" borderId="0" xfId="2" quotePrefix="1" applyNumberFormat="1" applyFont="1" applyFill="1" applyBorder="1" applyAlignment="1">
      <alignment horizontal="left"/>
    </xf>
    <xf numFmtId="193" fontId="127" fillId="5" borderId="0" xfId="2" applyNumberFormat="1" applyFont="1" applyFill="1" applyBorder="1" applyAlignment="1">
      <alignment horizontal="left"/>
    </xf>
    <xf numFmtId="0" fontId="90" fillId="5" borderId="323" xfId="2" applyFont="1" applyFill="1" applyBorder="1"/>
    <xf numFmtId="184" fontId="267" fillId="5" borderId="0" xfId="2" quotePrefix="1" applyNumberFormat="1" applyFont="1" applyFill="1" applyBorder="1" applyAlignment="1">
      <alignment horizontal="left"/>
    </xf>
    <xf numFmtId="0" fontId="73" fillId="5" borderId="0" xfId="2" applyFont="1" applyFill="1" applyBorder="1"/>
    <xf numFmtId="0" fontId="147" fillId="5" borderId="0" xfId="2" applyFont="1" applyFill="1" applyBorder="1"/>
    <xf numFmtId="0" fontId="2" fillId="3" borderId="327" xfId="2" applyFont="1" applyFill="1" applyBorder="1"/>
    <xf numFmtId="233" fontId="70" fillId="3" borderId="321" xfId="2" applyNumberFormat="1" applyFont="1" applyFill="1" applyBorder="1" applyAlignment="1">
      <alignment horizontal="center"/>
    </xf>
    <xf numFmtId="233" fontId="70" fillId="3" borderId="328" xfId="2" applyNumberFormat="1" applyFont="1" applyFill="1" applyBorder="1" applyAlignment="1">
      <alignment horizontal="center"/>
    </xf>
    <xf numFmtId="219" fontId="127" fillId="17" borderId="0" xfId="2" applyNumberFormat="1" applyFont="1" applyFill="1" applyBorder="1" applyAlignment="1">
      <alignment horizontal="left"/>
    </xf>
    <xf numFmtId="220" fontId="127" fillId="17" borderId="0" xfId="2" applyNumberFormat="1" applyFont="1" applyFill="1" applyBorder="1" applyAlignment="1">
      <alignment horizontal="center"/>
    </xf>
    <xf numFmtId="188" fontId="127" fillId="17" borderId="0" xfId="2" applyNumberFormat="1" applyFont="1" applyFill="1" applyBorder="1" applyAlignment="1">
      <alignment horizontal="left"/>
    </xf>
    <xf numFmtId="223" fontId="127" fillId="17" borderId="0" xfId="2" applyNumberFormat="1" applyFont="1" applyFill="1" applyBorder="1" applyAlignment="1">
      <alignment horizontal="center"/>
    </xf>
    <xf numFmtId="224" fontId="127" fillId="17" borderId="0" xfId="2" applyNumberFormat="1" applyFont="1" applyFill="1" applyBorder="1" applyAlignment="1">
      <alignment horizontal="center"/>
    </xf>
    <xf numFmtId="225" fontId="127" fillId="5" borderId="0" xfId="2" applyNumberFormat="1" applyFont="1" applyFill="1" applyBorder="1" applyAlignment="1">
      <alignment horizontal="left"/>
    </xf>
    <xf numFmtId="204" fontId="127" fillId="5" borderId="0" xfId="2" applyNumberFormat="1" applyFont="1" applyFill="1" applyBorder="1" applyAlignment="1">
      <alignment horizontal="center"/>
    </xf>
    <xf numFmtId="196" fontId="127" fillId="17" borderId="0" xfId="2" applyNumberFormat="1" applyFont="1" applyFill="1" applyBorder="1" applyAlignment="1">
      <alignment horizontal="center"/>
    </xf>
    <xf numFmtId="197" fontId="127" fillId="17" borderId="0" xfId="2" applyNumberFormat="1" applyFont="1" applyFill="1" applyBorder="1" applyAlignment="1">
      <alignment horizontal="left"/>
    </xf>
    <xf numFmtId="198" fontId="127" fillId="17" borderId="0" xfId="2" quotePrefix="1" applyNumberFormat="1" applyFont="1" applyFill="1" applyBorder="1" applyAlignment="1">
      <alignment horizontal="left"/>
    </xf>
    <xf numFmtId="199" fontId="127" fillId="0" borderId="0" xfId="2" applyNumberFormat="1" applyFont="1" applyFill="1" applyAlignment="1">
      <alignment horizontal="left"/>
    </xf>
    <xf numFmtId="194" fontId="2" fillId="17" borderId="0" xfId="2" quotePrefix="1" applyNumberFormat="1" applyFont="1" applyFill="1" applyBorder="1" applyAlignment="1">
      <alignment horizontal="left"/>
    </xf>
    <xf numFmtId="194" fontId="2" fillId="17" borderId="0" xfId="2" applyNumberFormat="1" applyFont="1" applyFill="1" applyBorder="1" applyAlignment="1">
      <alignment horizontal="left"/>
    </xf>
    <xf numFmtId="200" fontId="2" fillId="17" borderId="0" xfId="2" applyNumberFormat="1" applyFont="1" applyFill="1" applyBorder="1" applyAlignment="1">
      <alignment horizontal="left"/>
    </xf>
    <xf numFmtId="186" fontId="2" fillId="17" borderId="0" xfId="2" quotePrefix="1" applyNumberFormat="1" applyFont="1" applyFill="1" applyBorder="1" applyAlignment="1">
      <alignment horizontal="left"/>
    </xf>
    <xf numFmtId="186" fontId="2" fillId="17" borderId="0" xfId="2" applyNumberFormat="1" applyFont="1" applyFill="1" applyBorder="1" applyAlignment="1">
      <alignment horizontal="left"/>
    </xf>
    <xf numFmtId="184" fontId="2" fillId="17" borderId="0" xfId="2" quotePrefix="1" applyNumberFormat="1" applyFont="1" applyFill="1" applyBorder="1" applyAlignment="1">
      <alignment horizontal="left"/>
    </xf>
    <xf numFmtId="184" fontId="2" fillId="17" borderId="0" xfId="2" applyNumberFormat="1" applyFont="1" applyFill="1" applyBorder="1" applyAlignment="1">
      <alignment horizontal="left"/>
    </xf>
    <xf numFmtId="209" fontId="127" fillId="5" borderId="0" xfId="2" quotePrefix="1" applyNumberFormat="1" applyFont="1" applyFill="1" applyBorder="1" applyAlignment="1">
      <alignment horizontal="center"/>
    </xf>
    <xf numFmtId="209" fontId="127" fillId="5" borderId="0" xfId="2" applyNumberFormat="1" applyFont="1" applyFill="1" applyBorder="1" applyAlignment="1">
      <alignment horizontal="center"/>
    </xf>
    <xf numFmtId="201" fontId="2" fillId="5" borderId="0" xfId="2" applyNumberFormat="1" applyFont="1" applyFill="1" applyBorder="1" applyAlignment="1">
      <alignment horizontal="left"/>
    </xf>
    <xf numFmtId="208" fontId="127" fillId="5" borderId="0" xfId="2" applyNumberFormat="1" applyFont="1" applyFill="1" applyBorder="1" applyAlignment="1">
      <alignment horizontal="left"/>
    </xf>
    <xf numFmtId="188" fontId="127" fillId="5" borderId="0" xfId="2" applyNumberFormat="1" applyFont="1" applyFill="1" applyBorder="1" applyAlignment="1">
      <alignment horizontal="center"/>
    </xf>
    <xf numFmtId="188" fontId="2" fillId="5" borderId="0" xfId="2" applyNumberFormat="1" applyFont="1" applyFill="1" applyBorder="1" applyAlignment="1">
      <alignment horizontal="center"/>
    </xf>
    <xf numFmtId="202" fontId="2" fillId="5" borderId="0" xfId="2" applyNumberFormat="1" applyFont="1" applyFill="1" applyBorder="1" applyAlignment="1">
      <alignment horizontal="left"/>
    </xf>
    <xf numFmtId="202" fontId="127" fillId="5" borderId="0" xfId="2" applyNumberFormat="1" applyFont="1" applyFill="1" applyBorder="1" applyAlignment="1">
      <alignment horizontal="center"/>
    </xf>
    <xf numFmtId="186" fontId="127" fillId="5" borderId="0" xfId="2" quotePrefix="1" applyNumberFormat="1" applyFont="1" applyFill="1" applyBorder="1" applyAlignment="1">
      <alignment horizontal="center"/>
    </xf>
    <xf numFmtId="186" fontId="127" fillId="5" borderId="0" xfId="2" applyNumberFormat="1" applyFont="1" applyFill="1" applyBorder="1" applyAlignment="1">
      <alignment horizontal="center"/>
    </xf>
    <xf numFmtId="202" fontId="127" fillId="5" borderId="0" xfId="2" quotePrefix="1" applyNumberFormat="1" applyFont="1" applyFill="1" applyBorder="1" applyAlignment="1">
      <alignment horizontal="center"/>
    </xf>
    <xf numFmtId="205" fontId="2" fillId="5" borderId="0" xfId="2" applyNumberFormat="1" applyFont="1" applyFill="1" applyBorder="1" applyAlignment="1">
      <alignment horizontal="center"/>
    </xf>
    <xf numFmtId="204" fontId="2" fillId="5" borderId="0" xfId="2" applyNumberFormat="1" applyFont="1" applyFill="1" applyBorder="1" applyAlignment="1">
      <alignment horizontal="center"/>
    </xf>
    <xf numFmtId="206" fontId="127" fillId="5" borderId="0" xfId="2" applyNumberFormat="1" applyFont="1" applyFill="1" applyBorder="1" applyAlignment="1">
      <alignment horizontal="left"/>
    </xf>
    <xf numFmtId="207" fontId="77" fillId="5" borderId="0" xfId="2" quotePrefix="1" applyNumberFormat="1" applyFont="1" applyFill="1" applyBorder="1" applyAlignment="1">
      <alignment horizontal="left"/>
    </xf>
    <xf numFmtId="184" fontId="70" fillId="17" borderId="0" xfId="2" quotePrefix="1" applyNumberFormat="1" applyFont="1" applyFill="1" applyBorder="1" applyAlignment="1">
      <alignment horizontal="left"/>
    </xf>
    <xf numFmtId="184" fontId="70" fillId="17" borderId="0" xfId="2" applyNumberFormat="1" applyFont="1" applyFill="1" applyBorder="1" applyAlignment="1">
      <alignment horizontal="left"/>
    </xf>
    <xf numFmtId="196" fontId="2" fillId="5" borderId="0" xfId="2" applyNumberFormat="1" applyFont="1" applyFill="1" applyBorder="1" applyAlignment="1">
      <alignment horizontal="center"/>
    </xf>
    <xf numFmtId="197" fontId="2" fillId="5" borderId="0" xfId="2" applyNumberFormat="1" applyFont="1" applyFill="1" applyBorder="1" applyAlignment="1">
      <alignment horizontal="center"/>
    </xf>
    <xf numFmtId="198" fontId="2" fillId="5" borderId="0" xfId="2" applyNumberFormat="1" applyFont="1" applyFill="1" applyBorder="1" applyAlignment="1">
      <alignment horizontal="center"/>
    </xf>
    <xf numFmtId="210" fontId="2" fillId="5" borderId="0" xfId="2" applyNumberFormat="1" applyFont="1" applyFill="1" applyBorder="1" applyAlignment="1">
      <alignment horizontal="center"/>
    </xf>
    <xf numFmtId="195" fontId="127" fillId="5" borderId="0" xfId="2" applyNumberFormat="1" applyFont="1" applyFill="1" applyBorder="1" applyAlignment="1">
      <alignment horizontal="center"/>
    </xf>
    <xf numFmtId="216" fontId="127" fillId="5" borderId="0" xfId="2" applyNumberFormat="1" applyFont="1" applyFill="1" applyBorder="1" applyAlignment="1">
      <alignment horizontal="center"/>
    </xf>
    <xf numFmtId="216" fontId="127" fillId="5" borderId="323" xfId="2" applyNumberFormat="1" applyFont="1" applyFill="1" applyBorder="1" applyAlignment="1">
      <alignment horizontal="center"/>
    </xf>
    <xf numFmtId="211" fontId="127" fillId="5" borderId="0" xfId="2" applyNumberFormat="1" applyFont="1" applyFill="1" applyBorder="1" applyAlignment="1">
      <alignment horizontal="center"/>
    </xf>
    <xf numFmtId="212" fontId="77" fillId="5" borderId="0" xfId="2" applyNumberFormat="1" applyFont="1" applyFill="1" applyBorder="1" applyAlignment="1">
      <alignment horizontal="right"/>
    </xf>
    <xf numFmtId="210" fontId="77" fillId="5" borderId="0" xfId="2" applyNumberFormat="1" applyFont="1" applyFill="1" applyBorder="1" applyAlignment="1">
      <alignment horizontal="center"/>
    </xf>
    <xf numFmtId="213" fontId="77" fillId="17" borderId="0" xfId="2" applyNumberFormat="1" applyFont="1" applyFill="1" applyBorder="1" applyAlignment="1">
      <alignment horizontal="left"/>
    </xf>
    <xf numFmtId="213" fontId="77" fillId="17" borderId="323" xfId="2" applyNumberFormat="1" applyFont="1" applyFill="1" applyBorder="1" applyAlignment="1">
      <alignment horizontal="left"/>
    </xf>
    <xf numFmtId="214" fontId="77" fillId="5" borderId="0" xfId="2" applyNumberFormat="1" applyFont="1" applyFill="1" applyBorder="1" applyAlignment="1">
      <alignment horizontal="center"/>
    </xf>
    <xf numFmtId="211" fontId="77" fillId="5" borderId="0" xfId="2" applyNumberFormat="1" applyFont="1" applyFill="1" applyBorder="1" applyAlignment="1">
      <alignment horizontal="center"/>
    </xf>
    <xf numFmtId="213" fontId="77" fillId="5" borderId="0" xfId="2" applyNumberFormat="1" applyFont="1" applyFill="1" applyBorder="1" applyAlignment="1">
      <alignment horizontal="center"/>
    </xf>
    <xf numFmtId="218" fontId="77" fillId="5" borderId="0" xfId="2" applyNumberFormat="1" applyFont="1" applyFill="1" applyBorder="1" applyAlignment="1">
      <alignment horizontal="center"/>
    </xf>
    <xf numFmtId="196" fontId="77" fillId="17" borderId="0" xfId="2" applyNumberFormat="1" applyFont="1" applyFill="1" applyBorder="1" applyAlignment="1">
      <alignment horizontal="center"/>
    </xf>
    <xf numFmtId="197" fontId="77" fillId="5" borderId="0" xfId="2" applyNumberFormat="1" applyFont="1" applyFill="1" applyBorder="1" applyAlignment="1">
      <alignment horizontal="center"/>
    </xf>
    <xf numFmtId="0" fontId="312" fillId="32" borderId="0" xfId="0" applyFont="1" applyFill="1" applyAlignment="1" applyProtection="1">
      <alignment horizontal="center"/>
    </xf>
    <xf numFmtId="0" fontId="346" fillId="32" borderId="0" xfId="0" applyFont="1" applyFill="1" applyAlignment="1" applyProtection="1">
      <alignment horizontal="right"/>
    </xf>
    <xf numFmtId="0" fontId="312" fillId="32" borderId="0" xfId="0" applyFont="1" applyFill="1" applyAlignment="1" applyProtection="1">
      <alignment horizontal="right"/>
    </xf>
    <xf numFmtId="0" fontId="347" fillId="17" borderId="146" xfId="0" applyFont="1" applyFill="1" applyBorder="1" applyAlignment="1" applyProtection="1">
      <alignment horizontal="left"/>
    </xf>
    <xf numFmtId="0" fontId="347" fillId="17" borderId="198" xfId="0" applyFont="1" applyFill="1" applyBorder="1" applyAlignment="1" applyProtection="1">
      <alignment horizontal="left"/>
    </xf>
    <xf numFmtId="0" fontId="348" fillId="17" borderId="146" xfId="0" applyFont="1" applyFill="1" applyBorder="1" applyAlignment="1" applyProtection="1">
      <alignment horizontal="left"/>
    </xf>
    <xf numFmtId="0" fontId="348" fillId="17" borderId="198" xfId="0" applyFont="1" applyFill="1" applyBorder="1" applyAlignment="1" applyProtection="1">
      <alignment horizontal="left"/>
    </xf>
    <xf numFmtId="0" fontId="147" fillId="17" borderId="197" xfId="0" applyFont="1" applyFill="1" applyBorder="1" applyAlignment="1" applyProtection="1">
      <alignment horizontal="left" vertical="center" wrapText="1"/>
    </xf>
    <xf numFmtId="0" fontId="147" fillId="17" borderId="146" xfId="0" applyFont="1" applyFill="1" applyBorder="1" applyAlignment="1" applyProtection="1">
      <alignment horizontal="left" vertical="center" wrapText="1"/>
    </xf>
    <xf numFmtId="0" fontId="147" fillId="17" borderId="198" xfId="0" applyFont="1" applyFill="1" applyBorder="1" applyAlignment="1" applyProtection="1">
      <alignment horizontal="left" vertical="center" wrapText="1"/>
    </xf>
    <xf numFmtId="0" fontId="346" fillId="32" borderId="0" xfId="0" applyFont="1" applyFill="1" applyAlignment="1" applyProtection="1">
      <alignment horizontal="left"/>
    </xf>
    <xf numFmtId="0" fontId="349" fillId="32" borderId="0" xfId="0" applyFont="1" applyFill="1" applyBorder="1" applyAlignment="1" applyProtection="1">
      <alignment horizontal="left" vertical="top" wrapText="1"/>
    </xf>
    <xf numFmtId="0" fontId="349" fillId="32" borderId="173" xfId="0" applyFont="1" applyFill="1" applyBorder="1" applyAlignment="1" applyProtection="1">
      <alignment horizontal="left" vertical="top" wrapText="1"/>
    </xf>
    <xf numFmtId="0" fontId="349" fillId="32" borderId="0" xfId="0" applyFont="1" applyFill="1" applyAlignment="1" applyProtection="1">
      <alignment horizontal="center" vertical="top" wrapText="1"/>
    </xf>
    <xf numFmtId="0" fontId="349" fillId="32" borderId="173" xfId="0" applyFont="1" applyFill="1" applyBorder="1" applyAlignment="1" applyProtection="1">
      <alignment horizontal="center" vertical="top" wrapText="1"/>
    </xf>
    <xf numFmtId="0" fontId="346" fillId="32" borderId="0" xfId="0" applyFont="1" applyFill="1" applyAlignment="1" applyProtection="1">
      <alignment horizontal="center"/>
    </xf>
    <xf numFmtId="0" fontId="349" fillId="32" borderId="0" xfId="0" applyFont="1" applyFill="1" applyAlignment="1" applyProtection="1">
      <alignment horizontal="center"/>
    </xf>
    <xf numFmtId="0" fontId="350" fillId="32" borderId="0" xfId="0" applyFont="1" applyFill="1" applyAlignment="1" applyProtection="1">
      <alignment horizontal="center"/>
    </xf>
    <xf numFmtId="0" fontId="73" fillId="5" borderId="51" xfId="0" applyFont="1" applyFill="1" applyBorder="1" applyAlignment="1">
      <alignment horizontal="left" wrapText="1"/>
    </xf>
    <xf numFmtId="0" fontId="90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7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8" xfId="0" applyNumberFormat="1" applyFont="1" applyFill="1" applyBorder="1" applyAlignment="1" applyProtection="1">
      <alignment horizontal="center" vertical="center"/>
      <protection locked="0" hidden="1"/>
    </xf>
    <xf numFmtId="0" fontId="191" fillId="16" borderId="146" xfId="0" applyFont="1" applyFill="1" applyBorder="1" applyAlignment="1" applyProtection="1">
      <alignment horizontal="center"/>
      <protection locked="0" hidden="1"/>
    </xf>
    <xf numFmtId="4" fontId="62" fillId="17" borderId="267" xfId="0" applyNumberFormat="1" applyFont="1" applyFill="1" applyBorder="1" applyAlignment="1" applyProtection="1">
      <alignment horizontal="center"/>
    </xf>
    <xf numFmtId="4" fontId="62" fillId="17" borderId="329" xfId="0" applyNumberFormat="1" applyFont="1" applyFill="1" applyBorder="1" applyAlignment="1" applyProtection="1">
      <alignment horizontal="center"/>
    </xf>
    <xf numFmtId="0" fontId="351" fillId="32" borderId="0" xfId="0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267" xfId="0" applyNumberFormat="1" applyFont="1" applyFill="1" applyBorder="1" applyAlignment="1" applyProtection="1">
      <alignment horizontal="center" vertical="center"/>
    </xf>
    <xf numFmtId="4" fontId="49" fillId="11" borderId="329" xfId="0" applyNumberFormat="1" applyFont="1" applyFill="1" applyBorder="1" applyAlignment="1" applyProtection="1">
      <alignment horizontal="center" vertical="center"/>
    </xf>
    <xf numFmtId="4" fontId="49" fillId="11" borderId="89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9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267" xfId="0" applyNumberFormat="1" applyFont="1" applyFill="1" applyBorder="1" applyAlignment="1" applyProtection="1">
      <alignment horizontal="center" vertical="center"/>
    </xf>
    <xf numFmtId="4" fontId="32" fillId="3" borderId="329" xfId="0" applyNumberFormat="1" applyFont="1" applyFill="1" applyBorder="1" applyAlignment="1" applyProtection="1">
      <alignment horizontal="center" vertical="center"/>
    </xf>
    <xf numFmtId="4" fontId="32" fillId="3" borderId="89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9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267" xfId="0" applyNumberFormat="1" applyFont="1" applyFill="1" applyBorder="1" applyAlignment="1" applyProtection="1">
      <alignment horizontal="center" vertical="center"/>
    </xf>
    <xf numFmtId="4" fontId="41" fillId="7" borderId="329" xfId="0" applyNumberFormat="1" applyFont="1" applyFill="1" applyBorder="1" applyAlignment="1" applyProtection="1">
      <alignment horizontal="center" vertical="center"/>
    </xf>
    <xf numFmtId="4" fontId="41" fillId="7" borderId="89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93" xfId="0" applyNumberFormat="1" applyFont="1" applyFill="1" applyBorder="1" applyAlignment="1" applyProtection="1">
      <alignment horizontal="center" vertical="center"/>
    </xf>
    <xf numFmtId="4" fontId="62" fillId="17" borderId="330" xfId="0" applyNumberFormat="1" applyFont="1" applyFill="1" applyBorder="1" applyAlignment="1" applyProtection="1">
      <alignment horizontal="center"/>
    </xf>
    <xf numFmtId="0" fontId="352" fillId="6" borderId="170" xfId="0" applyFont="1" applyFill="1" applyBorder="1" applyAlignment="1" applyProtection="1">
      <alignment horizontal="center"/>
    </xf>
    <xf numFmtId="0" fontId="352" fillId="6" borderId="248" xfId="0" applyFont="1" applyFill="1" applyBorder="1" applyAlignment="1" applyProtection="1">
      <alignment horizontal="center"/>
    </xf>
    <xf numFmtId="164" fontId="48" fillId="16" borderId="197" xfId="9" applyNumberFormat="1" applyFont="1" applyFill="1" applyBorder="1" applyAlignment="1" applyProtection="1">
      <alignment horizontal="center" vertical="center"/>
      <protection locked="0"/>
    </xf>
    <xf numFmtId="164" fontId="48" fillId="16" borderId="146" xfId="9" applyNumberFormat="1" applyFont="1" applyFill="1" applyBorder="1" applyAlignment="1" applyProtection="1">
      <alignment horizontal="center" vertical="center"/>
      <protection locked="0"/>
    </xf>
    <xf numFmtId="164" fontId="48" fillId="16" borderId="198" xfId="9" applyNumberFormat="1" applyFont="1" applyFill="1" applyBorder="1" applyAlignment="1" applyProtection="1">
      <alignment horizontal="center" vertical="center"/>
      <protection locked="0"/>
    </xf>
    <xf numFmtId="177" fontId="8" fillId="5" borderId="197" xfId="9" applyNumberFormat="1" applyFont="1" applyFill="1" applyBorder="1" applyAlignment="1" applyProtection="1">
      <alignment horizontal="center" vertical="center"/>
      <protection locked="0"/>
    </xf>
    <xf numFmtId="177" fontId="8" fillId="5" borderId="146" xfId="9" applyNumberFormat="1" applyFont="1" applyFill="1" applyBorder="1" applyAlignment="1" applyProtection="1">
      <alignment horizontal="center" vertical="center"/>
      <protection locked="0"/>
    </xf>
    <xf numFmtId="177" fontId="8" fillId="5" borderId="198" xfId="9" applyNumberFormat="1" applyFont="1" applyFill="1" applyBorder="1" applyAlignment="1" applyProtection="1">
      <alignment horizontal="center" vertical="center"/>
      <protection locked="0"/>
    </xf>
    <xf numFmtId="0" fontId="353" fillId="5" borderId="197" xfId="11" applyNumberFormat="1" applyFont="1" applyFill="1" applyBorder="1" applyAlignment="1" applyProtection="1">
      <alignment horizontal="center" vertical="center"/>
      <protection locked="0"/>
    </xf>
    <xf numFmtId="0" fontId="22" fillId="5" borderId="146" xfId="0" applyNumberFormat="1" applyFont="1" applyFill="1" applyBorder="1" applyAlignment="1" applyProtection="1">
      <alignment horizontal="center" vertical="center"/>
      <protection locked="0"/>
    </xf>
    <xf numFmtId="0" fontId="22" fillId="5" borderId="198" xfId="0" applyNumberFormat="1" applyFont="1" applyFill="1" applyBorder="1" applyAlignment="1" applyProtection="1">
      <alignment horizontal="center" vertical="center"/>
      <protection locked="0"/>
    </xf>
    <xf numFmtId="0" fontId="2" fillId="5" borderId="197" xfId="0" applyFont="1" applyFill="1" applyBorder="1" applyAlignment="1" applyProtection="1">
      <alignment horizontal="center" vertical="center"/>
      <protection locked="0"/>
    </xf>
    <xf numFmtId="0" fontId="2" fillId="5" borderId="198" xfId="0" applyFont="1" applyFill="1" applyBorder="1" applyAlignment="1" applyProtection="1">
      <alignment horizontal="center" vertical="center"/>
      <protection locked="0"/>
    </xf>
    <xf numFmtId="0" fontId="255" fillId="5" borderId="197" xfId="0" applyFont="1" applyFill="1" applyBorder="1" applyAlignment="1" applyProtection="1">
      <alignment horizontal="center" vertical="center"/>
      <protection locked="0"/>
    </xf>
    <xf numFmtId="0" fontId="255" fillId="5" borderId="146" xfId="0" applyFont="1" applyFill="1" applyBorder="1" applyAlignment="1" applyProtection="1">
      <alignment horizontal="center" vertical="center"/>
      <protection locked="0"/>
    </xf>
    <xf numFmtId="1" fontId="298" fillId="23" borderId="197" xfId="1" applyNumberFormat="1" applyFont="1" applyFill="1" applyBorder="1" applyAlignment="1" applyProtection="1">
      <alignment horizontal="center" vertical="center"/>
      <protection locked="0"/>
    </xf>
    <xf numFmtId="1" fontId="298" fillId="23" borderId="198" xfId="1" applyNumberFormat="1" applyFont="1" applyFill="1" applyBorder="1" applyAlignment="1" applyProtection="1">
      <alignment horizontal="center" vertical="center"/>
      <protection locked="0"/>
    </xf>
    <xf numFmtId="0" fontId="77" fillId="17" borderId="197" xfId="0" applyFont="1" applyFill="1" applyBorder="1" applyAlignment="1" applyProtection="1">
      <alignment horizontal="center" vertical="center"/>
      <protection locked="0"/>
    </xf>
    <xf numFmtId="0" fontId="77" fillId="17" borderId="146" xfId="0" applyFont="1" applyFill="1" applyBorder="1" applyAlignment="1" applyProtection="1">
      <alignment horizontal="center" vertical="center"/>
      <protection locked="0"/>
    </xf>
    <xf numFmtId="0" fontId="77" fillId="17" borderId="198" xfId="0" applyFont="1" applyFill="1" applyBorder="1" applyAlignment="1" applyProtection="1">
      <alignment horizontal="center" vertical="center"/>
      <protection locked="0"/>
    </xf>
    <xf numFmtId="0" fontId="354" fillId="37" borderId="0" xfId="0" applyFont="1" applyFill="1" applyAlignment="1">
      <alignment horizontal="right" vertical="center" wrapText="1"/>
    </xf>
    <xf numFmtId="0" fontId="23" fillId="16" borderId="146" xfId="0" applyFont="1" applyFill="1" applyBorder="1" applyAlignment="1" applyProtection="1">
      <alignment horizontal="center"/>
    </xf>
    <xf numFmtId="38" fontId="323" fillId="32" borderId="0" xfId="9" applyNumberFormat="1" applyFont="1" applyFill="1" applyBorder="1" applyAlignment="1" applyProtection="1">
      <alignment horizontal="center" vertical="center" wrapText="1"/>
    </xf>
    <xf numFmtId="215" fontId="8" fillId="5" borderId="197" xfId="0" applyNumberFormat="1" applyFont="1" applyFill="1" applyBorder="1" applyAlignment="1" applyProtection="1">
      <alignment horizontal="center" vertical="center"/>
    </xf>
    <xf numFmtId="215" fontId="8" fillId="5" borderId="198" xfId="0" applyNumberFormat="1" applyFont="1" applyFill="1" applyBorder="1" applyAlignment="1" applyProtection="1">
      <alignment horizontal="center" vertical="center"/>
    </xf>
    <xf numFmtId="164" fontId="74" fillId="16" borderId="197" xfId="9" applyNumberFormat="1" applyFont="1" applyFill="1" applyBorder="1" applyAlignment="1" applyProtection="1">
      <alignment horizontal="center" vertical="center"/>
    </xf>
    <xf numFmtId="164" fontId="74" fillId="16" borderId="146" xfId="9" applyNumberFormat="1" applyFont="1" applyFill="1" applyBorder="1" applyAlignment="1" applyProtection="1">
      <alignment horizontal="center" vertical="center"/>
    </xf>
    <xf numFmtId="164" fontId="74" fillId="16" borderId="198" xfId="9" applyNumberFormat="1" applyFont="1" applyFill="1" applyBorder="1" applyAlignment="1" applyProtection="1">
      <alignment horizontal="center" vertical="center"/>
    </xf>
    <xf numFmtId="177" fontId="8" fillId="5" borderId="197" xfId="9" applyNumberFormat="1" applyFont="1" applyFill="1" applyBorder="1" applyAlignment="1" applyProtection="1">
      <alignment horizontal="center" vertical="center"/>
    </xf>
    <xf numFmtId="177" fontId="8" fillId="5" borderId="146" xfId="9" applyNumberFormat="1" applyFont="1" applyFill="1" applyBorder="1" applyAlignment="1" applyProtection="1">
      <alignment horizontal="center" vertical="center"/>
    </xf>
    <xf numFmtId="177" fontId="8" fillId="5" borderId="198" xfId="9" applyNumberFormat="1" applyFont="1" applyFill="1" applyBorder="1" applyAlignment="1" applyProtection="1">
      <alignment horizontal="center" vertical="center"/>
    </xf>
    <xf numFmtId="0" fontId="255" fillId="5" borderId="197" xfId="0" applyNumberFormat="1" applyFont="1" applyFill="1" applyBorder="1" applyAlignment="1" applyProtection="1">
      <alignment horizontal="center" vertical="center"/>
    </xf>
    <xf numFmtId="0" fontId="255" fillId="5" borderId="146" xfId="0" applyNumberFormat="1" applyFont="1" applyFill="1" applyBorder="1" applyAlignment="1" applyProtection="1">
      <alignment horizontal="center" vertical="center"/>
    </xf>
    <xf numFmtId="0" fontId="255" fillId="5" borderId="198" xfId="0" applyNumberFormat="1" applyFont="1" applyFill="1" applyBorder="1" applyAlignment="1" applyProtection="1">
      <alignment horizontal="center" vertical="center"/>
    </xf>
    <xf numFmtId="0" fontId="2" fillId="5" borderId="197" xfId="0" applyNumberFormat="1" applyFont="1" applyFill="1" applyBorder="1" applyAlignment="1" applyProtection="1">
      <alignment horizontal="center" vertical="center"/>
    </xf>
    <xf numFmtId="0" fontId="2" fillId="5" borderId="198" xfId="0" applyNumberFormat="1" applyFont="1" applyFill="1" applyBorder="1" applyAlignment="1" applyProtection="1">
      <alignment horizontal="center" vertical="center"/>
    </xf>
    <xf numFmtId="0" fontId="354" fillId="37" borderId="0" xfId="0" applyFont="1" applyFill="1" applyAlignment="1" applyProtection="1">
      <alignment horizontal="right" vertical="center" wrapText="1"/>
    </xf>
    <xf numFmtId="1" fontId="298" fillId="23" borderId="197" xfId="1" applyNumberFormat="1" applyFont="1" applyFill="1" applyBorder="1" applyAlignment="1" applyProtection="1">
      <alignment horizontal="center" vertical="center"/>
    </xf>
    <xf numFmtId="1" fontId="298" fillId="23" borderId="198" xfId="1" applyNumberFormat="1" applyFont="1" applyFill="1" applyBorder="1" applyAlignment="1" applyProtection="1">
      <alignment horizontal="center" vertical="center"/>
    </xf>
    <xf numFmtId="0" fontId="77" fillId="17" borderId="197" xfId="0" applyFont="1" applyFill="1" applyBorder="1" applyAlignment="1" applyProtection="1">
      <alignment horizontal="center" vertical="center"/>
    </xf>
    <xf numFmtId="0" fontId="77" fillId="17" borderId="146" xfId="0" applyFont="1" applyFill="1" applyBorder="1" applyAlignment="1" applyProtection="1">
      <alignment horizontal="center" vertical="center"/>
    </xf>
    <xf numFmtId="0" fontId="77" fillId="17" borderId="198" xfId="0" applyFont="1" applyFill="1" applyBorder="1" applyAlignment="1" applyProtection="1">
      <alignment horizontal="center" vertical="center"/>
    </xf>
    <xf numFmtId="177" fontId="2" fillId="5" borderId="197" xfId="8" applyNumberFormat="1" applyFont="1" applyFill="1" applyBorder="1" applyAlignment="1" applyProtection="1">
      <alignment horizontal="center" vertical="center"/>
    </xf>
    <xf numFmtId="177" fontId="2" fillId="5" borderId="198" xfId="8" applyNumberFormat="1" applyFont="1" applyFill="1" applyBorder="1" applyAlignment="1" applyProtection="1">
      <alignment horizontal="center" vertical="center"/>
    </xf>
    <xf numFmtId="0" fontId="2" fillId="5" borderId="211" xfId="8" applyFont="1" applyFill="1" applyBorder="1" applyAlignment="1" applyProtection="1">
      <alignment horizontal="center" wrapText="1"/>
    </xf>
    <xf numFmtId="0" fontId="2" fillId="5" borderId="177" xfId="8" applyFont="1" applyFill="1" applyBorder="1" applyAlignment="1" applyProtection="1">
      <alignment horizontal="center" wrapText="1"/>
    </xf>
    <xf numFmtId="0" fontId="2" fillId="5" borderId="212" xfId="8" applyFont="1" applyFill="1" applyBorder="1" applyAlignment="1" applyProtection="1">
      <alignment horizontal="center" wrapText="1"/>
    </xf>
    <xf numFmtId="0" fontId="198" fillId="5" borderId="174" xfId="8" applyFont="1" applyFill="1" applyBorder="1" applyAlignment="1" applyProtection="1">
      <alignment horizontal="center" vertical="center" wrapText="1"/>
    </xf>
    <xf numFmtId="0" fontId="198" fillId="5" borderId="11" xfId="8" applyFont="1" applyFill="1" applyBorder="1" applyAlignment="1" applyProtection="1">
      <alignment horizontal="center" vertical="center" wrapText="1"/>
    </xf>
    <xf numFmtId="0" fontId="198" fillId="5" borderId="175" xfId="8" applyFont="1" applyFill="1" applyBorder="1" applyAlignment="1" applyProtection="1">
      <alignment horizontal="center" vertical="center" wrapText="1"/>
    </xf>
    <xf numFmtId="38" fontId="2" fillId="21" borderId="85" xfId="9" applyNumberFormat="1" applyFont="1" applyFill="1" applyBorder="1" applyAlignment="1" applyProtection="1">
      <alignment horizontal="center" vertical="center"/>
    </xf>
    <xf numFmtId="38" fontId="2" fillId="21" borderId="191" xfId="9" applyNumberFormat="1" applyFont="1" applyFill="1" applyBorder="1" applyAlignment="1" applyProtection="1">
      <alignment horizontal="center" vertical="center"/>
    </xf>
    <xf numFmtId="0" fontId="255" fillId="5" borderId="197" xfId="8" applyFont="1" applyFill="1" applyBorder="1" applyAlignment="1" applyProtection="1">
      <alignment horizontal="center" vertical="center"/>
    </xf>
    <xf numFmtId="0" fontId="255" fillId="5" borderId="198" xfId="8" applyFont="1" applyFill="1" applyBorder="1" applyAlignment="1" applyProtection="1">
      <alignment horizontal="center" vertical="center"/>
    </xf>
    <xf numFmtId="0" fontId="355" fillId="16" borderId="197" xfId="8" applyFont="1" applyFill="1" applyBorder="1" applyAlignment="1" applyProtection="1">
      <alignment horizontal="center"/>
      <protection locked="0"/>
    </xf>
    <xf numFmtId="0" fontId="355" fillId="16" borderId="198" xfId="8" applyFont="1" applyFill="1" applyBorder="1" applyAlignment="1" applyProtection="1">
      <alignment horizontal="center"/>
      <protection locked="0"/>
    </xf>
    <xf numFmtId="0" fontId="356" fillId="16" borderId="197" xfId="8" applyFont="1" applyFill="1" applyBorder="1" applyAlignment="1" applyProtection="1">
      <alignment horizontal="center"/>
      <protection locked="0"/>
    </xf>
    <xf numFmtId="0" fontId="356" fillId="16" borderId="146" xfId="8" applyFont="1" applyFill="1" applyBorder="1" applyAlignment="1" applyProtection="1">
      <alignment horizontal="center"/>
      <protection locked="0"/>
    </xf>
    <xf numFmtId="0" fontId="356" fillId="16" borderId="198" xfId="8" applyFont="1" applyFill="1" applyBorder="1" applyAlignment="1" applyProtection="1">
      <alignment horizontal="center"/>
      <protection locked="0"/>
    </xf>
    <xf numFmtId="167" fontId="2" fillId="21" borderId="268" xfId="9" applyNumberFormat="1" applyFont="1" applyFill="1" applyBorder="1" applyAlignment="1" applyProtection="1">
      <alignment horizontal="center" vertical="center" textRotation="90" wrapText="1"/>
    </xf>
    <xf numFmtId="167" fontId="2" fillId="21" borderId="85" xfId="9" applyNumberFormat="1" applyFont="1" applyFill="1" applyBorder="1" applyAlignment="1" applyProtection="1">
      <alignment horizontal="center" vertical="center" textRotation="90" wrapText="1"/>
    </xf>
    <xf numFmtId="167" fontId="2" fillId="21" borderId="191" xfId="9" applyNumberFormat="1" applyFont="1" applyFill="1" applyBorder="1" applyAlignment="1" applyProtection="1">
      <alignment horizontal="center" vertical="center" textRotation="90" wrapText="1"/>
    </xf>
    <xf numFmtId="167" fontId="2" fillId="48" borderId="268" xfId="9" applyNumberFormat="1" applyFont="1" applyFill="1" applyBorder="1" applyAlignment="1" applyProtection="1">
      <alignment horizontal="center" vertical="center" textRotation="90" wrapText="1"/>
    </xf>
    <xf numFmtId="167" fontId="2" fillId="48" borderId="85" xfId="9" applyNumberFormat="1" applyFont="1" applyFill="1" applyBorder="1" applyAlignment="1" applyProtection="1">
      <alignment horizontal="center" vertical="center" textRotation="90" wrapText="1"/>
    </xf>
    <xf numFmtId="167" fontId="2" fillId="48" borderId="191" xfId="9" applyNumberFormat="1" applyFont="1" applyFill="1" applyBorder="1" applyAlignment="1" applyProtection="1">
      <alignment horizontal="center" vertical="center" textRotation="90" wrapText="1"/>
    </xf>
    <xf numFmtId="0" fontId="3" fillId="13" borderId="172" xfId="8" applyFont="1" applyFill="1" applyBorder="1" applyAlignment="1" applyProtection="1">
      <alignment horizontal="center" vertical="top"/>
    </xf>
    <xf numFmtId="0" fontId="3" fillId="13" borderId="0" xfId="8" applyFont="1" applyFill="1" applyBorder="1" applyAlignment="1" applyProtection="1">
      <alignment horizontal="center" vertical="top"/>
    </xf>
    <xf numFmtId="0" fontId="3" fillId="13" borderId="173" xfId="8" applyFont="1" applyFill="1" applyBorder="1" applyAlignment="1" applyProtection="1">
      <alignment horizontal="center" vertical="top"/>
    </xf>
    <xf numFmtId="0" fontId="255" fillId="5" borderId="146" xfId="8" applyFont="1" applyFill="1" applyBorder="1" applyAlignment="1" applyProtection="1">
      <alignment horizontal="center" vertical="center"/>
    </xf>
    <xf numFmtId="168" fontId="2" fillId="5" borderId="82" xfId="8" applyNumberFormat="1" applyFont="1" applyFill="1" applyBorder="1" applyAlignment="1" applyProtection="1">
      <alignment horizontal="center" vertical="center"/>
    </xf>
    <xf numFmtId="168" fontId="2" fillId="5" borderId="83" xfId="8" applyNumberFormat="1" applyFont="1" applyFill="1" applyBorder="1" applyAlignment="1" applyProtection="1">
      <alignment horizontal="center" vertical="center"/>
    </xf>
    <xf numFmtId="168" fontId="2" fillId="5" borderId="162" xfId="8" applyNumberFormat="1" applyFont="1" applyFill="1" applyBorder="1" applyAlignment="1" applyProtection="1">
      <alignment horizontal="center" vertical="center"/>
    </xf>
    <xf numFmtId="168" fontId="2" fillId="5" borderId="84" xfId="8" applyNumberFormat="1" applyFont="1" applyFill="1" applyBorder="1" applyAlignment="1" applyProtection="1">
      <alignment horizontal="center" vertical="center"/>
    </xf>
    <xf numFmtId="0" fontId="2" fillId="5" borderId="82" xfId="8" applyFont="1" applyFill="1" applyBorder="1" applyAlignment="1" applyProtection="1">
      <alignment horizontal="center" vertical="center"/>
    </xf>
    <xf numFmtId="0" fontId="2" fillId="5" borderId="83" xfId="8" applyFont="1" applyFill="1" applyBorder="1" applyAlignment="1" applyProtection="1">
      <alignment horizontal="center" vertical="center"/>
    </xf>
    <xf numFmtId="0" fontId="2" fillId="5" borderId="162" xfId="8" applyFont="1" applyFill="1" applyBorder="1" applyAlignment="1" applyProtection="1">
      <alignment horizontal="center" vertical="center"/>
    </xf>
    <xf numFmtId="0" fontId="2" fillId="5" borderId="84" xfId="8" applyFont="1" applyFill="1" applyBorder="1" applyAlignment="1" applyProtection="1">
      <alignment horizontal="center" vertical="center"/>
    </xf>
    <xf numFmtId="164" fontId="48" fillId="16" borderId="197" xfId="9" applyNumberFormat="1" applyFont="1" applyFill="1" applyBorder="1" applyAlignment="1" applyProtection="1">
      <alignment horizontal="center" vertical="center"/>
    </xf>
    <xf numFmtId="164" fontId="48" fillId="16" borderId="146" xfId="9" applyNumberFormat="1" applyFont="1" applyFill="1" applyBorder="1" applyAlignment="1" applyProtection="1">
      <alignment horizontal="center" vertical="center"/>
    </xf>
    <xf numFmtId="164" fontId="48" fillId="16" borderId="198" xfId="9" applyNumberFormat="1" applyFont="1" applyFill="1" applyBorder="1" applyAlignment="1" applyProtection="1">
      <alignment horizontal="center" vertical="center"/>
    </xf>
    <xf numFmtId="4" fontId="137" fillId="17" borderId="252" xfId="0" applyNumberFormat="1" applyFont="1" applyFill="1" applyBorder="1" applyAlignment="1" applyProtection="1">
      <alignment horizontal="center" vertical="center" wrapText="1"/>
    </xf>
    <xf numFmtId="4" fontId="137" fillId="17" borderId="218" xfId="0" applyNumberFormat="1" applyFont="1" applyFill="1" applyBorder="1" applyAlignment="1" applyProtection="1">
      <alignment horizontal="center" vertical="center" wrapText="1"/>
    </xf>
    <xf numFmtId="4" fontId="137" fillId="17" borderId="315" xfId="0" applyNumberFormat="1" applyFont="1" applyFill="1" applyBorder="1" applyAlignment="1" applyProtection="1">
      <alignment horizontal="center" vertical="center" wrapText="1"/>
    </xf>
    <xf numFmtId="0" fontId="357" fillId="43" borderId="0" xfId="0" applyFont="1" applyFill="1" applyAlignment="1" applyProtection="1">
      <alignment horizontal="left"/>
    </xf>
    <xf numFmtId="215" fontId="48" fillId="5" borderId="197" xfId="0" applyNumberFormat="1" applyFont="1" applyFill="1" applyBorder="1" applyAlignment="1" applyProtection="1">
      <alignment horizontal="center" vertical="center"/>
    </xf>
    <xf numFmtId="215" fontId="48" fillId="5" borderId="198" xfId="0" applyNumberFormat="1" applyFont="1" applyFill="1" applyBorder="1" applyAlignment="1" applyProtection="1">
      <alignment horizontal="center" vertical="center"/>
    </xf>
    <xf numFmtId="0" fontId="191" fillId="16" borderId="146" xfId="0" applyFont="1" applyFill="1" applyBorder="1" applyAlignment="1" applyProtection="1">
      <alignment horizontal="center"/>
    </xf>
    <xf numFmtId="186" fontId="339" fillId="50" borderId="344" xfId="0" quotePrefix="1" applyNumberFormat="1" applyFont="1" applyFill="1" applyBorder="1" applyAlignment="1" applyProtection="1">
      <alignment horizontal="left"/>
    </xf>
    <xf numFmtId="186" fontId="339" fillId="50" borderId="344" xfId="0" applyNumberFormat="1" applyFont="1" applyFill="1" applyBorder="1" applyAlignment="1" applyProtection="1">
      <alignment horizontal="left"/>
    </xf>
    <xf numFmtId="190" fontId="358" fillId="17" borderId="172" xfId="0" quotePrefix="1" applyNumberFormat="1" applyFont="1" applyFill="1" applyBorder="1" applyAlignment="1" applyProtection="1">
      <alignment horizontal="left"/>
    </xf>
    <xf numFmtId="190" fontId="358" fillId="17" borderId="0" xfId="0" applyNumberFormat="1" applyFont="1" applyFill="1" applyBorder="1" applyAlignment="1" applyProtection="1">
      <alignment horizontal="left"/>
    </xf>
    <xf numFmtId="191" fontId="358" fillId="17" borderId="0" xfId="0" quotePrefix="1" applyNumberFormat="1" applyFont="1" applyFill="1" applyBorder="1" applyAlignment="1" applyProtection="1">
      <alignment horizontal="center"/>
    </xf>
    <xf numFmtId="191" fontId="358" fillId="17" borderId="0" xfId="0" applyNumberFormat="1" applyFont="1" applyFill="1" applyBorder="1" applyAlignment="1" applyProtection="1">
      <alignment horizontal="center"/>
    </xf>
    <xf numFmtId="188" fontId="359" fillId="42" borderId="0" xfId="0" applyNumberFormat="1" applyFont="1" applyFill="1" applyBorder="1" applyAlignment="1" applyProtection="1">
      <alignment horizontal="center"/>
    </xf>
    <xf numFmtId="189" fontId="339" fillId="42" borderId="0" xfId="0" quotePrefix="1" applyNumberFormat="1" applyFont="1" applyFill="1" applyBorder="1" applyAlignment="1" applyProtection="1">
      <alignment horizontal="left"/>
    </xf>
    <xf numFmtId="189" fontId="339" fillId="42" borderId="0" xfId="0" applyNumberFormat="1" applyFont="1" applyFill="1" applyBorder="1" applyAlignment="1" applyProtection="1">
      <alignment horizontal="left"/>
    </xf>
    <xf numFmtId="189" fontId="339" fillId="42" borderId="350" xfId="0" applyNumberFormat="1" applyFont="1" applyFill="1" applyBorder="1" applyAlignment="1" applyProtection="1">
      <alignment horizontal="left"/>
    </xf>
    <xf numFmtId="0" fontId="193" fillId="16" borderId="146" xfId="0" applyFont="1" applyFill="1" applyBorder="1" applyAlignment="1" applyProtection="1">
      <alignment horizontal="center"/>
    </xf>
    <xf numFmtId="227" fontId="277" fillId="34" borderId="197" xfId="0" applyNumberFormat="1" applyFont="1" applyFill="1" applyBorder="1" applyAlignment="1" applyProtection="1">
      <alignment horizontal="center"/>
    </xf>
    <xf numFmtId="227" fontId="277" fillId="34" borderId="146" xfId="0" applyNumberFormat="1" applyFont="1" applyFill="1" applyBorder="1" applyAlignment="1" applyProtection="1">
      <alignment horizontal="center"/>
    </xf>
    <xf numFmtId="193" fontId="339" fillId="42" borderId="0" xfId="0" applyNumberFormat="1" applyFont="1" applyFill="1" applyBorder="1" applyAlignment="1" applyProtection="1">
      <alignment horizontal="center"/>
    </xf>
    <xf numFmtId="184" fontId="343" fillId="16" borderId="0" xfId="0" applyNumberFormat="1" applyFont="1" applyFill="1" applyBorder="1" applyAlignment="1" applyProtection="1">
      <alignment horizontal="center"/>
    </xf>
    <xf numFmtId="0" fontId="341" fillId="17" borderId="169" xfId="0" applyFont="1" applyFill="1" applyBorder="1" applyAlignment="1" applyProtection="1">
      <alignment horizontal="center" vertical="center"/>
    </xf>
    <xf numFmtId="0" fontId="341" fillId="17" borderId="171" xfId="0" applyFont="1" applyFill="1" applyBorder="1" applyAlignment="1" applyProtection="1">
      <alignment horizontal="center" vertical="center"/>
    </xf>
    <xf numFmtId="228" fontId="342" fillId="17" borderId="174" xfId="0" applyNumberFormat="1" applyFont="1" applyFill="1" applyBorder="1" applyAlignment="1" applyProtection="1">
      <alignment horizontal="center"/>
    </xf>
    <xf numFmtId="228" fontId="342" fillId="17" borderId="175" xfId="0" applyNumberFormat="1" applyFont="1" applyFill="1" applyBorder="1" applyAlignment="1" applyProtection="1">
      <alignment horizontal="center"/>
    </xf>
    <xf numFmtId="176" fontId="289" fillId="34" borderId="194" xfId="0" applyNumberFormat="1" applyFont="1" applyFill="1" applyBorder="1" applyAlignment="1" applyProtection="1">
      <alignment horizontal="center"/>
    </xf>
    <xf numFmtId="176" fontId="289" fillId="34" borderId="195" xfId="0" applyNumberFormat="1" applyFont="1" applyFill="1" applyBorder="1" applyAlignment="1" applyProtection="1">
      <alignment horizontal="center"/>
    </xf>
    <xf numFmtId="4" fontId="160" fillId="32" borderId="170" xfId="0" applyNumberFormat="1" applyFont="1" applyFill="1" applyBorder="1" applyAlignment="1" applyProtection="1">
      <alignment horizontal="center"/>
    </xf>
    <xf numFmtId="4" fontId="167" fillId="32" borderId="0" xfId="0" applyNumberFormat="1" applyFont="1" applyFill="1" applyBorder="1" applyAlignment="1" applyProtection="1">
      <alignment horizontal="center"/>
    </xf>
    <xf numFmtId="177" fontId="48" fillId="13" borderId="197" xfId="8" applyNumberFormat="1" applyFont="1" applyFill="1" applyBorder="1" applyAlignment="1" applyProtection="1">
      <alignment horizontal="center" vertical="center"/>
    </xf>
    <xf numFmtId="177" fontId="48" fillId="13" borderId="198" xfId="8" applyNumberFormat="1" applyFont="1" applyFill="1" applyBorder="1" applyAlignment="1" applyProtection="1">
      <alignment horizontal="center" vertical="center"/>
    </xf>
    <xf numFmtId="0" fontId="48" fillId="13" borderId="211" xfId="8" applyFont="1" applyFill="1" applyBorder="1" applyAlignment="1" applyProtection="1">
      <alignment horizontal="center" wrapText="1"/>
    </xf>
    <xf numFmtId="0" fontId="48" fillId="13" borderId="177" xfId="8" applyFont="1" applyFill="1" applyBorder="1" applyAlignment="1" applyProtection="1">
      <alignment horizontal="center" wrapText="1"/>
    </xf>
    <xf numFmtId="0" fontId="48" fillId="13" borderId="212" xfId="8" applyFont="1" applyFill="1" applyBorder="1" applyAlignment="1" applyProtection="1">
      <alignment horizontal="center" wrapText="1"/>
    </xf>
    <xf numFmtId="0" fontId="356" fillId="5" borderId="174" xfId="8" applyFont="1" applyFill="1" applyBorder="1" applyAlignment="1" applyProtection="1">
      <alignment horizontal="center" vertical="center" wrapText="1"/>
    </xf>
    <xf numFmtId="0" fontId="356" fillId="5" borderId="11" xfId="8" applyFont="1" applyFill="1" applyBorder="1" applyAlignment="1" applyProtection="1">
      <alignment horizontal="center" vertical="center" wrapText="1"/>
    </xf>
    <xf numFmtId="0" fontId="356" fillId="5" borderId="175" xfId="8" applyFont="1" applyFill="1" applyBorder="1" applyAlignment="1" applyProtection="1">
      <alignment horizontal="center" vertical="center" wrapText="1"/>
    </xf>
    <xf numFmtId="0" fontId="2" fillId="5" borderId="181" xfId="8" applyFont="1" applyFill="1" applyBorder="1" applyAlignment="1" applyProtection="1">
      <alignment horizontal="center" vertical="center"/>
    </xf>
    <xf numFmtId="0" fontId="2" fillId="5" borderId="182" xfId="8" applyFont="1" applyFill="1" applyBorder="1" applyAlignment="1" applyProtection="1">
      <alignment horizontal="center" vertical="center"/>
    </xf>
    <xf numFmtId="0" fontId="2" fillId="5" borderId="183" xfId="8" applyFont="1" applyFill="1" applyBorder="1" applyAlignment="1" applyProtection="1">
      <alignment horizontal="center" vertical="center"/>
    </xf>
    <xf numFmtId="0" fontId="2" fillId="5" borderId="184" xfId="8" applyFont="1" applyFill="1" applyBorder="1" applyAlignment="1" applyProtection="1">
      <alignment horizontal="center" vertical="center"/>
    </xf>
    <xf numFmtId="0" fontId="84" fillId="10" borderId="48" xfId="8" applyFont="1" applyFill="1" applyBorder="1" applyAlignment="1" applyProtection="1">
      <alignment horizontal="center"/>
    </xf>
    <xf numFmtId="167" fontId="2" fillId="45" borderId="268" xfId="9" applyNumberFormat="1" applyFont="1" applyFill="1" applyBorder="1" applyAlignment="1" applyProtection="1">
      <alignment horizontal="center" vertical="center" textRotation="90" wrapText="1"/>
    </xf>
    <xf numFmtId="167" fontId="2" fillId="45" borderId="85" xfId="9" applyNumberFormat="1" applyFont="1" applyFill="1" applyBorder="1" applyAlignment="1" applyProtection="1">
      <alignment horizontal="center" vertical="center" textRotation="90" wrapText="1"/>
    </xf>
    <xf numFmtId="167" fontId="2" fillId="45" borderId="191" xfId="9" applyNumberFormat="1" applyFont="1" applyFill="1" applyBorder="1" applyAlignment="1" applyProtection="1">
      <alignment horizontal="center" vertical="center" textRotation="90" wrapText="1"/>
    </xf>
    <xf numFmtId="0" fontId="48" fillId="12" borderId="48" xfId="8" applyFont="1" applyFill="1" applyBorder="1" applyAlignment="1" applyProtection="1">
      <alignment horizontal="center"/>
    </xf>
    <xf numFmtId="38" fontId="2" fillId="8" borderId="0" xfId="9" applyNumberFormat="1" applyFont="1" applyFill="1" applyBorder="1" applyAlignment="1" applyProtection="1">
      <alignment horizontal="center"/>
    </xf>
    <xf numFmtId="0" fontId="198" fillId="8" borderId="59" xfId="8" applyFont="1" applyFill="1" applyBorder="1" applyAlignment="1" applyProtection="1">
      <alignment horizontal="center"/>
    </xf>
    <xf numFmtId="0" fontId="360" fillId="5" borderId="197" xfId="8" applyFont="1" applyFill="1" applyBorder="1" applyAlignment="1" applyProtection="1">
      <alignment horizontal="center" vertical="center"/>
    </xf>
    <xf numFmtId="0" fontId="360" fillId="5" borderId="146" xfId="8" applyFont="1" applyFill="1" applyBorder="1" applyAlignment="1" applyProtection="1">
      <alignment horizontal="center" vertical="center"/>
    </xf>
    <xf numFmtId="0" fontId="360" fillId="5" borderId="198" xfId="8" applyFont="1" applyFill="1" applyBorder="1" applyAlignment="1" applyProtection="1">
      <alignment horizontal="center" vertical="center"/>
    </xf>
    <xf numFmtId="0" fontId="360" fillId="13" borderId="197" xfId="8" applyFont="1" applyFill="1" applyBorder="1" applyAlignment="1" applyProtection="1">
      <alignment horizontal="center" vertical="center"/>
    </xf>
    <xf numFmtId="0" fontId="360" fillId="13" borderId="198" xfId="8" applyFont="1" applyFill="1" applyBorder="1" applyAlignment="1" applyProtection="1">
      <alignment horizontal="center" vertical="center"/>
    </xf>
    <xf numFmtId="0" fontId="91" fillId="13" borderId="172" xfId="8" applyFont="1" applyFill="1" applyBorder="1" applyAlignment="1" applyProtection="1">
      <alignment horizontal="center" vertical="top"/>
    </xf>
    <xf numFmtId="0" fontId="91" fillId="13" borderId="0" xfId="8" applyFont="1" applyFill="1" applyBorder="1" applyAlignment="1" applyProtection="1">
      <alignment horizontal="center" vertical="top"/>
    </xf>
    <xf numFmtId="0" fontId="91" fillId="13" borderId="173" xfId="8" applyFont="1" applyFill="1" applyBorder="1" applyAlignment="1" applyProtection="1">
      <alignment horizontal="center" vertical="top"/>
    </xf>
    <xf numFmtId="38" fontId="361" fillId="16" borderId="331" xfId="9" applyNumberFormat="1" applyFont="1" applyFill="1" applyBorder="1" applyAlignment="1" applyProtection="1">
      <alignment horizontal="center"/>
    </xf>
    <xf numFmtId="38" fontId="361" fillId="8" borderId="331" xfId="9" applyNumberFormat="1" applyFont="1" applyFill="1" applyBorder="1" applyAlignment="1" applyProtection="1">
      <alignment horizontal="center"/>
    </xf>
    <xf numFmtId="38" fontId="361" fillId="8" borderId="81" xfId="9" applyNumberFormat="1" applyFont="1" applyFill="1" applyBorder="1" applyAlignment="1" applyProtection="1">
      <alignment horizontal="center"/>
    </xf>
    <xf numFmtId="0" fontId="362" fillId="10" borderId="0" xfId="8" applyFont="1" applyFill="1" applyAlignment="1" applyProtection="1">
      <alignment horizontal="center"/>
    </xf>
    <xf numFmtId="177" fontId="2" fillId="5" borderId="197" xfId="5" applyNumberFormat="1" applyFont="1" applyFill="1" applyBorder="1" applyAlignment="1" applyProtection="1">
      <alignment horizontal="center" vertical="center"/>
    </xf>
    <xf numFmtId="177" fontId="2" fillId="5" borderId="198" xfId="5" applyNumberFormat="1" applyFont="1" applyFill="1" applyBorder="1" applyAlignment="1" applyProtection="1">
      <alignment horizontal="center" vertical="center"/>
    </xf>
    <xf numFmtId="0" fontId="2" fillId="5" borderId="211" xfId="5" applyFont="1" applyFill="1" applyBorder="1" applyAlignment="1" applyProtection="1">
      <alignment horizontal="center" wrapText="1"/>
    </xf>
    <xf numFmtId="0" fontId="2" fillId="5" borderId="177" xfId="5" applyFont="1" applyFill="1" applyBorder="1" applyAlignment="1" applyProtection="1">
      <alignment horizontal="center" wrapText="1"/>
    </xf>
    <xf numFmtId="0" fontId="2" fillId="5" borderId="212" xfId="5" applyFont="1" applyFill="1" applyBorder="1" applyAlignment="1" applyProtection="1">
      <alignment horizontal="center" wrapText="1"/>
    </xf>
    <xf numFmtId="0" fontId="238" fillId="5" borderId="48" xfId="5" applyFont="1" applyFill="1" applyBorder="1" applyAlignment="1" applyProtection="1">
      <alignment horizontal="center"/>
    </xf>
    <xf numFmtId="0" fontId="3" fillId="5" borderId="172" xfId="5" applyFont="1" applyFill="1" applyBorder="1" applyAlignment="1" applyProtection="1">
      <alignment horizontal="center" vertical="top"/>
    </xf>
    <xf numFmtId="0" fontId="3" fillId="5" borderId="0" xfId="5" applyFont="1" applyFill="1" applyBorder="1" applyAlignment="1" applyProtection="1">
      <alignment horizontal="center" vertical="top"/>
    </xf>
    <xf numFmtId="0" fontId="3" fillId="5" borderId="173" xfId="5" applyFont="1" applyFill="1" applyBorder="1" applyAlignment="1" applyProtection="1">
      <alignment horizontal="center" vertical="top"/>
    </xf>
    <xf numFmtId="0" fontId="255" fillId="5" borderId="197" xfId="5" applyFont="1" applyFill="1" applyBorder="1" applyAlignment="1" applyProtection="1">
      <alignment horizontal="center" vertical="center"/>
    </xf>
    <xf numFmtId="0" fontId="255" fillId="5" borderId="198" xfId="5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>
      <alignment horizontal="center"/>
    </xf>
    <xf numFmtId="38" fontId="363" fillId="17" borderId="331" xfId="9" applyNumberFormat="1" applyFont="1" applyFill="1" applyBorder="1" applyAlignment="1" applyProtection="1">
      <alignment horizontal="center"/>
    </xf>
    <xf numFmtId="38" fontId="363" fillId="17" borderId="81" xfId="9" applyNumberFormat="1" applyFont="1" applyFill="1" applyBorder="1" applyAlignment="1" applyProtection="1">
      <alignment horizontal="center"/>
    </xf>
    <xf numFmtId="0" fontId="364" fillId="30" borderId="0" xfId="8" applyFont="1" applyFill="1" applyAlignment="1" applyProtection="1">
      <alignment horizontal="center"/>
    </xf>
    <xf numFmtId="166" fontId="198" fillId="17" borderId="0" xfId="9" applyNumberFormat="1" applyFont="1" applyFill="1" applyAlignment="1" applyProtection="1">
      <alignment horizontal="center"/>
    </xf>
    <xf numFmtId="0" fontId="2" fillId="5" borderId="181" xfId="5" applyFont="1" applyFill="1" applyBorder="1" applyAlignment="1" applyProtection="1">
      <alignment horizontal="center" vertical="center"/>
    </xf>
    <xf numFmtId="0" fontId="2" fillId="5" borderId="182" xfId="5" applyFont="1" applyFill="1" applyBorder="1" applyAlignment="1" applyProtection="1">
      <alignment horizontal="center" vertical="center"/>
    </xf>
    <xf numFmtId="0" fontId="2" fillId="5" borderId="183" xfId="5" applyFont="1" applyFill="1" applyBorder="1" applyAlignment="1" applyProtection="1">
      <alignment horizontal="center" vertical="center"/>
    </xf>
    <xf numFmtId="0" fontId="2" fillId="5" borderId="184" xfId="5" applyFont="1" applyFill="1" applyBorder="1" applyAlignment="1" applyProtection="1">
      <alignment horizontal="center" vertical="center"/>
    </xf>
    <xf numFmtId="0" fontId="198" fillId="5" borderId="59" xfId="5" applyFont="1" applyFill="1" applyBorder="1" applyAlignment="1" applyProtection="1">
      <alignment horizontal="center"/>
    </xf>
    <xf numFmtId="0" fontId="365" fillId="28" borderId="0" xfId="8" applyFont="1" applyFill="1" applyAlignment="1" applyProtection="1">
      <alignment horizontal="center"/>
    </xf>
    <xf numFmtId="4" fontId="160" fillId="32" borderId="0" xfId="0" applyNumberFormat="1" applyFont="1" applyFill="1" applyBorder="1" applyAlignment="1" applyProtection="1">
      <alignment horizontal="center"/>
    </xf>
    <xf numFmtId="0" fontId="366" fillId="2" borderId="0" xfId="8" applyFont="1" applyFill="1" applyAlignment="1" applyProtection="1">
      <alignment horizontal="center"/>
    </xf>
    <xf numFmtId="168" fontId="2" fillId="16" borderId="169" xfId="9" applyNumberFormat="1" applyFont="1" applyFill="1" applyBorder="1" applyAlignment="1" applyProtection="1">
      <alignment horizontal="center" vertical="center"/>
    </xf>
    <xf numFmtId="168" fontId="2" fillId="16" borderId="171" xfId="9" applyNumberFormat="1" applyFont="1" applyFill="1" applyBorder="1" applyAlignment="1" applyProtection="1">
      <alignment horizontal="center" vertical="center"/>
    </xf>
    <xf numFmtId="168" fontId="2" fillId="16" borderId="174" xfId="9" applyNumberFormat="1" applyFont="1" applyFill="1" applyBorder="1" applyAlignment="1" applyProtection="1">
      <alignment horizontal="center" vertical="center"/>
    </xf>
    <xf numFmtId="168" fontId="2" fillId="16" borderId="175" xfId="9" applyNumberFormat="1" applyFont="1" applyFill="1" applyBorder="1" applyAlignment="1" applyProtection="1">
      <alignment horizontal="center" vertical="center"/>
    </xf>
    <xf numFmtId="0" fontId="3" fillId="30" borderId="172" xfId="8" applyFont="1" applyFill="1" applyBorder="1" applyAlignment="1" applyProtection="1">
      <alignment horizontal="center" vertical="top"/>
    </xf>
    <xf numFmtId="0" fontId="3" fillId="30" borderId="0" xfId="8" applyFont="1" applyFill="1" applyBorder="1" applyAlignment="1" applyProtection="1">
      <alignment horizontal="center" vertical="top"/>
    </xf>
    <xf numFmtId="0" fontId="3" fillId="30" borderId="173" xfId="8" applyFont="1" applyFill="1" applyBorder="1" applyAlignment="1" applyProtection="1">
      <alignment horizontal="center" vertical="top"/>
    </xf>
    <xf numFmtId="0" fontId="260" fillId="13" borderId="197" xfId="8" applyFont="1" applyFill="1" applyBorder="1" applyAlignment="1" applyProtection="1">
      <alignment horizontal="center" vertical="center"/>
    </xf>
    <xf numFmtId="0" fontId="260" fillId="13" borderId="198" xfId="8" applyFont="1" applyFill="1" applyBorder="1" applyAlignment="1" applyProtection="1">
      <alignment horizontal="center" vertical="center"/>
    </xf>
    <xf numFmtId="38" fontId="2" fillId="29" borderId="0" xfId="9" applyNumberFormat="1" applyFont="1" applyFill="1" applyBorder="1" applyAlignment="1" applyProtection="1">
      <alignment horizontal="center"/>
    </xf>
    <xf numFmtId="38" fontId="356" fillId="29" borderId="59" xfId="9" applyNumberFormat="1" applyFont="1" applyFill="1" applyBorder="1" applyAlignment="1" applyProtection="1">
      <alignment horizontal="center"/>
    </xf>
    <xf numFmtId="166" fontId="355" fillId="29" borderId="0" xfId="9" applyNumberFormat="1" applyFont="1" applyFill="1" applyAlignment="1" applyProtection="1">
      <alignment horizontal="center"/>
    </xf>
    <xf numFmtId="0" fontId="291" fillId="28" borderId="48" xfId="8" applyFont="1" applyFill="1" applyBorder="1" applyAlignment="1" applyProtection="1">
      <alignment horizontal="center"/>
    </xf>
    <xf numFmtId="167" fontId="2" fillId="16" borderId="268" xfId="9" applyNumberFormat="1" applyFont="1" applyFill="1" applyBorder="1" applyAlignment="1" applyProtection="1">
      <alignment horizontal="center" vertical="center" textRotation="90" wrapText="1"/>
    </xf>
    <xf numFmtId="167" fontId="2" fillId="16" borderId="85" xfId="9" applyNumberFormat="1" applyFont="1" applyFill="1" applyBorder="1" applyAlignment="1" applyProtection="1">
      <alignment horizontal="center" vertical="center" textRotation="90" wrapText="1"/>
    </xf>
    <xf numFmtId="167" fontId="2" fillId="16" borderId="191" xfId="9" applyNumberFormat="1" applyFont="1" applyFill="1" applyBorder="1" applyAlignment="1" applyProtection="1">
      <alignment horizontal="center" vertical="center" textRotation="90" wrapText="1"/>
    </xf>
    <xf numFmtId="0" fontId="272" fillId="39" borderId="48" xfId="8" applyFont="1" applyFill="1" applyBorder="1" applyAlignment="1" applyProtection="1">
      <alignment horizontal="center"/>
    </xf>
    <xf numFmtId="38" fontId="198" fillId="17" borderId="59" xfId="9" applyNumberFormat="1" applyFont="1" applyFill="1" applyBorder="1" applyAlignment="1" applyProtection="1">
      <alignment horizontal="center"/>
    </xf>
    <xf numFmtId="0" fontId="2" fillId="30" borderId="211" xfId="8" applyFont="1" applyFill="1" applyBorder="1" applyAlignment="1" applyProtection="1">
      <alignment horizontal="center" wrapText="1"/>
    </xf>
    <xf numFmtId="0" fontId="2" fillId="30" borderId="177" xfId="8" applyFont="1" applyFill="1" applyBorder="1" applyAlignment="1" applyProtection="1">
      <alignment horizontal="center" wrapText="1"/>
    </xf>
    <xf numFmtId="0" fontId="2" fillId="30" borderId="212" xfId="8" applyFont="1" applyFill="1" applyBorder="1" applyAlignment="1" applyProtection="1">
      <alignment horizontal="center" wrapText="1"/>
    </xf>
    <xf numFmtId="177" fontId="2" fillId="30" borderId="197" xfId="8" applyNumberFormat="1" applyFont="1" applyFill="1" applyBorder="1" applyAlignment="1" applyProtection="1">
      <alignment horizontal="center" vertical="center"/>
    </xf>
    <xf numFmtId="177" fontId="2" fillId="30" borderId="198" xfId="8" applyNumberFormat="1" applyFont="1" applyFill="1" applyBorder="1" applyAlignment="1" applyProtection="1">
      <alignment horizontal="center" vertical="center"/>
    </xf>
    <xf numFmtId="0" fontId="255" fillId="30" borderId="197" xfId="8" applyFont="1" applyFill="1" applyBorder="1" applyAlignment="1" applyProtection="1">
      <alignment horizontal="center" vertical="center"/>
    </xf>
    <xf numFmtId="0" fontId="255" fillId="30" borderId="198" xfId="8" applyFont="1" applyFill="1" applyBorder="1" applyAlignment="1" applyProtection="1">
      <alignment horizontal="center" vertical="center"/>
    </xf>
    <xf numFmtId="0" fontId="272" fillId="31" borderId="48" xfId="8" applyFont="1" applyFill="1" applyBorder="1" applyAlignment="1" applyProtection="1">
      <alignment horizontal="center"/>
    </xf>
    <xf numFmtId="0" fontId="367" fillId="32" borderId="0" xfId="5" applyFont="1" applyFill="1" applyBorder="1" applyAlignment="1" applyProtection="1">
      <alignment horizontal="left"/>
    </xf>
    <xf numFmtId="0" fontId="368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68" fillId="11" borderId="332" xfId="0" applyFont="1" applyFill="1" applyBorder="1" applyAlignment="1" applyProtection="1">
      <alignment horizontal="center"/>
    </xf>
    <xf numFmtId="0" fontId="122" fillId="3" borderId="146" xfId="0" applyFont="1" applyFill="1" applyBorder="1" applyAlignment="1" applyProtection="1">
      <alignment horizontal="center"/>
    </xf>
    <xf numFmtId="0" fontId="123" fillId="3" borderId="146" xfId="0" applyFont="1" applyFill="1" applyBorder="1" applyAlignment="1" applyProtection="1">
      <alignment horizontal="center"/>
      <protection hidden="1"/>
    </xf>
    <xf numFmtId="0" fontId="368" fillId="11" borderId="152" xfId="0" applyFont="1" applyFill="1" applyBorder="1" applyAlignment="1" applyProtection="1">
      <alignment horizontal="center"/>
    </xf>
    <xf numFmtId="0" fontId="368" fillId="11" borderId="54" xfId="0" applyFont="1" applyFill="1" applyBorder="1" applyAlignment="1" applyProtection="1">
      <alignment horizontal="center"/>
    </xf>
    <xf numFmtId="0" fontId="369" fillId="11" borderId="170" xfId="0" applyFont="1" applyFill="1" applyBorder="1" applyAlignment="1" applyProtection="1">
      <alignment horizontal="center"/>
    </xf>
    <xf numFmtId="0" fontId="369" fillId="11" borderId="248" xfId="0" applyFont="1" applyFill="1" applyBorder="1" applyAlignment="1" applyProtection="1">
      <alignment horizontal="center"/>
    </xf>
    <xf numFmtId="0" fontId="370" fillId="11" borderId="115" xfId="0" applyFont="1" applyFill="1" applyBorder="1" applyAlignment="1" applyProtection="1">
      <alignment horizontal="center"/>
    </xf>
    <xf numFmtId="0" fontId="370" fillId="11" borderId="54" xfId="0" applyFont="1" applyFill="1" applyBorder="1" applyAlignment="1" applyProtection="1">
      <alignment horizontal="center"/>
    </xf>
    <xf numFmtId="0" fontId="370" fillId="11" borderId="152" xfId="0" applyFont="1" applyFill="1" applyBorder="1" applyAlignment="1" applyProtection="1">
      <alignment horizontal="center"/>
    </xf>
    <xf numFmtId="0" fontId="371" fillId="3" borderId="146" xfId="0" applyFont="1" applyFill="1" applyBorder="1" applyAlignment="1" applyProtection="1">
      <alignment horizontal="center"/>
    </xf>
    <xf numFmtId="0" fontId="370" fillId="11" borderId="57" xfId="0" applyFont="1" applyFill="1" applyBorder="1" applyAlignment="1" applyProtection="1">
      <alignment horizontal="center"/>
    </xf>
    <xf numFmtId="0" fontId="81" fillId="11" borderId="115" xfId="0" applyFont="1" applyFill="1" applyBorder="1" applyAlignment="1" applyProtection="1">
      <alignment horizontal="center"/>
    </xf>
    <xf numFmtId="0" fontId="81" fillId="11" borderId="54" xfId="0" applyFont="1" applyFill="1" applyBorder="1" applyAlignment="1" applyProtection="1">
      <alignment horizontal="center"/>
    </xf>
    <xf numFmtId="0" fontId="81" fillId="11" borderId="152" xfId="0" applyFont="1" applyFill="1" applyBorder="1" applyAlignment="1" applyProtection="1">
      <alignment horizontal="center"/>
    </xf>
    <xf numFmtId="0" fontId="81" fillId="11" borderId="57" xfId="0" applyFont="1" applyFill="1" applyBorder="1" applyAlignment="1" applyProtection="1">
      <alignment horizontal="center"/>
    </xf>
    <xf numFmtId="0" fontId="23" fillId="3" borderId="146" xfId="0" applyFont="1" applyFill="1" applyBorder="1" applyAlignment="1" applyProtection="1">
      <alignment horizontal="center"/>
    </xf>
    <xf numFmtId="0" fontId="372" fillId="11" borderId="115" xfId="0" applyFont="1" applyFill="1" applyBorder="1" applyAlignment="1" applyProtection="1">
      <alignment horizontal="center"/>
    </xf>
    <xf numFmtId="0" fontId="372" fillId="11" borderId="54" xfId="0" applyFont="1" applyFill="1" applyBorder="1" applyAlignment="1" applyProtection="1">
      <alignment horizontal="center"/>
    </xf>
    <xf numFmtId="0" fontId="372" fillId="11" borderId="152" xfId="0" applyFont="1" applyFill="1" applyBorder="1" applyAlignment="1" applyProtection="1">
      <alignment horizontal="center"/>
    </xf>
    <xf numFmtId="0" fontId="69" fillId="3" borderId="146" xfId="0" applyFont="1" applyFill="1" applyBorder="1" applyAlignment="1" applyProtection="1">
      <alignment horizontal="center"/>
    </xf>
    <xf numFmtId="0" fontId="372" fillId="11" borderId="57" xfId="0" applyFont="1" applyFill="1" applyBorder="1" applyAlignment="1" applyProtection="1">
      <alignment horizontal="center"/>
    </xf>
  </cellXfs>
  <cellStyles count="12">
    <cellStyle name="Normal 2" xfId="1"/>
    <cellStyle name="Normal 2 2" xfId="2"/>
    <cellStyle name="Normal 3" xfId="3"/>
    <cellStyle name="Normal 4" xfId="4"/>
    <cellStyle name="Normal_COA-2001-ZAPOVED-No-81-29012002-ANNEX" xfId="5"/>
    <cellStyle name="Normal_EBK_PROJECT_2001-last" xfId="6"/>
    <cellStyle name="Normal_EBK-2002-draft" xfId="7"/>
    <cellStyle name="Normal_TRIAL-BALANCE-2001-MAKET" xfId="8"/>
    <cellStyle name="Normal_ZADACHA" xfId="9"/>
    <cellStyle name="Нормален" xfId="0" builtinId="0"/>
    <cellStyle name="Процент" xfId="10" builtinId="5"/>
    <cellStyle name="Хипервръзка" xfId="11" builtinId="8"/>
  </cellStyles>
  <dxfs count="3735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53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188596</xdr:colOff>
      <xdr:row>122</xdr:row>
      <xdr:rowOff>74079</xdr:rowOff>
    </xdr:from>
    <xdr:to>
      <xdr:col>11</xdr:col>
      <xdr:colOff>578280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8"/>
  <sheetViews>
    <sheetView zoomScaleNormal="100" workbookViewId="0"/>
  </sheetViews>
  <sheetFormatPr defaultRowHeight="15.75"/>
  <cols>
    <col min="1" max="1" width="0.7109375" style="2250" customWidth="1"/>
    <col min="2" max="2" width="5.28515625" style="2274" customWidth="1"/>
    <col min="3" max="3" width="3.7109375" style="2274" customWidth="1"/>
    <col min="4" max="4" width="10.28515625" style="2274" customWidth="1"/>
    <col min="5" max="5" width="9.42578125" style="2274" customWidth="1"/>
    <col min="6" max="6" width="6" style="2274" customWidth="1"/>
    <col min="7" max="7" width="5.85546875" style="2274" customWidth="1"/>
    <col min="8" max="8" width="13.140625" style="2274" customWidth="1"/>
    <col min="9" max="9" width="11.140625" style="2274" customWidth="1"/>
    <col min="10" max="10" width="8" style="2274" customWidth="1"/>
    <col min="11" max="11" width="22.7109375" style="2274" customWidth="1"/>
    <col min="12" max="12" width="17.42578125" style="2274" customWidth="1"/>
    <col min="13" max="13" width="7.28515625" style="2274" customWidth="1"/>
    <col min="14" max="16384" width="9.140625" style="2250"/>
  </cols>
  <sheetData>
    <row r="1" spans="1:54" s="2246" customFormat="1" ht="9.75" customHeight="1" thickBot="1">
      <c r="A1" s="2238"/>
      <c r="B1" s="2239"/>
      <c r="C1" s="2240"/>
      <c r="D1" s="2240"/>
      <c r="E1" s="2240"/>
      <c r="F1" s="2240"/>
      <c r="G1" s="2240"/>
      <c r="H1" s="2240"/>
      <c r="I1" s="2240"/>
      <c r="J1" s="2240"/>
      <c r="K1" s="2240"/>
      <c r="L1" s="2240"/>
      <c r="M1" s="2240"/>
      <c r="N1" s="2240"/>
      <c r="O1" s="2241"/>
      <c r="P1" s="2242"/>
      <c r="Q1" s="2243"/>
      <c r="R1" s="2243"/>
      <c r="S1" s="2243"/>
      <c r="T1" s="2243"/>
      <c r="U1" s="2243"/>
      <c r="V1" s="2243"/>
      <c r="W1" s="2241"/>
      <c r="X1" s="2244"/>
      <c r="Y1" s="2244"/>
      <c r="Z1" s="2245"/>
      <c r="AA1" s="2244"/>
      <c r="AB1" s="2244"/>
      <c r="AC1" s="2244"/>
      <c r="AD1" s="2244"/>
      <c r="AE1" s="2244"/>
      <c r="AF1" s="2244"/>
      <c r="AH1" s="2247"/>
      <c r="AI1" s="2244"/>
      <c r="AJ1" s="2244"/>
      <c r="AK1" s="2244"/>
      <c r="AL1" s="2244"/>
      <c r="AM1" s="2244"/>
      <c r="AN1" s="2244"/>
      <c r="AO1" s="2245"/>
      <c r="AP1" s="2244"/>
      <c r="AQ1" s="2244"/>
      <c r="AR1" s="2244"/>
      <c r="AS1" s="2244"/>
      <c r="AT1" s="2244"/>
      <c r="AU1" s="2244"/>
      <c r="AV1" s="2245"/>
      <c r="AW1" s="2244"/>
      <c r="AX1" s="2244"/>
      <c r="AY1" s="2244"/>
      <c r="AZ1" s="2244"/>
      <c r="BA1" s="2244"/>
      <c r="BB1" s="2244"/>
    </row>
    <row r="2" spans="1:54" ht="16.5" thickBot="1">
      <c r="A2" s="2248"/>
      <c r="B2" s="2332" t="s">
        <v>2149</v>
      </c>
      <c r="C2" s="2249"/>
      <c r="D2" s="2249"/>
      <c r="E2" s="2249"/>
      <c r="F2" s="2249"/>
      <c r="G2" s="2249"/>
      <c r="H2" s="2249"/>
      <c r="I2" s="2249"/>
      <c r="J2" s="2249"/>
      <c r="K2" s="2249"/>
      <c r="L2" s="2333">
        <f>+'TRIAL-BALANCE'!E8</f>
        <v>2021</v>
      </c>
      <c r="M2" s="2334"/>
      <c r="N2" s="2248"/>
      <c r="O2" s="2248"/>
      <c r="P2" s="2248"/>
      <c r="Q2" s="2248"/>
      <c r="R2" s="2248"/>
      <c r="S2" s="2248"/>
      <c r="T2" s="2248"/>
      <c r="U2" s="2248"/>
      <c r="V2" s="2248"/>
      <c r="W2" s="2248"/>
    </row>
    <row r="3" spans="1:54" ht="3" customHeight="1" thickTop="1">
      <c r="A3" s="2248"/>
      <c r="B3" s="2251"/>
      <c r="C3" s="2252"/>
      <c r="D3" s="2252"/>
      <c r="E3" s="2252"/>
      <c r="F3" s="2252"/>
      <c r="G3" s="2252"/>
      <c r="H3" s="2252"/>
      <c r="I3" s="2252"/>
      <c r="J3" s="2252"/>
      <c r="K3" s="2252"/>
      <c r="L3" s="2252"/>
      <c r="M3" s="2253"/>
      <c r="N3" s="2248"/>
      <c r="O3" s="2248"/>
      <c r="P3" s="2248"/>
      <c r="Q3" s="2248"/>
      <c r="R3" s="2248"/>
      <c r="S3" s="2248"/>
      <c r="T3" s="2248"/>
      <c r="U3" s="2248"/>
      <c r="V3" s="2248"/>
      <c r="W3" s="2248"/>
    </row>
    <row r="4" spans="1:54">
      <c r="A4" s="2248"/>
      <c r="B4" s="2254" t="s">
        <v>1382</v>
      </c>
      <c r="C4" s="2258" t="s">
        <v>1383</v>
      </c>
      <c r="D4" s="2252"/>
      <c r="E4" s="2252"/>
      <c r="F4" s="2252"/>
      <c r="G4" s="2252"/>
      <c r="H4" s="2252"/>
      <c r="I4" s="2252"/>
      <c r="J4" s="2252"/>
      <c r="K4" s="2252"/>
      <c r="L4" s="2252"/>
      <c r="M4" s="2253"/>
      <c r="N4" s="2248"/>
      <c r="O4" s="2248"/>
      <c r="P4" s="2248"/>
      <c r="Q4" s="2248"/>
      <c r="R4" s="2248"/>
      <c r="S4" s="2248"/>
      <c r="T4" s="2248"/>
      <c r="U4" s="2248"/>
      <c r="V4" s="2248"/>
      <c r="W4" s="2248"/>
    </row>
    <row r="5" spans="1:54">
      <c r="A5" s="2248"/>
      <c r="B5" s="2251"/>
      <c r="C5" s="2256">
        <v>1</v>
      </c>
      <c r="D5" s="2252" t="s">
        <v>1990</v>
      </c>
      <c r="E5" s="2252"/>
      <c r="F5" s="2252"/>
      <c r="G5" s="2252"/>
      <c r="H5" s="2252"/>
      <c r="I5" s="2252"/>
      <c r="J5" s="2252"/>
      <c r="K5" s="2252"/>
      <c r="L5" s="2252"/>
      <c r="M5" s="2253"/>
      <c r="N5" s="2248"/>
      <c r="O5" s="2248"/>
      <c r="P5" s="2248"/>
      <c r="Q5" s="2248"/>
      <c r="R5" s="2248"/>
      <c r="S5" s="2248"/>
      <c r="T5" s="2248"/>
      <c r="U5" s="2248"/>
      <c r="V5" s="2248"/>
      <c r="W5" s="2248"/>
    </row>
    <row r="6" spans="1:54">
      <c r="A6" s="2248"/>
      <c r="B6" s="2251"/>
      <c r="C6" s="2256">
        <f>1+C5</f>
        <v>2</v>
      </c>
      <c r="D6" s="2252" t="s">
        <v>1384</v>
      </c>
      <c r="E6" s="2252"/>
      <c r="F6" s="2252"/>
      <c r="G6" s="2252"/>
      <c r="H6" s="2252"/>
      <c r="I6" s="2252"/>
      <c r="J6" s="2252"/>
      <c r="K6" s="2252"/>
      <c r="L6" s="2252"/>
      <c r="M6" s="2253"/>
      <c r="N6" s="2248"/>
      <c r="O6" s="2248"/>
      <c r="P6" s="2248"/>
      <c r="Q6" s="2248"/>
      <c r="R6" s="2248"/>
      <c r="S6" s="2248"/>
      <c r="T6" s="2248"/>
      <c r="U6" s="2248"/>
      <c r="V6" s="2248"/>
      <c r="W6" s="2248"/>
    </row>
    <row r="7" spans="1:54">
      <c r="A7" s="2248"/>
      <c r="B7" s="2251"/>
      <c r="C7" s="2256">
        <f>1+C6</f>
        <v>3</v>
      </c>
      <c r="D7" s="2252" t="s">
        <v>1385</v>
      </c>
      <c r="E7" s="2252"/>
      <c r="F7" s="2252"/>
      <c r="G7" s="2252"/>
      <c r="H7" s="2252"/>
      <c r="I7" s="2252"/>
      <c r="J7" s="2252"/>
      <c r="K7" s="2252"/>
      <c r="L7" s="2252"/>
      <c r="M7" s="2253"/>
      <c r="N7" s="2248"/>
      <c r="O7" s="2248"/>
      <c r="P7" s="2248"/>
      <c r="Q7" s="2248"/>
      <c r="R7" s="2248"/>
      <c r="S7" s="2248"/>
      <c r="T7" s="2248"/>
      <c r="U7" s="2248"/>
      <c r="V7" s="2248"/>
      <c r="W7" s="2248"/>
    </row>
    <row r="8" spans="1:54">
      <c r="A8" s="2248"/>
      <c r="B8" s="2251"/>
      <c r="C8" s="2256">
        <f>1+C7</f>
        <v>4</v>
      </c>
      <c r="D8" s="2252" t="s">
        <v>1386</v>
      </c>
      <c r="E8" s="2252"/>
      <c r="F8" s="2252"/>
      <c r="G8" s="2252"/>
      <c r="H8" s="2252"/>
      <c r="I8" s="2252"/>
      <c r="J8" s="2252"/>
      <c r="K8" s="2252"/>
      <c r="L8" s="2252"/>
      <c r="M8" s="2253"/>
      <c r="N8" s="2248"/>
      <c r="O8" s="2248"/>
      <c r="P8" s="2248"/>
      <c r="Q8" s="2248"/>
      <c r="R8" s="2248"/>
      <c r="S8" s="2248"/>
      <c r="T8" s="2248"/>
      <c r="U8" s="2248"/>
      <c r="V8" s="2248"/>
      <c r="W8" s="2248"/>
    </row>
    <row r="9" spans="1:54">
      <c r="A9" s="2248"/>
      <c r="B9" s="2251"/>
      <c r="C9" s="2256">
        <f>1+C8</f>
        <v>5</v>
      </c>
      <c r="D9" s="2252" t="s">
        <v>1387</v>
      </c>
      <c r="E9" s="2252"/>
      <c r="F9" s="2252"/>
      <c r="G9" s="2252"/>
      <c r="H9" s="2252"/>
      <c r="I9" s="2252"/>
      <c r="J9" s="2252"/>
      <c r="K9" s="2252"/>
      <c r="L9" s="2252"/>
      <c r="M9" s="2253"/>
      <c r="N9" s="2248"/>
      <c r="O9" s="2248"/>
      <c r="P9" s="2248"/>
      <c r="Q9" s="2248"/>
      <c r="R9" s="2248"/>
      <c r="S9" s="2248"/>
      <c r="T9" s="2248"/>
      <c r="U9" s="2248"/>
      <c r="V9" s="2248"/>
      <c r="W9" s="2248"/>
    </row>
    <row r="10" spans="1:54">
      <c r="A10" s="2248"/>
      <c r="B10" s="2251"/>
      <c r="C10" s="2256">
        <f>1+C9</f>
        <v>6</v>
      </c>
      <c r="D10" s="2252" t="s">
        <v>2199</v>
      </c>
      <c r="E10" s="2252"/>
      <c r="F10" s="2252"/>
      <c r="G10" s="2252"/>
      <c r="H10" s="2252"/>
      <c r="I10" s="2252"/>
      <c r="J10" s="2252"/>
      <c r="K10" s="2252"/>
      <c r="L10" s="2252"/>
      <c r="M10" s="2253"/>
      <c r="N10" s="2248"/>
      <c r="O10" s="2248"/>
      <c r="P10" s="2248"/>
      <c r="Q10" s="2248"/>
      <c r="R10" s="2248"/>
      <c r="S10" s="2248"/>
      <c r="T10" s="2248"/>
      <c r="U10" s="2248"/>
      <c r="V10" s="2248"/>
      <c r="W10" s="2248"/>
    </row>
    <row r="11" spans="1:54">
      <c r="A11" s="2248"/>
      <c r="B11" s="2251"/>
      <c r="C11" s="2256"/>
      <c r="D11" s="2252" t="s">
        <v>1899</v>
      </c>
      <c r="E11" s="2252"/>
      <c r="F11" s="2252"/>
      <c r="G11" s="2252"/>
      <c r="H11" s="2252"/>
      <c r="I11" s="2252"/>
      <c r="J11" s="2252"/>
      <c r="K11" s="2252"/>
      <c r="L11" s="2252"/>
      <c r="M11" s="2253"/>
      <c r="N11" s="2248"/>
      <c r="O11" s="2248"/>
      <c r="P11" s="2248"/>
      <c r="Q11" s="2248"/>
      <c r="R11" s="2248"/>
      <c r="S11" s="2248"/>
      <c r="T11" s="2248"/>
      <c r="U11" s="2248"/>
      <c r="V11" s="2248"/>
      <c r="W11" s="2248"/>
    </row>
    <row r="12" spans="1:54">
      <c r="A12" s="2248"/>
      <c r="B12" s="2251"/>
      <c r="C12" s="2256"/>
      <c r="D12" s="2252" t="s">
        <v>2200</v>
      </c>
      <c r="E12" s="2252"/>
      <c r="F12" s="2252"/>
      <c r="G12" s="2252"/>
      <c r="H12" s="2252"/>
      <c r="I12" s="2252"/>
      <c r="J12" s="2252"/>
      <c r="K12" s="2252"/>
      <c r="L12" s="2252"/>
      <c r="M12" s="2253"/>
      <c r="N12" s="2248"/>
      <c r="O12" s="2248"/>
      <c r="P12" s="2248"/>
      <c r="Q12" s="2248"/>
      <c r="R12" s="2248"/>
      <c r="S12" s="2248"/>
      <c r="T12" s="2248"/>
      <c r="U12" s="2248"/>
      <c r="V12" s="2248"/>
      <c r="W12" s="2248"/>
    </row>
    <row r="13" spans="1:54">
      <c r="A13" s="2248"/>
      <c r="B13" s="2251"/>
      <c r="C13" s="2256"/>
      <c r="D13" s="2252" t="s">
        <v>1991</v>
      </c>
      <c r="E13" s="2252"/>
      <c r="F13" s="2252"/>
      <c r="G13" s="2252"/>
      <c r="H13" s="2252"/>
      <c r="I13" s="2252"/>
      <c r="J13" s="2252"/>
      <c r="K13" s="2252"/>
      <c r="L13" s="2317">
        <f>+'TRIAL-BALANCE'!E8</f>
        <v>2021</v>
      </c>
      <c r="M13" s="2253"/>
      <c r="N13" s="2248"/>
      <c r="O13" s="2248"/>
      <c r="P13" s="2248"/>
      <c r="Q13" s="2248"/>
      <c r="R13" s="2248"/>
      <c r="S13" s="2248"/>
      <c r="T13" s="2248"/>
      <c r="U13" s="2248"/>
      <c r="V13" s="2248"/>
      <c r="W13" s="2248"/>
    </row>
    <row r="14" spans="1:54">
      <c r="A14" s="2248"/>
      <c r="B14" s="2251"/>
      <c r="C14" s="2256"/>
      <c r="D14" s="2252" t="s">
        <v>2201</v>
      </c>
      <c r="E14" s="2252"/>
      <c r="F14" s="2252"/>
      <c r="G14" s="2252"/>
      <c r="H14" s="2252"/>
      <c r="I14" s="2252"/>
      <c r="J14" s="2252"/>
      <c r="K14" s="2252"/>
      <c r="L14" s="2252"/>
      <c r="M14" s="2253"/>
      <c r="N14" s="2248"/>
      <c r="O14" s="2248"/>
      <c r="P14" s="2248"/>
      <c r="Q14" s="2248"/>
      <c r="R14" s="2248"/>
      <c r="S14" s="2248"/>
      <c r="T14" s="2248"/>
      <c r="U14" s="2248"/>
      <c r="V14" s="2248"/>
      <c r="W14" s="2248"/>
    </row>
    <row r="15" spans="1:54">
      <c r="A15" s="2248"/>
      <c r="B15" s="2251"/>
      <c r="C15" s="2256">
        <f>1+C10</f>
        <v>7</v>
      </c>
      <c r="D15" s="2252" t="s">
        <v>2203</v>
      </c>
      <c r="E15" s="2252"/>
      <c r="F15" s="2252"/>
      <c r="G15" s="2252"/>
      <c r="H15" s="2252"/>
      <c r="I15" s="2252"/>
      <c r="J15" s="2252"/>
      <c r="K15" s="2252"/>
      <c r="L15" s="2252"/>
      <c r="M15" s="2253"/>
      <c r="N15" s="2248"/>
      <c r="O15" s="2248"/>
      <c r="P15" s="2248"/>
      <c r="Q15" s="2248"/>
      <c r="R15" s="2248"/>
      <c r="S15" s="2248"/>
      <c r="T15" s="2248"/>
      <c r="U15" s="2248"/>
      <c r="V15" s="2248"/>
      <c r="W15" s="2248"/>
    </row>
    <row r="16" spans="1:54">
      <c r="A16" s="2248"/>
      <c r="B16" s="2251"/>
      <c r="C16" s="2256">
        <f>1+C15</f>
        <v>8</v>
      </c>
      <c r="D16" s="2252" t="s">
        <v>1388</v>
      </c>
      <c r="E16" s="2252"/>
      <c r="F16" s="2252"/>
      <c r="G16" s="2252"/>
      <c r="H16" s="2252"/>
      <c r="I16" s="2252"/>
      <c r="J16" s="2252"/>
      <c r="K16" s="2252"/>
      <c r="L16" s="2252"/>
      <c r="M16" s="2253"/>
      <c r="N16" s="2248"/>
      <c r="O16" s="2248"/>
      <c r="P16" s="2248"/>
      <c r="Q16" s="2248"/>
      <c r="R16" s="2248"/>
      <c r="S16" s="2248"/>
      <c r="T16" s="2248"/>
      <c r="U16" s="2248"/>
      <c r="V16" s="2248"/>
      <c r="W16" s="2248"/>
    </row>
    <row r="17" spans="1:23">
      <c r="A17" s="2248"/>
      <c r="B17" s="2251"/>
      <c r="C17" s="2256"/>
      <c r="D17" s="2252" t="s">
        <v>1389</v>
      </c>
      <c r="E17" s="2252"/>
      <c r="F17" s="2252"/>
      <c r="G17" s="2252"/>
      <c r="H17" s="2252"/>
      <c r="I17" s="2252"/>
      <c r="J17" s="2252"/>
      <c r="K17" s="2252"/>
      <c r="L17" s="2252"/>
      <c r="M17" s="2253"/>
      <c r="N17" s="2248"/>
      <c r="O17" s="2248"/>
      <c r="P17" s="2248"/>
      <c r="Q17" s="2248"/>
      <c r="R17" s="2248"/>
      <c r="S17" s="2248"/>
      <c r="T17" s="2248"/>
      <c r="U17" s="2248"/>
      <c r="V17" s="2248"/>
      <c r="W17" s="2248"/>
    </row>
    <row r="18" spans="1:23" ht="3.75" customHeight="1">
      <c r="A18" s="2248"/>
      <c r="B18" s="2251"/>
      <c r="C18" s="2256"/>
      <c r="D18" s="2252"/>
      <c r="E18" s="2252"/>
      <c r="F18" s="2252"/>
      <c r="G18" s="2252"/>
      <c r="H18" s="2252"/>
      <c r="I18" s="2252"/>
      <c r="J18" s="2252"/>
      <c r="K18" s="2252"/>
      <c r="L18" s="2252"/>
      <c r="M18" s="2253"/>
      <c r="N18" s="2248"/>
      <c r="O18" s="2248"/>
      <c r="P18" s="2248"/>
      <c r="Q18" s="2248"/>
      <c r="R18" s="2248"/>
      <c r="S18" s="2248"/>
      <c r="T18" s="2248"/>
      <c r="U18" s="2248"/>
      <c r="V18" s="2248"/>
      <c r="W18" s="2248"/>
    </row>
    <row r="19" spans="1:23">
      <c r="A19" s="2248"/>
      <c r="B19" s="2254" t="s">
        <v>1390</v>
      </c>
      <c r="C19" s="2258" t="s">
        <v>1910</v>
      </c>
      <c r="D19" s="2252"/>
      <c r="E19" s="2252"/>
      <c r="F19" s="2252"/>
      <c r="G19" s="2252"/>
      <c r="H19" s="2252"/>
      <c r="I19" s="2252"/>
      <c r="J19" s="2252"/>
      <c r="K19" s="2252"/>
      <c r="L19" s="2252"/>
      <c r="M19" s="2253"/>
      <c r="N19" s="2248"/>
      <c r="O19" s="2248"/>
      <c r="P19" s="2248"/>
      <c r="Q19" s="2248"/>
      <c r="R19" s="2248"/>
      <c r="S19" s="2248"/>
      <c r="T19" s="2248"/>
      <c r="U19" s="2248"/>
      <c r="V19" s="2248"/>
      <c r="W19" s="2248"/>
    </row>
    <row r="20" spans="1:23">
      <c r="A20" s="2248"/>
      <c r="B20" s="2251"/>
      <c r="C20" s="2256">
        <f>1+C16</f>
        <v>9</v>
      </c>
      <c r="D20" s="2252" t="s">
        <v>2202</v>
      </c>
      <c r="E20" s="2252"/>
      <c r="F20" s="2252"/>
      <c r="G20" s="2252"/>
      <c r="H20" s="2252"/>
      <c r="I20" s="2252"/>
      <c r="J20" s="2252"/>
      <c r="K20" s="2252"/>
      <c r="L20" s="2252"/>
      <c r="M20" s="2253"/>
      <c r="N20" s="2248"/>
      <c r="O20" s="2248"/>
      <c r="P20" s="2248"/>
      <c r="Q20" s="2248"/>
      <c r="R20" s="2248"/>
      <c r="S20" s="2248"/>
      <c r="T20" s="2248"/>
      <c r="U20" s="2248"/>
      <c r="V20" s="2248"/>
      <c r="W20" s="2248"/>
    </row>
    <row r="21" spans="1:23">
      <c r="A21" s="2248"/>
      <c r="B21" s="2251"/>
      <c r="C21" s="2256"/>
      <c r="D21" s="2252" t="s">
        <v>1391</v>
      </c>
      <c r="E21" s="2252"/>
      <c r="F21" s="2252"/>
      <c r="G21" s="2252"/>
      <c r="H21" s="2252"/>
      <c r="I21" s="2252"/>
      <c r="J21" s="2252"/>
      <c r="K21" s="2252"/>
      <c r="L21" s="2252"/>
      <c r="M21" s="2253"/>
      <c r="N21" s="2248"/>
      <c r="O21" s="2248"/>
      <c r="P21" s="2248"/>
      <c r="Q21" s="2248"/>
      <c r="R21" s="2248"/>
      <c r="S21" s="2248"/>
      <c r="T21" s="2248"/>
      <c r="U21" s="2248"/>
      <c r="V21" s="2248"/>
      <c r="W21" s="2248"/>
    </row>
    <row r="22" spans="1:23">
      <c r="A22" s="2248"/>
      <c r="B22" s="2251"/>
      <c r="C22" s="2256"/>
      <c r="D22" s="2252" t="s">
        <v>1392</v>
      </c>
      <c r="E22" s="2252"/>
      <c r="F22" s="2252"/>
      <c r="G22" s="2252"/>
      <c r="H22" s="2252"/>
      <c r="I22" s="2252"/>
      <c r="J22" s="2252"/>
      <c r="K22" s="2252"/>
      <c r="L22" s="2252"/>
      <c r="M22" s="2253"/>
      <c r="N22" s="2248"/>
      <c r="O22" s="2248"/>
      <c r="P22" s="2248"/>
      <c r="Q22" s="2248"/>
      <c r="R22" s="2248"/>
      <c r="S22" s="2248"/>
      <c r="T22" s="2248"/>
      <c r="U22" s="2248"/>
      <c r="V22" s="2248"/>
      <c r="W22" s="2248"/>
    </row>
    <row r="23" spans="1:23">
      <c r="A23" s="2248"/>
      <c r="B23" s="2251"/>
      <c r="C23" s="2256">
        <f>1+C20</f>
        <v>10</v>
      </c>
      <c r="D23" s="2252" t="s">
        <v>1393</v>
      </c>
      <c r="E23" s="2252"/>
      <c r="F23" s="2252"/>
      <c r="G23" s="2252"/>
      <c r="H23" s="2252"/>
      <c r="I23" s="2252"/>
      <c r="J23" s="2252"/>
      <c r="K23" s="2252"/>
      <c r="L23" s="2252"/>
      <c r="M23" s="2253"/>
      <c r="N23" s="2248"/>
      <c r="O23" s="2248"/>
      <c r="P23" s="2248"/>
      <c r="Q23" s="2248"/>
      <c r="R23" s="2248"/>
      <c r="S23" s="2248"/>
      <c r="T23" s="2248"/>
      <c r="U23" s="2248"/>
      <c r="V23" s="2248"/>
      <c r="W23" s="2248"/>
    </row>
    <row r="24" spans="1:23">
      <c r="A24" s="2248"/>
      <c r="B24" s="2251"/>
      <c r="C24" s="2256"/>
      <c r="D24" s="2252" t="s">
        <v>2114</v>
      </c>
      <c r="E24" s="2252"/>
      <c r="F24" s="2252"/>
      <c r="G24" s="2252"/>
      <c r="H24" s="2252"/>
      <c r="I24" s="2252"/>
      <c r="J24" s="2252"/>
      <c r="K24" s="2252"/>
      <c r="L24" s="2252"/>
      <c r="M24" s="2253"/>
      <c r="N24" s="2248"/>
      <c r="O24" s="2248"/>
      <c r="P24" s="2248"/>
      <c r="Q24" s="2248"/>
      <c r="R24" s="2248"/>
      <c r="S24" s="2248"/>
      <c r="T24" s="2248"/>
      <c r="U24" s="2248"/>
      <c r="V24" s="2248"/>
      <c r="W24" s="2248"/>
    </row>
    <row r="25" spans="1:23">
      <c r="A25" s="2248"/>
      <c r="B25" s="2251"/>
      <c r="C25" s="2256"/>
      <c r="D25" s="2252" t="s">
        <v>1394</v>
      </c>
      <c r="E25" s="2252"/>
      <c r="F25" s="2252"/>
      <c r="G25" s="2252"/>
      <c r="H25" s="2252"/>
      <c r="I25" s="2252"/>
      <c r="J25" s="2252"/>
      <c r="K25" s="2252"/>
      <c r="L25" s="2252"/>
      <c r="M25" s="2253"/>
      <c r="N25" s="2248"/>
      <c r="O25" s="2248"/>
      <c r="P25" s="2248"/>
      <c r="Q25" s="2248"/>
      <c r="R25" s="2248"/>
      <c r="S25" s="2248"/>
      <c r="T25" s="2248"/>
      <c r="U25" s="2248"/>
      <c r="V25" s="2248"/>
      <c r="W25" s="2248"/>
    </row>
    <row r="26" spans="1:23">
      <c r="A26" s="2248"/>
      <c r="B26" s="2251"/>
      <c r="C26" s="2256"/>
      <c r="D26" s="2252" t="s">
        <v>1395</v>
      </c>
      <c r="E26" s="2252"/>
      <c r="F26" s="2252"/>
      <c r="G26" s="2252"/>
      <c r="H26" s="2252"/>
      <c r="I26" s="2252"/>
      <c r="J26" s="2252"/>
      <c r="K26" s="2252"/>
      <c r="L26" s="2252"/>
      <c r="M26" s="2253"/>
      <c r="N26" s="2248"/>
      <c r="O26" s="2248"/>
      <c r="P26" s="2248"/>
      <c r="Q26" s="2248"/>
      <c r="R26" s="2248"/>
      <c r="S26" s="2248"/>
      <c r="T26" s="2248"/>
      <c r="U26" s="2248"/>
      <c r="V26" s="2248"/>
      <c r="W26" s="2248"/>
    </row>
    <row r="27" spans="1:23">
      <c r="A27" s="2248"/>
      <c r="B27" s="2251"/>
      <c r="C27" s="2256">
        <f>1+C23</f>
        <v>11</v>
      </c>
      <c r="D27" s="2252" t="s">
        <v>2204</v>
      </c>
      <c r="E27" s="2252"/>
      <c r="F27" s="2252"/>
      <c r="G27" s="2252"/>
      <c r="H27" s="2252"/>
      <c r="I27" s="2252"/>
      <c r="J27" s="2252"/>
      <c r="K27" s="2252"/>
      <c r="L27" s="2252"/>
      <c r="M27" s="2253"/>
      <c r="N27" s="2248"/>
      <c r="O27" s="2248"/>
      <c r="P27" s="2248"/>
      <c r="Q27" s="2248"/>
      <c r="R27" s="2248"/>
      <c r="S27" s="2248"/>
      <c r="T27" s="2248"/>
      <c r="U27" s="2248"/>
      <c r="V27" s="2248"/>
      <c r="W27" s="2248"/>
    </row>
    <row r="28" spans="1:23">
      <c r="A28" s="2248"/>
      <c r="B28" s="2251"/>
      <c r="C28" s="2256"/>
      <c r="D28" s="2252" t="s">
        <v>2205</v>
      </c>
      <c r="E28" s="2252"/>
      <c r="F28" s="2252"/>
      <c r="G28" s="2252"/>
      <c r="H28" s="2252"/>
      <c r="I28" s="2252"/>
      <c r="J28" s="2252"/>
      <c r="K28" s="2252"/>
      <c r="L28" s="2252"/>
      <c r="M28" s="2253"/>
      <c r="N28" s="2248"/>
      <c r="O28" s="2248"/>
      <c r="P28" s="2248"/>
      <c r="Q28" s="2248"/>
      <c r="R28" s="2248"/>
      <c r="S28" s="2248"/>
      <c r="T28" s="2248"/>
      <c r="U28" s="2248"/>
      <c r="V28" s="2248"/>
      <c r="W28" s="2248"/>
    </row>
    <row r="29" spans="1:23">
      <c r="A29" s="2248"/>
      <c r="B29" s="2251"/>
      <c r="C29" s="2256"/>
      <c r="D29" s="2252" t="s">
        <v>1999</v>
      </c>
      <c r="E29" s="2252"/>
      <c r="F29" s="2252"/>
      <c r="G29" s="2252"/>
      <c r="H29" s="2252"/>
      <c r="I29" s="2252"/>
      <c r="J29" s="2252"/>
      <c r="K29" s="2252"/>
      <c r="L29" s="2252"/>
      <c r="M29" s="2253"/>
      <c r="N29" s="2248"/>
      <c r="O29" s="2248"/>
      <c r="P29" s="2248"/>
      <c r="Q29" s="2248"/>
      <c r="R29" s="2248"/>
      <c r="S29" s="2248"/>
      <c r="T29" s="2248"/>
      <c r="U29" s="2248"/>
      <c r="V29" s="2248"/>
      <c r="W29" s="2248"/>
    </row>
    <row r="30" spans="1:23">
      <c r="A30" s="2248"/>
      <c r="B30" s="2251"/>
      <c r="C30" s="2256"/>
      <c r="D30" s="2252" t="s">
        <v>2001</v>
      </c>
      <c r="E30" s="2252"/>
      <c r="F30" s="2252"/>
      <c r="G30" s="2252"/>
      <c r="H30" s="2252"/>
      <c r="I30" s="2252"/>
      <c r="J30" s="2252"/>
      <c r="K30" s="2252"/>
      <c r="L30" s="2252"/>
      <c r="M30" s="2253"/>
      <c r="N30" s="2248"/>
      <c r="O30" s="2248"/>
      <c r="P30" s="2248"/>
      <c r="Q30" s="2248"/>
      <c r="R30" s="2248"/>
      <c r="S30" s="2248"/>
      <c r="T30" s="2248"/>
      <c r="U30" s="2248"/>
      <c r="V30" s="2248"/>
      <c r="W30" s="2248"/>
    </row>
    <row r="31" spans="1:23">
      <c r="A31" s="2248"/>
      <c r="B31" s="2251"/>
      <c r="C31" s="2256"/>
      <c r="D31" s="2262" t="s">
        <v>2002</v>
      </c>
      <c r="E31" s="2262"/>
      <c r="F31" s="2262"/>
      <c r="G31" s="2262"/>
      <c r="H31" s="2262"/>
      <c r="I31" s="2262"/>
      <c r="J31" s="2262"/>
      <c r="K31" s="2262"/>
      <c r="L31" s="2262"/>
      <c r="M31" s="2266"/>
      <c r="N31" s="2248"/>
      <c r="O31" s="2248"/>
      <c r="P31" s="2248"/>
      <c r="Q31" s="2248"/>
      <c r="R31" s="2248"/>
      <c r="S31" s="2248"/>
      <c r="T31" s="2248"/>
      <c r="U31" s="2248"/>
      <c r="V31" s="2248"/>
      <c r="W31" s="2248"/>
    </row>
    <row r="32" spans="1:23">
      <c r="A32" s="2248"/>
      <c r="B32" s="2251"/>
      <c r="C32" s="2256"/>
      <c r="D32" s="2335">
        <f>+'TRIAL-BALANCE'!E8</f>
        <v>2021</v>
      </c>
      <c r="E32" s="2335"/>
      <c r="F32" s="2335"/>
      <c r="G32" s="2335"/>
      <c r="H32" s="2336">
        <f>+'TRIAL-BALANCE'!E8</f>
        <v>2021</v>
      </c>
      <c r="I32" s="2336"/>
      <c r="J32" s="2336"/>
      <c r="K32" s="2318">
        <f>+'TRIAL-BALANCE'!E8</f>
        <v>2021</v>
      </c>
      <c r="L32" s="2319">
        <f>+'TRIAL-BALANCE'!E8</f>
        <v>2021</v>
      </c>
      <c r="M32" s="2320"/>
      <c r="N32" s="2248"/>
      <c r="O32" s="2248"/>
      <c r="P32" s="2248"/>
      <c r="Q32" s="2248"/>
      <c r="R32" s="2248"/>
      <c r="S32" s="2248"/>
      <c r="T32" s="2248"/>
      <c r="U32" s="2248"/>
      <c r="V32" s="2248"/>
      <c r="W32" s="2248"/>
    </row>
    <row r="33" spans="1:23">
      <c r="A33" s="2248"/>
      <c r="B33" s="2251"/>
      <c r="C33" s="2256">
        <f>1+C27</f>
        <v>12</v>
      </c>
      <c r="D33" s="2252" t="s">
        <v>2206</v>
      </c>
      <c r="E33" s="2252"/>
      <c r="F33" s="2252"/>
      <c r="G33" s="2252"/>
      <c r="H33" s="2252"/>
      <c r="I33" s="2252"/>
      <c r="J33" s="2252"/>
      <c r="K33" s="2252"/>
      <c r="L33" s="2252"/>
      <c r="M33" s="2253"/>
      <c r="N33" s="2248"/>
      <c r="O33" s="2248"/>
      <c r="P33" s="2248"/>
      <c r="Q33" s="2248"/>
      <c r="R33" s="2248"/>
      <c r="S33" s="2248"/>
      <c r="T33" s="2248"/>
      <c r="U33" s="2248"/>
      <c r="V33" s="2248"/>
      <c r="W33" s="2248"/>
    </row>
    <row r="34" spans="1:23">
      <c r="A34" s="2248"/>
      <c r="B34" s="2251"/>
      <c r="C34" s="2256"/>
      <c r="D34" s="2259" t="s">
        <v>2207</v>
      </c>
      <c r="E34" s="2260"/>
      <c r="F34" s="2260"/>
      <c r="G34" s="2260"/>
      <c r="H34" s="2260"/>
      <c r="I34" s="2260"/>
      <c r="J34" s="2260"/>
      <c r="K34" s="2260"/>
      <c r="L34" s="2260"/>
      <c r="M34" s="2261"/>
      <c r="N34" s="2248"/>
      <c r="O34" s="2248"/>
      <c r="P34" s="2248"/>
      <c r="Q34" s="2248"/>
      <c r="R34" s="2248"/>
      <c r="S34" s="2248"/>
      <c r="T34" s="2248"/>
      <c r="U34" s="2248"/>
      <c r="V34" s="2248"/>
      <c r="W34" s="2248"/>
    </row>
    <row r="35" spans="1:23">
      <c r="A35" s="2248"/>
      <c r="B35" s="2251"/>
      <c r="C35" s="2256"/>
      <c r="D35" s="2252" t="s">
        <v>2208</v>
      </c>
      <c r="E35" s="2252"/>
      <c r="F35" s="2252"/>
      <c r="G35" s="2252"/>
      <c r="H35" s="2252"/>
      <c r="I35" s="2252"/>
      <c r="J35" s="2252"/>
      <c r="K35" s="2252"/>
      <c r="L35" s="2252"/>
      <c r="M35" s="2253"/>
      <c r="N35" s="2248"/>
      <c r="O35" s="2248"/>
      <c r="P35" s="2248"/>
      <c r="Q35" s="2248"/>
      <c r="R35" s="2248"/>
      <c r="S35" s="2248"/>
      <c r="T35" s="2248"/>
      <c r="U35" s="2248"/>
      <c r="V35" s="2248"/>
      <c r="W35" s="2248"/>
    </row>
    <row r="36" spans="1:23">
      <c r="A36" s="2248"/>
      <c r="B36" s="2251"/>
      <c r="C36" s="2256"/>
      <c r="D36" s="2252" t="s">
        <v>2209</v>
      </c>
      <c r="E36" s="2252"/>
      <c r="F36" s="2252"/>
      <c r="G36" s="2252"/>
      <c r="H36" s="2252"/>
      <c r="I36" s="2252"/>
      <c r="J36" s="2252"/>
      <c r="K36" s="2252"/>
      <c r="L36" s="2252"/>
      <c r="M36" s="2253"/>
      <c r="N36" s="2248"/>
      <c r="O36" s="2248"/>
      <c r="P36" s="2248"/>
      <c r="Q36" s="2248"/>
      <c r="R36" s="2248"/>
      <c r="S36" s="2248"/>
      <c r="T36" s="2248"/>
      <c r="U36" s="2248"/>
      <c r="V36" s="2248"/>
      <c r="W36" s="2248"/>
    </row>
    <row r="37" spans="1:23">
      <c r="A37" s="2248"/>
      <c r="B37" s="2251"/>
      <c r="C37" s="2256"/>
      <c r="D37" s="2262" t="s">
        <v>2210</v>
      </c>
      <c r="E37" s="2262"/>
      <c r="F37" s="2262"/>
      <c r="G37" s="2262"/>
      <c r="H37" s="2262"/>
      <c r="I37" s="2262"/>
      <c r="J37" s="2262"/>
      <c r="K37" s="2262"/>
      <c r="L37" s="2262"/>
      <c r="M37" s="2266"/>
      <c r="N37" s="2248"/>
      <c r="O37" s="2248"/>
      <c r="P37" s="2248"/>
      <c r="Q37" s="2248"/>
      <c r="R37" s="2248"/>
      <c r="S37" s="2248"/>
      <c r="T37" s="2248"/>
      <c r="U37" s="2248"/>
      <c r="V37" s="2248"/>
      <c r="W37" s="2248"/>
    </row>
    <row r="38" spans="1:23">
      <c r="A38" s="2248"/>
      <c r="B38" s="2251"/>
      <c r="C38" s="2256">
        <f>1+C33</f>
        <v>13</v>
      </c>
      <c r="D38" s="2262" t="s">
        <v>2211</v>
      </c>
      <c r="E38" s="2262"/>
      <c r="F38" s="2262"/>
      <c r="G38" s="2262"/>
      <c r="H38" s="2262"/>
      <c r="I38" s="2262"/>
      <c r="J38" s="2262"/>
      <c r="K38" s="2262"/>
      <c r="L38" s="2262"/>
      <c r="M38" s="2266"/>
      <c r="N38" s="2248"/>
      <c r="O38" s="2248"/>
      <c r="P38" s="2248"/>
      <c r="Q38" s="2248"/>
      <c r="R38" s="2248"/>
      <c r="S38" s="2248"/>
      <c r="T38" s="2248"/>
      <c r="U38" s="2248"/>
      <c r="V38" s="2248"/>
      <c r="W38" s="2248"/>
    </row>
    <row r="39" spans="1:23">
      <c r="A39" s="2248"/>
      <c r="B39" s="2251"/>
      <c r="C39" s="2256"/>
      <c r="D39" s="2252" t="s">
        <v>2024</v>
      </c>
      <c r="E39" s="2252"/>
      <c r="F39" s="2252"/>
      <c r="G39" s="2252"/>
      <c r="H39" s="2252"/>
      <c r="I39" s="2252"/>
      <c r="J39" s="2252"/>
      <c r="K39" s="2252"/>
      <c r="L39" s="2252"/>
      <c r="M39" s="2253"/>
      <c r="N39" s="2248"/>
      <c r="O39" s="2248"/>
      <c r="P39" s="2248"/>
      <c r="Q39" s="2248"/>
      <c r="R39" s="2248"/>
      <c r="S39" s="2248"/>
      <c r="T39" s="2248"/>
      <c r="U39" s="2248"/>
      <c r="V39" s="2248"/>
      <c r="W39" s="2248"/>
    </row>
    <row r="40" spans="1:23">
      <c r="A40" s="2248"/>
      <c r="B40" s="2251"/>
      <c r="C40" s="2256"/>
      <c r="D40" s="2252" t="s">
        <v>2212</v>
      </c>
      <c r="E40" s="2252"/>
      <c r="F40" s="2252"/>
      <c r="G40" s="2252"/>
      <c r="H40" s="2252"/>
      <c r="I40" s="2252"/>
      <c r="J40" s="2252"/>
      <c r="K40" s="2252"/>
      <c r="L40" s="2252"/>
      <c r="M40" s="2253"/>
      <c r="N40" s="2248"/>
      <c r="O40" s="2248"/>
      <c r="P40" s="2248"/>
      <c r="Q40" s="2248"/>
      <c r="R40" s="2248"/>
      <c r="S40" s="2248"/>
      <c r="T40" s="2248"/>
      <c r="U40" s="2248"/>
      <c r="V40" s="2248"/>
      <c r="W40" s="2248"/>
    </row>
    <row r="41" spans="1:23">
      <c r="A41" s="2248"/>
      <c r="B41" s="2251"/>
      <c r="C41" s="2256"/>
      <c r="D41" s="2252" t="s">
        <v>2213</v>
      </c>
      <c r="E41" s="2252"/>
      <c r="F41" s="2252"/>
      <c r="G41" s="2252"/>
      <c r="H41" s="2252"/>
      <c r="I41" s="2252"/>
      <c r="J41" s="2252"/>
      <c r="K41" s="2252"/>
      <c r="L41" s="2252"/>
      <c r="M41" s="2253"/>
      <c r="N41" s="2248"/>
      <c r="O41" s="2248"/>
      <c r="P41" s="2248"/>
      <c r="Q41" s="2248"/>
      <c r="R41" s="2248"/>
      <c r="S41" s="2248"/>
      <c r="T41" s="2248"/>
      <c r="U41" s="2248"/>
      <c r="V41" s="2248"/>
      <c r="W41" s="2248"/>
    </row>
    <row r="42" spans="1:23">
      <c r="A42" s="2248"/>
      <c r="B42" s="2251"/>
      <c r="C42" s="2256"/>
      <c r="D42" s="2252" t="s">
        <v>2025</v>
      </c>
      <c r="E42" s="2252"/>
      <c r="F42" s="2252"/>
      <c r="G42" s="2252"/>
      <c r="H42" s="2252"/>
      <c r="I42" s="2252"/>
      <c r="J42" s="2252"/>
      <c r="K42" s="2252"/>
      <c r="L42" s="2252"/>
      <c r="M42" s="2253"/>
      <c r="N42" s="2248"/>
      <c r="O42" s="2248"/>
      <c r="P42" s="2248"/>
      <c r="Q42" s="2248"/>
      <c r="R42" s="2248"/>
      <c r="S42" s="2248"/>
      <c r="T42" s="2248"/>
      <c r="U42" s="2248"/>
      <c r="V42" s="2248"/>
      <c r="W42" s="2248"/>
    </row>
    <row r="43" spans="1:23">
      <c r="A43" s="2248"/>
      <c r="B43" s="2251"/>
      <c r="C43" s="2256"/>
      <c r="D43" s="2252" t="s">
        <v>2214</v>
      </c>
      <c r="E43" s="2252"/>
      <c r="F43" s="2252"/>
      <c r="G43" s="2252"/>
      <c r="H43" s="2252"/>
      <c r="I43" s="2252"/>
      <c r="J43" s="2252"/>
      <c r="K43" s="2252"/>
      <c r="L43" s="2252"/>
      <c r="M43" s="2253"/>
      <c r="N43" s="2248"/>
      <c r="O43" s="2248"/>
      <c r="P43" s="2248"/>
      <c r="Q43" s="2248"/>
      <c r="R43" s="2248"/>
      <c r="S43" s="2248"/>
      <c r="T43" s="2248"/>
      <c r="U43" s="2248"/>
      <c r="V43" s="2248"/>
      <c r="W43" s="2248"/>
    </row>
    <row r="44" spans="1:23">
      <c r="A44" s="2248"/>
      <c r="B44" s="2251"/>
      <c r="C44" s="2256">
        <f>1+C38</f>
        <v>14</v>
      </c>
      <c r="D44" s="2252" t="s">
        <v>2215</v>
      </c>
      <c r="E44" s="2252"/>
      <c r="F44" s="2252"/>
      <c r="G44" s="2252"/>
      <c r="H44" s="2252"/>
      <c r="I44" s="2252"/>
      <c r="J44" s="2252"/>
      <c r="K44" s="2252"/>
      <c r="L44" s="2252"/>
      <c r="M44" s="2253"/>
      <c r="N44" s="2248"/>
      <c r="O44" s="2248"/>
      <c r="P44" s="2248"/>
      <c r="Q44" s="2248"/>
      <c r="R44" s="2248"/>
      <c r="S44" s="2248"/>
      <c r="T44" s="2248"/>
      <c r="U44" s="2248"/>
      <c r="V44" s="2248"/>
      <c r="W44" s="2248"/>
    </row>
    <row r="45" spans="1:23">
      <c r="A45" s="2248"/>
      <c r="B45" s="2251"/>
      <c r="C45" s="2256"/>
      <c r="D45" s="2252" t="s">
        <v>2216</v>
      </c>
      <c r="E45" s="2252"/>
      <c r="F45" s="2252"/>
      <c r="G45" s="2252"/>
      <c r="H45" s="2252"/>
      <c r="I45" s="2252"/>
      <c r="J45" s="2252"/>
      <c r="K45" s="2252"/>
      <c r="L45" s="2252"/>
      <c r="M45" s="2253"/>
      <c r="N45" s="2248"/>
      <c r="O45" s="2248"/>
      <c r="P45" s="2248"/>
      <c r="Q45" s="2248"/>
      <c r="R45" s="2248"/>
      <c r="S45" s="2248"/>
      <c r="T45" s="2248"/>
      <c r="U45" s="2248"/>
      <c r="V45" s="2248"/>
      <c r="W45" s="2248"/>
    </row>
    <row r="46" spans="1:23">
      <c r="A46" s="2248"/>
      <c r="B46" s="2251"/>
      <c r="C46" s="2256"/>
      <c r="D46" s="2262" t="s">
        <v>2217</v>
      </c>
      <c r="E46" s="2262"/>
      <c r="F46" s="2262"/>
      <c r="G46" s="2262"/>
      <c r="H46" s="2262"/>
      <c r="I46" s="2262"/>
      <c r="J46" s="2262"/>
      <c r="K46" s="2262"/>
      <c r="L46" s="2262"/>
      <c r="M46" s="2266"/>
      <c r="N46" s="2248"/>
      <c r="O46" s="2248"/>
      <c r="P46" s="2248"/>
      <c r="Q46" s="2248"/>
      <c r="R46" s="2248"/>
      <c r="S46" s="2248"/>
      <c r="T46" s="2248"/>
      <c r="U46" s="2248"/>
      <c r="V46" s="2248"/>
      <c r="W46" s="2248"/>
    </row>
    <row r="47" spans="1:23">
      <c r="A47" s="2248"/>
      <c r="B47" s="2251"/>
      <c r="C47" s="2256"/>
      <c r="D47" s="2262" t="s">
        <v>2218</v>
      </c>
      <c r="E47" s="2262"/>
      <c r="F47" s="2262"/>
      <c r="G47" s="2262"/>
      <c r="H47" s="2262"/>
      <c r="I47" s="2262"/>
      <c r="J47" s="2262"/>
      <c r="K47" s="2262"/>
      <c r="L47" s="2262"/>
      <c r="M47" s="2266"/>
      <c r="N47" s="2248"/>
      <c r="O47" s="2248"/>
      <c r="P47" s="2248"/>
      <c r="Q47" s="2248"/>
      <c r="R47" s="2248"/>
      <c r="S47" s="2248"/>
      <c r="T47" s="2248"/>
      <c r="U47" s="2248"/>
      <c r="V47" s="2248"/>
      <c r="W47" s="2248"/>
    </row>
    <row r="48" spans="1:23">
      <c r="A48" s="2248"/>
      <c r="B48" s="2251"/>
      <c r="C48" s="2256"/>
      <c r="D48" s="2252" t="s">
        <v>2219</v>
      </c>
      <c r="E48" s="2252"/>
      <c r="F48" s="2252"/>
      <c r="G48" s="2252"/>
      <c r="H48" s="2252"/>
      <c r="I48" s="2252"/>
      <c r="J48" s="2252"/>
      <c r="K48" s="2252"/>
      <c r="L48" s="2252"/>
      <c r="M48" s="2253"/>
      <c r="N48" s="2248"/>
      <c r="O48" s="2248"/>
      <c r="P48" s="2248"/>
      <c r="Q48" s="2248"/>
      <c r="R48" s="2248"/>
      <c r="S48" s="2248"/>
      <c r="T48" s="2248"/>
      <c r="U48" s="2248"/>
      <c r="V48" s="2248"/>
      <c r="W48" s="2248"/>
    </row>
    <row r="49" spans="1:23">
      <c r="A49" s="2248"/>
      <c r="B49" s="2251"/>
      <c r="C49" s="2256">
        <f>1+C44</f>
        <v>15</v>
      </c>
      <c r="D49" s="2252" t="s">
        <v>2220</v>
      </c>
      <c r="E49" s="2262"/>
      <c r="F49" s="2262"/>
      <c r="G49" s="2262"/>
      <c r="H49" s="2262"/>
      <c r="I49" s="2262"/>
      <c r="J49" s="2262"/>
      <c r="K49" s="2262"/>
      <c r="L49" s="2262"/>
      <c r="M49" s="2266"/>
      <c r="N49" s="2248"/>
      <c r="O49" s="2248"/>
      <c r="P49" s="2248"/>
      <c r="Q49" s="2248"/>
      <c r="R49" s="2248"/>
      <c r="S49" s="2248"/>
      <c r="T49" s="2248"/>
      <c r="U49" s="2248"/>
      <c r="V49" s="2248"/>
      <c r="W49" s="2248"/>
    </row>
    <row r="50" spans="1:23">
      <c r="A50" s="2248"/>
      <c r="B50" s="2251"/>
      <c r="C50" s="2256"/>
      <c r="D50" s="2337">
        <f>+'TRIAL-BALANCE'!E8</f>
        <v>2021</v>
      </c>
      <c r="E50" s="2337"/>
      <c r="F50" s="2337"/>
      <c r="G50" s="2337"/>
      <c r="H50" s="2338">
        <f>+'TRIAL-BALANCE'!E8</f>
        <v>2021</v>
      </c>
      <c r="I50" s="2338"/>
      <c r="J50" s="2338"/>
      <c r="K50" s="2252" t="s">
        <v>2029</v>
      </c>
      <c r="L50" s="2321"/>
      <c r="M50" s="2320"/>
      <c r="N50" s="2248"/>
      <c r="O50" s="2248"/>
      <c r="P50" s="2248"/>
      <c r="Q50" s="2248"/>
      <c r="R50" s="2248"/>
      <c r="S50" s="2248"/>
      <c r="T50" s="2248"/>
      <c r="U50" s="2248"/>
      <c r="V50" s="2248"/>
      <c r="W50" s="2248"/>
    </row>
    <row r="51" spans="1:23">
      <c r="A51" s="2248"/>
      <c r="B51" s="2251"/>
      <c r="C51" s="2256"/>
      <c r="D51" s="2252" t="s">
        <v>2221</v>
      </c>
      <c r="E51" s="2252"/>
      <c r="F51" s="2252"/>
      <c r="G51" s="2252"/>
      <c r="H51" s="2252"/>
      <c r="I51" s="2252"/>
      <c r="J51" s="2252"/>
      <c r="K51" s="2252"/>
      <c r="L51" s="2252"/>
      <c r="M51" s="2253"/>
      <c r="N51" s="2248"/>
      <c r="O51" s="2248"/>
      <c r="P51" s="2248"/>
      <c r="Q51" s="2248"/>
      <c r="R51" s="2248"/>
      <c r="S51" s="2248"/>
      <c r="T51" s="2248"/>
      <c r="U51" s="2248"/>
      <c r="V51" s="2248"/>
      <c r="W51" s="2248"/>
    </row>
    <row r="52" spans="1:23">
      <c r="A52" s="2248"/>
      <c r="B52" s="2251"/>
      <c r="C52" s="2256">
        <f>1+C49</f>
        <v>16</v>
      </c>
      <c r="D52" s="2252" t="s">
        <v>2222</v>
      </c>
      <c r="E52" s="2262"/>
      <c r="F52" s="2262"/>
      <c r="G52" s="2262"/>
      <c r="H52" s="2262"/>
      <c r="I52" s="2262"/>
      <c r="J52" s="2262"/>
      <c r="K52" s="2262"/>
      <c r="L52" s="2262"/>
      <c r="M52" s="2266"/>
      <c r="N52" s="2248"/>
      <c r="O52" s="2248"/>
      <c r="P52" s="2248"/>
      <c r="Q52" s="2248"/>
      <c r="R52" s="2248"/>
      <c r="S52" s="2248"/>
      <c r="T52" s="2248"/>
      <c r="U52" s="2248"/>
      <c r="V52" s="2248"/>
      <c r="W52" s="2248"/>
    </row>
    <row r="53" spans="1:23">
      <c r="A53" s="2248"/>
      <c r="B53" s="2251"/>
      <c r="C53" s="2256"/>
      <c r="D53" s="2252" t="s">
        <v>2037</v>
      </c>
      <c r="E53" s="2262"/>
      <c r="F53" s="2262"/>
      <c r="G53" s="2262"/>
      <c r="H53" s="2262"/>
      <c r="I53" s="2262"/>
      <c r="J53" s="2262"/>
      <c r="K53" s="2252"/>
      <c r="L53" s="2321"/>
      <c r="M53" s="2320"/>
      <c r="N53" s="2248"/>
      <c r="O53" s="2248"/>
      <c r="P53" s="2248"/>
      <c r="Q53" s="2248"/>
      <c r="R53" s="2248"/>
      <c r="S53" s="2248"/>
      <c r="T53" s="2248"/>
      <c r="U53" s="2248"/>
      <c r="V53" s="2248"/>
      <c r="W53" s="2248"/>
    </row>
    <row r="54" spans="1:23">
      <c r="A54" s="2248"/>
      <c r="B54" s="2251"/>
      <c r="C54" s="2256"/>
      <c r="D54" s="2252" t="s">
        <v>2223</v>
      </c>
      <c r="E54" s="2252"/>
      <c r="F54" s="2252"/>
      <c r="G54" s="2252"/>
      <c r="H54" s="2252"/>
      <c r="I54" s="2252"/>
      <c r="J54" s="2252"/>
      <c r="K54" s="2252"/>
      <c r="L54" s="2252"/>
      <c r="M54" s="2253"/>
      <c r="N54" s="2248"/>
      <c r="O54" s="2248"/>
      <c r="P54" s="2248"/>
      <c r="Q54" s="2248"/>
      <c r="R54" s="2248"/>
      <c r="S54" s="2248"/>
      <c r="T54" s="2248"/>
      <c r="U54" s="2248"/>
      <c r="V54" s="2248"/>
      <c r="W54" s="2248"/>
    </row>
    <row r="55" spans="1:23">
      <c r="A55" s="2248"/>
      <c r="B55" s="2251"/>
      <c r="C55" s="2256">
        <f>1+C52</f>
        <v>17</v>
      </c>
      <c r="D55" s="2252" t="s">
        <v>2224</v>
      </c>
      <c r="E55" s="2262"/>
      <c r="F55" s="2262"/>
      <c r="G55" s="2262"/>
      <c r="H55" s="2262"/>
      <c r="I55" s="2262"/>
      <c r="J55" s="2262"/>
      <c r="K55" s="2262"/>
      <c r="L55" s="2262"/>
      <c r="M55" s="2266"/>
      <c r="N55" s="2248"/>
      <c r="O55" s="2248"/>
      <c r="P55" s="2248"/>
      <c r="Q55" s="2248"/>
      <c r="R55" s="2248"/>
      <c r="S55" s="2248"/>
      <c r="T55" s="2248"/>
      <c r="U55" s="2248"/>
      <c r="V55" s="2248"/>
      <c r="W55" s="2248"/>
    </row>
    <row r="56" spans="1:23">
      <c r="A56" s="2248"/>
      <c r="B56" s="2251"/>
      <c r="C56" s="2256"/>
      <c r="D56" s="2337">
        <f>+'TRIAL-BALANCE'!E8</f>
        <v>2021</v>
      </c>
      <c r="E56" s="2337"/>
      <c r="F56" s="2337"/>
      <c r="G56" s="2337"/>
      <c r="H56" s="2339">
        <f>+'TRIAL-BALANCE'!E8</f>
        <v>2021</v>
      </c>
      <c r="I56" s="2339"/>
      <c r="J56" s="2339"/>
      <c r="K56" s="2267" t="s">
        <v>2046</v>
      </c>
      <c r="L56" s="2321"/>
      <c r="M56" s="2320"/>
      <c r="N56" s="2248"/>
      <c r="O56" s="2248"/>
      <c r="P56" s="2248"/>
      <c r="Q56" s="2248"/>
      <c r="R56" s="2248"/>
      <c r="S56" s="2248"/>
      <c r="T56" s="2248"/>
      <c r="U56" s="2248"/>
      <c r="V56" s="2248"/>
      <c r="W56" s="2248"/>
    </row>
    <row r="57" spans="1:23">
      <c r="A57" s="2248"/>
      <c r="B57" s="2251"/>
      <c r="C57" s="2256"/>
      <c r="D57" s="2340">
        <f>+'TRIAL-BALANCE'!E8</f>
        <v>2021</v>
      </c>
      <c r="E57" s="2340"/>
      <c r="F57" s="2322" t="s">
        <v>2038</v>
      </c>
      <c r="G57" s="2341">
        <f>+'TRIAL-BALANCE'!E8</f>
        <v>2021</v>
      </c>
      <c r="H57" s="2341"/>
      <c r="I57" s="2323" t="s">
        <v>2044</v>
      </c>
      <c r="J57" s="2252"/>
      <c r="K57" s="2252"/>
      <c r="L57" s="2252"/>
      <c r="M57" s="2253"/>
      <c r="N57" s="2248"/>
      <c r="O57" s="2248"/>
      <c r="P57" s="2248"/>
      <c r="Q57" s="2248"/>
      <c r="R57" s="2248"/>
      <c r="S57" s="2248"/>
      <c r="T57" s="2248"/>
      <c r="U57" s="2248"/>
      <c r="V57" s="2248"/>
      <c r="W57" s="2248"/>
    </row>
    <row r="58" spans="1:23">
      <c r="A58" s="2248"/>
      <c r="B58" s="2251"/>
      <c r="C58" s="2256"/>
      <c r="D58" s="2252" t="s">
        <v>2045</v>
      </c>
      <c r="E58" s="2252"/>
      <c r="F58" s="2252"/>
      <c r="G58" s="2252"/>
      <c r="H58" s="2252"/>
      <c r="I58" s="2252"/>
      <c r="J58" s="2252"/>
      <c r="K58" s="2252"/>
      <c r="L58" s="2252"/>
      <c r="M58" s="2253"/>
      <c r="N58" s="2248"/>
      <c r="O58" s="2248"/>
      <c r="P58" s="2248"/>
      <c r="Q58" s="2248"/>
      <c r="R58" s="2248"/>
      <c r="S58" s="2248"/>
      <c r="T58" s="2248"/>
      <c r="U58" s="2248"/>
      <c r="V58" s="2248"/>
      <c r="W58" s="2248"/>
    </row>
    <row r="59" spans="1:23" ht="3.75" customHeight="1">
      <c r="A59" s="2248"/>
      <c r="B59" s="2251"/>
      <c r="C59" s="2256"/>
      <c r="D59" s="2252"/>
      <c r="E59" s="2252"/>
      <c r="F59" s="2252"/>
      <c r="G59" s="2252"/>
      <c r="H59" s="2252"/>
      <c r="I59" s="2252"/>
      <c r="J59" s="2252"/>
      <c r="K59" s="2252"/>
      <c r="L59" s="2252"/>
      <c r="M59" s="2253"/>
      <c r="N59" s="2248"/>
      <c r="O59" s="2248"/>
      <c r="P59" s="2248"/>
      <c r="Q59" s="2248"/>
      <c r="R59" s="2248"/>
      <c r="S59" s="2248"/>
      <c r="T59" s="2248"/>
      <c r="U59" s="2248"/>
      <c r="V59" s="2248"/>
      <c r="W59" s="2248"/>
    </row>
    <row r="60" spans="1:23">
      <c r="A60" s="2248"/>
      <c r="B60" s="2254" t="s">
        <v>1396</v>
      </c>
      <c r="C60" s="2258" t="s">
        <v>1909</v>
      </c>
      <c r="D60" s="2252"/>
      <c r="E60" s="2252"/>
      <c r="F60" s="2252"/>
      <c r="G60" s="2252"/>
      <c r="H60" s="2252"/>
      <c r="I60" s="2252"/>
      <c r="J60" s="2252"/>
      <c r="K60" s="2252"/>
      <c r="L60" s="2252"/>
      <c r="M60" s="2253"/>
      <c r="N60" s="2248"/>
      <c r="O60" s="2248"/>
      <c r="P60" s="2248"/>
      <c r="Q60" s="2248"/>
      <c r="R60" s="2248"/>
      <c r="S60" s="2248"/>
      <c r="T60" s="2248"/>
      <c r="U60" s="2248"/>
      <c r="V60" s="2248"/>
      <c r="W60" s="2248"/>
    </row>
    <row r="61" spans="1:23">
      <c r="A61" s="2248"/>
      <c r="B61" s="2251"/>
      <c r="C61" s="2256">
        <f>1+C55</f>
        <v>18</v>
      </c>
      <c r="D61" s="2252" t="s">
        <v>1397</v>
      </c>
      <c r="E61" s="2252"/>
      <c r="F61" s="2252"/>
      <c r="G61" s="2252"/>
      <c r="H61" s="2252"/>
      <c r="I61" s="2252"/>
      <c r="J61" s="2252"/>
      <c r="K61" s="2252"/>
      <c r="L61" s="2252"/>
      <c r="M61" s="2253"/>
      <c r="N61" s="2248"/>
      <c r="O61" s="2248"/>
      <c r="P61" s="2248"/>
      <c r="Q61" s="2248"/>
      <c r="R61" s="2248"/>
      <c r="S61" s="2248"/>
      <c r="T61" s="2248"/>
      <c r="U61" s="2248"/>
      <c r="V61" s="2248"/>
      <c r="W61" s="2248"/>
    </row>
    <row r="62" spans="1:23">
      <c r="A62" s="2248"/>
      <c r="B62" s="2251"/>
      <c r="C62" s="2256">
        <f>1+C61</f>
        <v>19</v>
      </c>
      <c r="D62" s="2252" t="s">
        <v>2115</v>
      </c>
      <c r="E62" s="2252"/>
      <c r="F62" s="2252"/>
      <c r="G62" s="2252"/>
      <c r="H62" s="2252"/>
      <c r="I62" s="2252"/>
      <c r="J62" s="2252"/>
      <c r="K62" s="2252"/>
      <c r="L62" s="2252"/>
      <c r="M62" s="2253"/>
      <c r="N62" s="2248"/>
      <c r="O62" s="2248"/>
      <c r="P62" s="2248"/>
      <c r="Q62" s="2248"/>
      <c r="R62" s="2248"/>
      <c r="S62" s="2248"/>
      <c r="T62" s="2248"/>
      <c r="U62" s="2248"/>
      <c r="V62" s="2248"/>
      <c r="W62" s="2248"/>
    </row>
    <row r="63" spans="1:23">
      <c r="A63" s="2248"/>
      <c r="B63" s="2251"/>
      <c r="C63" s="2256"/>
      <c r="D63" s="2252" t="s">
        <v>2225</v>
      </c>
      <c r="E63" s="2252"/>
      <c r="F63" s="2252"/>
      <c r="G63" s="2252"/>
      <c r="H63" s="2252"/>
      <c r="I63" s="2252"/>
      <c r="J63" s="2252"/>
      <c r="K63" s="2252"/>
      <c r="L63" s="2252"/>
      <c r="M63" s="2253"/>
      <c r="N63" s="2248"/>
      <c r="O63" s="2248"/>
      <c r="P63" s="2248"/>
      <c r="Q63" s="2248"/>
      <c r="R63" s="2248"/>
      <c r="S63" s="2248"/>
      <c r="T63" s="2248"/>
      <c r="U63" s="2248"/>
      <c r="V63" s="2248"/>
      <c r="W63" s="2248"/>
    </row>
    <row r="64" spans="1:23">
      <c r="A64" s="2248"/>
      <c r="B64" s="2251"/>
      <c r="C64" s="2256"/>
      <c r="D64" s="2252" t="s">
        <v>2226</v>
      </c>
      <c r="E64" s="2252"/>
      <c r="F64" s="2252"/>
      <c r="G64" s="2252"/>
      <c r="H64" s="2252"/>
      <c r="I64" s="2252"/>
      <c r="J64" s="2252"/>
      <c r="K64" s="2252"/>
      <c r="L64" s="2252"/>
      <c r="M64" s="2253"/>
      <c r="N64" s="2248"/>
      <c r="O64" s="2248"/>
      <c r="P64" s="2248"/>
      <c r="Q64" s="2248"/>
      <c r="R64" s="2248"/>
      <c r="S64" s="2248"/>
      <c r="T64" s="2248"/>
      <c r="U64" s="2248"/>
      <c r="V64" s="2248"/>
      <c r="W64" s="2248"/>
    </row>
    <row r="65" spans="1:23">
      <c r="A65" s="2248"/>
      <c r="B65" s="2268"/>
      <c r="C65" s="2269"/>
      <c r="D65" s="2265" t="s">
        <v>2227</v>
      </c>
      <c r="E65" s="2263"/>
      <c r="F65" s="2263"/>
      <c r="G65" s="2263"/>
      <c r="H65" s="2263"/>
      <c r="I65" s="2263"/>
      <c r="J65" s="2263"/>
      <c r="K65" s="2263"/>
      <c r="L65" s="2263"/>
      <c r="M65" s="2264"/>
      <c r="N65" s="2248"/>
      <c r="O65" s="2248"/>
      <c r="P65" s="2248"/>
      <c r="Q65" s="2248"/>
      <c r="R65" s="2248"/>
      <c r="S65" s="2248"/>
      <c r="T65" s="2248"/>
      <c r="U65" s="2248"/>
      <c r="V65" s="2248"/>
      <c r="W65" s="2248"/>
    </row>
    <row r="66" spans="1:23">
      <c r="A66" s="2248"/>
      <c r="B66" s="2268"/>
      <c r="C66" s="2269"/>
      <c r="D66" s="2262" t="s">
        <v>1928</v>
      </c>
      <c r="E66" s="2262"/>
      <c r="F66" s="2262"/>
      <c r="G66" s="2262"/>
      <c r="H66" s="2342">
        <f>+'TRIAL-BALANCE'!E8</f>
        <v>2021</v>
      </c>
      <c r="I66" s="2342"/>
      <c r="J66" s="2342"/>
      <c r="K66" s="2343">
        <f>+'TRIAL-BALANCE'!E8</f>
        <v>2021</v>
      </c>
      <c r="L66" s="2343"/>
      <c r="M66" s="2266"/>
      <c r="N66" s="2248"/>
      <c r="O66" s="2248"/>
      <c r="P66" s="2248"/>
      <c r="Q66" s="2248"/>
      <c r="R66" s="2248"/>
      <c r="S66" s="2248"/>
      <c r="T66" s="2248"/>
      <c r="U66" s="2248"/>
      <c r="V66" s="2248"/>
      <c r="W66" s="2248"/>
    </row>
    <row r="67" spans="1:23">
      <c r="A67" s="2248"/>
      <c r="B67" s="2268"/>
      <c r="C67" s="2269"/>
      <c r="D67" s="2344">
        <f>+'TRIAL-BALANCE'!E8</f>
        <v>2021</v>
      </c>
      <c r="E67" s="2344"/>
      <c r="F67" s="2344"/>
      <c r="G67" s="2345">
        <f>+'TRIAL-BALANCE'!E8</f>
        <v>2021</v>
      </c>
      <c r="H67" s="2345"/>
      <c r="I67" s="2345"/>
      <c r="J67" s="2262"/>
      <c r="K67" s="2262"/>
      <c r="L67" s="2262"/>
      <c r="M67" s="2266"/>
      <c r="N67" s="2248"/>
      <c r="O67" s="2248"/>
      <c r="P67" s="2248"/>
      <c r="Q67" s="2248"/>
      <c r="R67" s="2248"/>
      <c r="S67" s="2248"/>
      <c r="T67" s="2248"/>
      <c r="U67" s="2248"/>
      <c r="V67" s="2248"/>
      <c r="W67" s="2248"/>
    </row>
    <row r="68" spans="1:23">
      <c r="A68" s="2248"/>
      <c r="B68" s="2251"/>
      <c r="C68" s="2256">
        <f>1+C62</f>
        <v>20</v>
      </c>
      <c r="D68" s="2252" t="s">
        <v>2026</v>
      </c>
      <c r="E68" s="2252"/>
      <c r="F68" s="2252"/>
      <c r="G68" s="2252"/>
      <c r="H68" s="2252"/>
      <c r="I68" s="2252"/>
      <c r="J68" s="2252"/>
      <c r="K68" s="2252"/>
      <c r="L68" s="2252"/>
      <c r="M68" s="2253"/>
      <c r="N68" s="2248"/>
      <c r="O68" s="2248"/>
      <c r="P68" s="2248"/>
      <c r="Q68" s="2248"/>
      <c r="R68" s="2248"/>
      <c r="S68" s="2248"/>
      <c r="T68" s="2248"/>
      <c r="U68" s="2248"/>
      <c r="V68" s="2248"/>
      <c r="W68" s="2248"/>
    </row>
    <row r="69" spans="1:23">
      <c r="A69" s="2248"/>
      <c r="B69" s="2251"/>
      <c r="C69" s="2256"/>
      <c r="D69" s="2252" t="s">
        <v>2028</v>
      </c>
      <c r="E69" s="2252"/>
      <c r="F69" s="2252"/>
      <c r="G69" s="2252"/>
      <c r="H69" s="2252"/>
      <c r="I69" s="2252"/>
      <c r="J69" s="2252"/>
      <c r="K69" s="2252"/>
      <c r="L69" s="2252"/>
      <c r="M69" s="2253"/>
      <c r="N69" s="2248"/>
      <c r="O69" s="2248"/>
      <c r="P69" s="2248"/>
      <c r="Q69" s="2248"/>
      <c r="R69" s="2248"/>
      <c r="S69" s="2248"/>
      <c r="T69" s="2248"/>
      <c r="U69" s="2248"/>
      <c r="V69" s="2248"/>
      <c r="W69" s="2248"/>
    </row>
    <row r="70" spans="1:23">
      <c r="A70" s="2248"/>
      <c r="B70" s="2251"/>
      <c r="C70" s="2256"/>
      <c r="D70" s="2252" t="s">
        <v>2027</v>
      </c>
      <c r="E70" s="2252"/>
      <c r="F70" s="2252"/>
      <c r="G70" s="2252"/>
      <c r="H70" s="2252"/>
      <c r="I70" s="2252"/>
      <c r="J70" s="2252"/>
      <c r="K70" s="2252"/>
      <c r="L70" s="2252"/>
      <c r="M70" s="2253"/>
      <c r="N70" s="2248"/>
      <c r="O70" s="2248"/>
      <c r="P70" s="2248"/>
      <c r="Q70" s="2248"/>
      <c r="R70" s="2248"/>
      <c r="S70" s="2248"/>
      <c r="T70" s="2248"/>
      <c r="U70" s="2248"/>
      <c r="V70" s="2248"/>
      <c r="W70" s="2248"/>
    </row>
    <row r="71" spans="1:23">
      <c r="A71" s="2248"/>
      <c r="B71" s="2251"/>
      <c r="C71" s="2256">
        <f>1+C68</f>
        <v>21</v>
      </c>
      <c r="D71" s="2252" t="s">
        <v>2116</v>
      </c>
      <c r="E71" s="2252"/>
      <c r="F71" s="2252"/>
      <c r="G71" s="2252"/>
      <c r="H71" s="2252"/>
      <c r="I71" s="2252"/>
      <c r="J71" s="2252"/>
      <c r="K71" s="2252"/>
      <c r="L71" s="2252"/>
      <c r="M71" s="2253"/>
      <c r="N71" s="2248"/>
      <c r="O71" s="2248"/>
      <c r="P71" s="2248"/>
      <c r="Q71" s="2248"/>
      <c r="R71" s="2248"/>
      <c r="S71" s="2248"/>
      <c r="T71" s="2248"/>
      <c r="U71" s="2248"/>
      <c r="V71" s="2248"/>
      <c r="W71" s="2248"/>
    </row>
    <row r="72" spans="1:23">
      <c r="A72" s="2248"/>
      <c r="B72" s="2251"/>
      <c r="C72" s="2256"/>
      <c r="D72" s="2262" t="s">
        <v>2228</v>
      </c>
      <c r="E72" s="2252"/>
      <c r="F72" s="2252"/>
      <c r="G72" s="2252"/>
      <c r="H72" s="2252"/>
      <c r="I72" s="2252"/>
      <c r="J72" s="2252"/>
      <c r="K72" s="2252"/>
      <c r="L72" s="2252"/>
      <c r="M72" s="2253"/>
      <c r="N72" s="2248"/>
      <c r="O72" s="2248"/>
      <c r="P72" s="2248"/>
      <c r="Q72" s="2248"/>
      <c r="R72" s="2248"/>
      <c r="S72" s="2248"/>
      <c r="T72" s="2248"/>
      <c r="U72" s="2248"/>
      <c r="V72" s="2248"/>
      <c r="W72" s="2248"/>
    </row>
    <row r="73" spans="1:23">
      <c r="A73" s="2248"/>
      <c r="B73" s="2251"/>
      <c r="C73" s="2256">
        <f>1+C71</f>
        <v>22</v>
      </c>
      <c r="D73" s="2252" t="s">
        <v>2229</v>
      </c>
      <c r="E73" s="2252"/>
      <c r="F73" s="2252"/>
      <c r="G73" s="2252"/>
      <c r="H73" s="2252"/>
      <c r="I73" s="2252"/>
      <c r="J73" s="2252"/>
      <c r="K73" s="2252"/>
      <c r="L73" s="2252"/>
      <c r="M73" s="2253"/>
      <c r="N73" s="2248"/>
      <c r="O73" s="2248"/>
      <c r="P73" s="2248"/>
      <c r="Q73" s="2248"/>
      <c r="R73" s="2248"/>
      <c r="S73" s="2248"/>
      <c r="T73" s="2248"/>
      <c r="U73" s="2248"/>
      <c r="V73" s="2248"/>
      <c r="W73" s="2248"/>
    </row>
    <row r="74" spans="1:23">
      <c r="A74" s="2248"/>
      <c r="B74" s="2251"/>
      <c r="C74" s="2256">
        <f>1+C73</f>
        <v>23</v>
      </c>
      <c r="D74" s="2252" t="s">
        <v>2230</v>
      </c>
      <c r="E74" s="2252"/>
      <c r="F74" s="2252"/>
      <c r="G74" s="2252"/>
      <c r="H74" s="2252"/>
      <c r="I74" s="2252"/>
      <c r="J74" s="2252"/>
      <c r="K74" s="2252"/>
      <c r="L74" s="2252"/>
      <c r="M74" s="2253"/>
      <c r="N74" s="2248"/>
      <c r="O74" s="2248"/>
      <c r="P74" s="2248"/>
      <c r="Q74" s="2248"/>
      <c r="R74" s="2248"/>
      <c r="S74" s="2248"/>
      <c r="T74" s="2248"/>
      <c r="U74" s="2248"/>
      <c r="V74" s="2248"/>
      <c r="W74" s="2248"/>
    </row>
    <row r="75" spans="1:23">
      <c r="A75" s="2248"/>
      <c r="B75" s="2251"/>
      <c r="C75" s="2252"/>
      <c r="D75" s="2262" t="s">
        <v>2231</v>
      </c>
      <c r="E75" s="2252"/>
      <c r="F75" s="2252"/>
      <c r="G75" s="2252"/>
      <c r="H75" s="2252"/>
      <c r="I75" s="2252"/>
      <c r="J75" s="2252"/>
      <c r="K75" s="2252"/>
      <c r="L75" s="2252"/>
      <c r="M75" s="2253"/>
      <c r="N75" s="2248"/>
      <c r="O75" s="2248"/>
      <c r="P75" s="2248"/>
      <c r="Q75" s="2248"/>
      <c r="R75" s="2248"/>
      <c r="S75" s="2248"/>
      <c r="T75" s="2248"/>
      <c r="U75" s="2248"/>
      <c r="V75" s="2248"/>
      <c r="W75" s="2248"/>
    </row>
    <row r="76" spans="1:23">
      <c r="A76" s="2248"/>
      <c r="B76" s="2251"/>
      <c r="C76" s="2256">
        <f>1+C74</f>
        <v>24</v>
      </c>
      <c r="D76" s="2252" t="s">
        <v>1398</v>
      </c>
      <c r="E76" s="2252"/>
      <c r="F76" s="2252"/>
      <c r="G76" s="2252"/>
      <c r="H76" s="2252"/>
      <c r="I76" s="2252"/>
      <c r="J76" s="2252"/>
      <c r="K76" s="2252"/>
      <c r="L76" s="2252"/>
      <c r="M76" s="2253"/>
      <c r="N76" s="2248"/>
      <c r="O76" s="2248"/>
      <c r="P76" s="2248"/>
      <c r="Q76" s="2248"/>
      <c r="R76" s="2248"/>
      <c r="S76" s="2248"/>
      <c r="T76" s="2248"/>
      <c r="U76" s="2248"/>
      <c r="V76" s="2248"/>
      <c r="W76" s="2248"/>
    </row>
    <row r="77" spans="1:23">
      <c r="A77" s="2248"/>
      <c r="B77" s="2251"/>
      <c r="C77" s="2252"/>
      <c r="D77" s="2262" t="s">
        <v>2232</v>
      </c>
      <c r="E77" s="2252"/>
      <c r="F77" s="2252"/>
      <c r="G77" s="2252"/>
      <c r="H77" s="2252"/>
      <c r="I77" s="2252"/>
      <c r="J77" s="2252"/>
      <c r="K77" s="2252"/>
      <c r="L77" s="2252"/>
      <c r="M77" s="2253"/>
      <c r="N77" s="2248"/>
      <c r="O77" s="2248"/>
      <c r="P77" s="2248"/>
      <c r="Q77" s="2248"/>
      <c r="R77" s="2248"/>
      <c r="S77" s="2248"/>
      <c r="T77" s="2248"/>
      <c r="U77" s="2248"/>
      <c r="V77" s="2248"/>
      <c r="W77" s="2248"/>
    </row>
    <row r="78" spans="1:23">
      <c r="A78" s="2248"/>
      <c r="B78" s="2251"/>
      <c r="C78" s="2252"/>
      <c r="D78" s="2265" t="s">
        <v>2233</v>
      </c>
      <c r="E78" s="2252"/>
      <c r="F78" s="2252"/>
      <c r="G78" s="2252"/>
      <c r="H78" s="2252"/>
      <c r="I78" s="2252"/>
      <c r="J78" s="2252"/>
      <c r="K78" s="2252"/>
      <c r="L78" s="2252"/>
      <c r="M78" s="2253"/>
      <c r="N78" s="2248"/>
      <c r="O78" s="2248"/>
      <c r="P78" s="2248"/>
      <c r="Q78" s="2248"/>
      <c r="R78" s="2248"/>
      <c r="S78" s="2248"/>
      <c r="T78" s="2248"/>
      <c r="U78" s="2248"/>
      <c r="V78" s="2248"/>
      <c r="W78" s="2248"/>
    </row>
    <row r="79" spans="1:23">
      <c r="A79" s="2248"/>
      <c r="B79" s="2251"/>
      <c r="C79" s="2252"/>
      <c r="D79" s="2252" t="s">
        <v>2117</v>
      </c>
      <c r="E79" s="2252"/>
      <c r="F79" s="2252"/>
      <c r="G79" s="2252"/>
      <c r="H79" s="2252"/>
      <c r="I79" s="2252"/>
      <c r="J79" s="2252"/>
      <c r="K79" s="2252"/>
      <c r="L79" s="2252"/>
      <c r="M79" s="2253"/>
      <c r="N79" s="2248"/>
      <c r="O79" s="2248"/>
      <c r="P79" s="2248"/>
      <c r="Q79" s="2248"/>
      <c r="R79" s="2248"/>
      <c r="S79" s="2248"/>
      <c r="T79" s="2248"/>
      <c r="U79" s="2248"/>
      <c r="V79" s="2248"/>
      <c r="W79" s="2248"/>
    </row>
    <row r="80" spans="1:23">
      <c r="A80" s="2248"/>
      <c r="B80" s="2251"/>
      <c r="C80" s="2252"/>
      <c r="D80" s="2262" t="s">
        <v>2234</v>
      </c>
      <c r="E80" s="2252"/>
      <c r="F80" s="2252"/>
      <c r="G80" s="2252"/>
      <c r="H80" s="2252"/>
      <c r="I80" s="2252"/>
      <c r="J80" s="2252"/>
      <c r="K80" s="2252"/>
      <c r="L80" s="2252"/>
      <c r="M80" s="2253"/>
      <c r="N80" s="2248"/>
      <c r="O80" s="2248"/>
      <c r="P80" s="2248"/>
      <c r="Q80" s="2248"/>
      <c r="R80" s="2248"/>
      <c r="S80" s="2248"/>
      <c r="T80" s="2248"/>
      <c r="U80" s="2248"/>
      <c r="V80" s="2248"/>
      <c r="W80" s="2248"/>
    </row>
    <row r="81" spans="1:23">
      <c r="A81" s="2248"/>
      <c r="B81" s="2251"/>
      <c r="C81" s="2252"/>
      <c r="D81" s="2252" t="s">
        <v>2118</v>
      </c>
      <c r="E81" s="2252"/>
      <c r="F81" s="2252"/>
      <c r="G81" s="2252"/>
      <c r="H81" s="2252"/>
      <c r="I81" s="2252"/>
      <c r="J81" s="2252"/>
      <c r="K81" s="2252"/>
      <c r="L81" s="2252"/>
      <c r="M81" s="2253"/>
      <c r="N81" s="2248"/>
      <c r="O81" s="2248"/>
      <c r="P81" s="2248"/>
      <c r="Q81" s="2248"/>
      <c r="R81" s="2248"/>
      <c r="S81" s="2248"/>
      <c r="T81" s="2248"/>
      <c r="U81" s="2248"/>
      <c r="V81" s="2248"/>
      <c r="W81" s="2248"/>
    </row>
    <row r="82" spans="1:23">
      <c r="A82" s="2248"/>
      <c r="B82" s="2251"/>
      <c r="C82" s="2256">
        <f>1+C76</f>
        <v>25</v>
      </c>
      <c r="D82" s="2262" t="s">
        <v>2235</v>
      </c>
      <c r="E82" s="2252"/>
      <c r="F82" s="2252"/>
      <c r="G82" s="2252"/>
      <c r="H82" s="2252"/>
      <c r="I82" s="2252"/>
      <c r="J82" s="2252"/>
      <c r="K82" s="2252"/>
      <c r="L82" s="2252"/>
      <c r="M82" s="2253"/>
      <c r="N82" s="2248"/>
      <c r="O82" s="2248"/>
      <c r="P82" s="2248"/>
      <c r="Q82" s="2248"/>
      <c r="R82" s="2248"/>
      <c r="S82" s="2248"/>
      <c r="T82" s="2248"/>
      <c r="U82" s="2248"/>
      <c r="V82" s="2248"/>
      <c r="W82" s="2248"/>
    </row>
    <row r="83" spans="1:23">
      <c r="A83" s="2248"/>
      <c r="B83" s="2251"/>
      <c r="C83" s="2252"/>
      <c r="D83" s="2252" t="s">
        <v>1399</v>
      </c>
      <c r="E83" s="2252"/>
      <c r="F83" s="2252"/>
      <c r="G83" s="2252"/>
      <c r="H83" s="2252"/>
      <c r="I83" s="2252"/>
      <c r="J83" s="2252"/>
      <c r="K83" s="2252"/>
      <c r="L83" s="2252"/>
      <c r="M83" s="2261"/>
      <c r="N83" s="2248"/>
      <c r="O83" s="2248"/>
      <c r="P83" s="2248"/>
      <c r="Q83" s="2248"/>
      <c r="R83" s="2248"/>
      <c r="S83" s="2248"/>
      <c r="T83" s="2248"/>
      <c r="U83" s="2248"/>
      <c r="V83" s="2248"/>
      <c r="W83" s="2248"/>
    </row>
    <row r="84" spans="1:23" ht="15.75" customHeight="1">
      <c r="A84" s="2248"/>
      <c r="B84" s="2251"/>
      <c r="C84" s="2252"/>
      <c r="D84" s="2252" t="s">
        <v>1400</v>
      </c>
      <c r="E84" s="2252"/>
      <c r="F84" s="2252"/>
      <c r="G84" s="2252"/>
      <c r="H84" s="2252"/>
      <c r="I84" s="2252"/>
      <c r="J84" s="2252"/>
      <c r="K84" s="2252"/>
      <c r="L84" s="2252"/>
      <c r="M84" s="2261"/>
      <c r="N84" s="2248"/>
      <c r="O84" s="2248"/>
      <c r="P84" s="2248"/>
      <c r="Q84" s="2248"/>
      <c r="R84" s="2248"/>
      <c r="S84" s="2248"/>
      <c r="T84" s="2248"/>
      <c r="U84" s="2248"/>
      <c r="V84" s="2248"/>
      <c r="W84" s="2248"/>
    </row>
    <row r="85" spans="1:23">
      <c r="A85" s="2248"/>
      <c r="B85" s="2251"/>
      <c r="C85" s="2256"/>
      <c r="D85" s="2265" t="s">
        <v>2236</v>
      </c>
      <c r="E85" s="2252"/>
      <c r="F85" s="2252"/>
      <c r="G85" s="2252"/>
      <c r="H85" s="2252"/>
      <c r="I85" s="2252"/>
      <c r="J85" s="2252"/>
      <c r="K85" s="2252"/>
      <c r="L85" s="2252"/>
      <c r="M85" s="2253"/>
      <c r="N85" s="2248"/>
      <c r="O85" s="2248"/>
      <c r="P85" s="2248"/>
      <c r="Q85" s="2248"/>
      <c r="R85" s="2248"/>
      <c r="S85" s="2248"/>
      <c r="T85" s="2248"/>
      <c r="U85" s="2248"/>
      <c r="V85" s="2248"/>
      <c r="W85" s="2248"/>
    </row>
    <row r="86" spans="1:23">
      <c r="A86" s="2248"/>
      <c r="B86" s="2251"/>
      <c r="C86" s="2256"/>
      <c r="D86" s="2252" t="s">
        <v>2030</v>
      </c>
      <c r="E86" s="2252"/>
      <c r="F86" s="2252"/>
      <c r="G86" s="2252"/>
      <c r="H86" s="2252"/>
      <c r="I86" s="2252"/>
      <c r="J86" s="2252"/>
      <c r="K86" s="2252"/>
      <c r="L86" s="2252"/>
      <c r="M86" s="2253"/>
      <c r="N86" s="2248"/>
      <c r="O86" s="2248"/>
      <c r="P86" s="2248"/>
      <c r="Q86" s="2248"/>
      <c r="R86" s="2248"/>
      <c r="S86" s="2248"/>
      <c r="T86" s="2248"/>
      <c r="U86" s="2248"/>
      <c r="V86" s="2248"/>
      <c r="W86" s="2248"/>
    </row>
    <row r="87" spans="1:23">
      <c r="A87" s="2248"/>
      <c r="B87" s="2251"/>
      <c r="C87" s="2256">
        <f>1+C82</f>
        <v>26</v>
      </c>
      <c r="D87" s="2262" t="s">
        <v>2237</v>
      </c>
      <c r="E87" s="2252"/>
      <c r="F87" s="2252"/>
      <c r="G87" s="2252"/>
      <c r="H87" s="2252"/>
      <c r="I87" s="2252"/>
      <c r="J87" s="2252"/>
      <c r="K87" s="2252"/>
      <c r="L87" s="2252"/>
      <c r="M87" s="2253"/>
      <c r="N87" s="2248"/>
      <c r="O87" s="2248"/>
      <c r="P87" s="2248"/>
      <c r="Q87" s="2248"/>
      <c r="R87" s="2248"/>
      <c r="S87" s="2248"/>
      <c r="T87" s="2248"/>
      <c r="U87" s="2248"/>
      <c r="V87" s="2248"/>
      <c r="W87" s="2248"/>
    </row>
    <row r="88" spans="1:23">
      <c r="A88" s="2248"/>
      <c r="B88" s="2251"/>
      <c r="C88" s="2252"/>
      <c r="D88" s="2252" t="s">
        <v>1401</v>
      </c>
      <c r="E88" s="2252"/>
      <c r="F88" s="2252"/>
      <c r="G88" s="2252"/>
      <c r="H88" s="2252"/>
      <c r="I88" s="2252"/>
      <c r="J88" s="2252"/>
      <c r="K88" s="2252"/>
      <c r="L88" s="2252"/>
      <c r="M88" s="2253"/>
      <c r="N88" s="2248"/>
      <c r="O88" s="2248"/>
      <c r="P88" s="2248"/>
      <c r="Q88" s="2248"/>
      <c r="R88" s="2248"/>
      <c r="S88" s="2248"/>
      <c r="T88" s="2248"/>
      <c r="U88" s="2248"/>
      <c r="V88" s="2248"/>
      <c r="W88" s="2248"/>
    </row>
    <row r="89" spans="1:23">
      <c r="A89" s="2248"/>
      <c r="B89" s="2251"/>
      <c r="C89" s="2256">
        <f>1+C87</f>
        <v>27</v>
      </c>
      <c r="D89" s="2252" t="s">
        <v>2039</v>
      </c>
      <c r="E89" s="2252"/>
      <c r="F89" s="2252"/>
      <c r="G89" s="2252"/>
      <c r="H89" s="2252"/>
      <c r="I89" s="2252"/>
      <c r="J89" s="2252"/>
      <c r="K89" s="2252"/>
      <c r="L89" s="2252"/>
      <c r="M89" s="2253"/>
      <c r="N89" s="2248"/>
      <c r="O89" s="2248"/>
      <c r="P89" s="2248"/>
      <c r="Q89" s="2248"/>
      <c r="R89" s="2248"/>
      <c r="S89" s="2248"/>
      <c r="T89" s="2248"/>
      <c r="U89" s="2248"/>
      <c r="V89" s="2248"/>
      <c r="W89" s="2248"/>
    </row>
    <row r="90" spans="1:23">
      <c r="A90" s="2248"/>
      <c r="B90" s="2251"/>
      <c r="C90" s="2252"/>
      <c r="D90" s="2262" t="s">
        <v>2238</v>
      </c>
      <c r="E90" s="2252"/>
      <c r="F90" s="2252"/>
      <c r="G90" s="2252"/>
      <c r="H90" s="2252"/>
      <c r="I90" s="2252"/>
      <c r="J90" s="2252"/>
      <c r="K90" s="2252"/>
      <c r="L90" s="2252"/>
      <c r="M90" s="2253"/>
      <c r="N90" s="2248"/>
      <c r="O90" s="2248"/>
      <c r="P90" s="2248"/>
      <c r="Q90" s="2248"/>
      <c r="R90" s="2248"/>
      <c r="S90" s="2248"/>
      <c r="T90" s="2248"/>
      <c r="U90" s="2248"/>
      <c r="V90" s="2248"/>
      <c r="W90" s="2248"/>
    </row>
    <row r="91" spans="1:23">
      <c r="A91" s="2248"/>
      <c r="B91" s="2251"/>
      <c r="C91" s="2252"/>
      <c r="D91" s="2262" t="s">
        <v>2239</v>
      </c>
      <c r="E91" s="2252"/>
      <c r="F91" s="2252"/>
      <c r="G91" s="2252"/>
      <c r="H91" s="2252"/>
      <c r="I91" s="2252"/>
      <c r="J91" s="2252"/>
      <c r="K91" s="2252"/>
      <c r="L91" s="2252"/>
      <c r="M91" s="2253"/>
      <c r="N91" s="2248"/>
      <c r="O91" s="2248"/>
      <c r="P91" s="2248"/>
      <c r="Q91" s="2248"/>
      <c r="R91" s="2248"/>
      <c r="S91" s="2248"/>
      <c r="T91" s="2248"/>
      <c r="U91" s="2248"/>
      <c r="V91" s="2248"/>
      <c r="W91" s="2248"/>
    </row>
    <row r="92" spans="1:23">
      <c r="A92" s="2248"/>
      <c r="B92" s="2251"/>
      <c r="C92" s="2252"/>
      <c r="D92" s="2262" t="s">
        <v>2240</v>
      </c>
      <c r="E92" s="2252"/>
      <c r="F92" s="2252"/>
      <c r="G92" s="2252"/>
      <c r="H92" s="2252"/>
      <c r="I92" s="2252"/>
      <c r="J92" s="2252"/>
      <c r="K92" s="2252"/>
      <c r="L92" s="2252"/>
      <c r="M92" s="2253"/>
      <c r="N92" s="2248"/>
      <c r="O92" s="2248"/>
      <c r="P92" s="2248"/>
      <c r="Q92" s="2248"/>
      <c r="R92" s="2248"/>
      <c r="S92" s="2248"/>
      <c r="T92" s="2248"/>
      <c r="U92" s="2248"/>
      <c r="V92" s="2248"/>
      <c r="W92" s="2248"/>
    </row>
    <row r="93" spans="1:23">
      <c r="A93" s="2248"/>
      <c r="B93" s="2251"/>
      <c r="C93" s="2252"/>
      <c r="D93" s="2252" t="s">
        <v>2119</v>
      </c>
      <c r="E93" s="2252"/>
      <c r="F93" s="2252"/>
      <c r="G93" s="2252"/>
      <c r="H93" s="2252"/>
      <c r="I93" s="2252"/>
      <c r="J93" s="2252"/>
      <c r="K93" s="2252"/>
      <c r="L93" s="2252"/>
      <c r="M93" s="2253"/>
      <c r="N93" s="2248"/>
      <c r="O93" s="2248"/>
      <c r="P93" s="2248"/>
      <c r="Q93" s="2248"/>
      <c r="R93" s="2248"/>
      <c r="S93" s="2248"/>
      <c r="T93" s="2248"/>
      <c r="U93" s="2248"/>
      <c r="V93" s="2248"/>
      <c r="W93" s="2248"/>
    </row>
    <row r="94" spans="1:23">
      <c r="A94" s="2248"/>
      <c r="B94" s="2251"/>
      <c r="C94" s="2252"/>
      <c r="D94" s="2252" t="s">
        <v>2120</v>
      </c>
      <c r="E94" s="2252"/>
      <c r="F94" s="2252"/>
      <c r="G94" s="2252"/>
      <c r="H94" s="2252"/>
      <c r="I94" s="2252"/>
      <c r="J94" s="2252"/>
      <c r="K94" s="2252"/>
      <c r="L94" s="2252"/>
      <c r="M94" s="2253"/>
      <c r="N94" s="2248"/>
      <c r="O94" s="2248"/>
      <c r="P94" s="2248"/>
      <c r="Q94" s="2248"/>
      <c r="R94" s="2248"/>
      <c r="S94" s="2248"/>
      <c r="T94" s="2248"/>
      <c r="U94" s="2248"/>
      <c r="V94" s="2248"/>
      <c r="W94" s="2248"/>
    </row>
    <row r="95" spans="1:23">
      <c r="A95" s="2248"/>
      <c r="B95" s="2251"/>
      <c r="C95" s="2256">
        <f>1+C89</f>
        <v>28</v>
      </c>
      <c r="D95" s="2252" t="s">
        <v>2121</v>
      </c>
      <c r="E95" s="2252"/>
      <c r="F95" s="2252"/>
      <c r="G95" s="2252"/>
      <c r="H95" s="2252"/>
      <c r="I95" s="2252"/>
      <c r="J95" s="2252"/>
      <c r="K95" s="2252"/>
      <c r="L95" s="2252"/>
      <c r="M95" s="2253"/>
      <c r="N95" s="2248"/>
      <c r="O95" s="2248"/>
      <c r="P95" s="2248"/>
      <c r="Q95" s="2248"/>
      <c r="R95" s="2248"/>
      <c r="S95" s="2248"/>
      <c r="T95" s="2248"/>
      <c r="U95" s="2248"/>
      <c r="V95" s="2248"/>
      <c r="W95" s="2248"/>
    </row>
    <row r="96" spans="1:23">
      <c r="A96" s="2248"/>
      <c r="B96" s="2251"/>
      <c r="C96" s="2252"/>
      <c r="D96" s="2262" t="s">
        <v>2241</v>
      </c>
      <c r="E96" s="2252"/>
      <c r="F96" s="2252"/>
      <c r="G96" s="2252"/>
      <c r="H96" s="2252"/>
      <c r="I96" s="2252"/>
      <c r="J96" s="2252"/>
      <c r="K96" s="2252"/>
      <c r="L96" s="2252"/>
      <c r="M96" s="2253"/>
      <c r="N96" s="2248"/>
      <c r="O96" s="2248"/>
      <c r="P96" s="2248"/>
      <c r="Q96" s="2248"/>
      <c r="R96" s="2248"/>
      <c r="S96" s="2248"/>
      <c r="T96" s="2248"/>
      <c r="U96" s="2248"/>
      <c r="V96" s="2248"/>
      <c r="W96" s="2248"/>
    </row>
    <row r="97" spans="1:23">
      <c r="A97" s="2248"/>
      <c r="B97" s="2251"/>
      <c r="C97" s="2252"/>
      <c r="D97" s="2262" t="s">
        <v>2040</v>
      </c>
      <c r="E97" s="2252"/>
      <c r="F97" s="2252"/>
      <c r="G97" s="2252"/>
      <c r="H97" s="2252"/>
      <c r="I97" s="2252"/>
      <c r="J97" s="2252"/>
      <c r="K97" s="2252"/>
      <c r="L97" s="2252"/>
      <c r="M97" s="2253"/>
      <c r="N97" s="2248"/>
      <c r="O97" s="2248"/>
      <c r="P97" s="2248"/>
      <c r="Q97" s="2248"/>
      <c r="R97" s="2248"/>
      <c r="S97" s="2248"/>
      <c r="T97" s="2248"/>
      <c r="U97" s="2248"/>
      <c r="V97" s="2248"/>
      <c r="W97" s="2248"/>
    </row>
    <row r="98" spans="1:23">
      <c r="A98" s="2248"/>
      <c r="B98" s="2251"/>
      <c r="C98" s="2252"/>
      <c r="D98" s="2252" t="s">
        <v>2242</v>
      </c>
      <c r="E98" s="2252"/>
      <c r="F98" s="2252"/>
      <c r="G98" s="2252"/>
      <c r="H98" s="2252"/>
      <c r="I98" s="2252"/>
      <c r="J98" s="2252"/>
      <c r="K98" s="2252"/>
      <c r="L98" s="2252"/>
      <c r="M98" s="2253"/>
      <c r="N98" s="2248"/>
      <c r="O98" s="2248"/>
      <c r="P98" s="2248"/>
      <c r="Q98" s="2248"/>
      <c r="R98" s="2248"/>
      <c r="S98" s="2248"/>
      <c r="T98" s="2248"/>
      <c r="U98" s="2248"/>
      <c r="V98" s="2248"/>
      <c r="W98" s="2248"/>
    </row>
    <row r="99" spans="1:23">
      <c r="A99" s="2248"/>
      <c r="B99" s="2251"/>
      <c r="C99" s="2252"/>
      <c r="D99" s="2262" t="s">
        <v>2041</v>
      </c>
      <c r="E99" s="2252"/>
      <c r="F99" s="2252"/>
      <c r="G99" s="2252"/>
      <c r="H99" s="2252"/>
      <c r="I99" s="2252"/>
      <c r="J99" s="2252"/>
      <c r="K99" s="2252"/>
      <c r="L99" s="2252"/>
      <c r="M99" s="2253"/>
      <c r="N99" s="2248"/>
      <c r="O99" s="2248"/>
      <c r="P99" s="2248"/>
      <c r="Q99" s="2248"/>
      <c r="R99" s="2248"/>
      <c r="S99" s="2248"/>
      <c r="T99" s="2248"/>
      <c r="U99" s="2248"/>
      <c r="V99" s="2248"/>
      <c r="W99" s="2248"/>
    </row>
    <row r="100" spans="1:23" ht="3.75" customHeight="1">
      <c r="A100" s="2248"/>
      <c r="B100" s="2251"/>
      <c r="C100" s="2256"/>
      <c r="D100" s="2252"/>
      <c r="E100" s="2252"/>
      <c r="F100" s="2252"/>
      <c r="G100" s="2252"/>
      <c r="H100" s="2252"/>
      <c r="I100" s="2252"/>
      <c r="J100" s="2252"/>
      <c r="K100" s="2252"/>
      <c r="L100" s="2252"/>
      <c r="M100" s="2253"/>
      <c r="N100" s="2248"/>
      <c r="O100" s="2248"/>
      <c r="P100" s="2248"/>
      <c r="Q100" s="2248"/>
      <c r="R100" s="2248"/>
      <c r="S100" s="2248"/>
      <c r="T100" s="2248"/>
      <c r="U100" s="2248"/>
      <c r="V100" s="2248"/>
      <c r="W100" s="2248"/>
    </row>
    <row r="101" spans="1:23">
      <c r="A101" s="2248"/>
      <c r="B101" s="2254" t="s">
        <v>1402</v>
      </c>
      <c r="C101" s="2258" t="s">
        <v>1906</v>
      </c>
      <c r="D101" s="2252"/>
      <c r="E101" s="2252"/>
      <c r="F101" s="2346" t="s">
        <v>1943</v>
      </c>
      <c r="G101" s="2347"/>
      <c r="H101" s="2347"/>
      <c r="I101" s="2252"/>
      <c r="J101" s="2252"/>
      <c r="K101" s="2252"/>
      <c r="L101" s="2252"/>
      <c r="M101" s="2253"/>
      <c r="N101" s="2248"/>
      <c r="O101" s="2248"/>
      <c r="P101" s="2248"/>
      <c r="Q101" s="2248"/>
      <c r="R101" s="2248"/>
      <c r="S101" s="2248"/>
      <c r="T101" s="2248"/>
      <c r="U101" s="2248"/>
      <c r="V101" s="2248"/>
      <c r="W101" s="2248"/>
    </row>
    <row r="102" spans="1:23">
      <c r="A102" s="2248"/>
      <c r="B102" s="2251"/>
      <c r="C102" s="2256">
        <f>1+C95</f>
        <v>29</v>
      </c>
      <c r="D102" s="2252" t="s">
        <v>1403</v>
      </c>
      <c r="E102" s="2252"/>
      <c r="F102" s="2252"/>
      <c r="G102" s="2252"/>
      <c r="H102" s="2252"/>
      <c r="I102" s="2252"/>
      <c r="J102" s="2252"/>
      <c r="K102" s="2252"/>
      <c r="L102" s="2252"/>
      <c r="M102" s="2253"/>
      <c r="N102" s="2248"/>
      <c r="O102" s="2248"/>
      <c r="P102" s="2248"/>
      <c r="Q102" s="2248"/>
      <c r="R102" s="2248"/>
      <c r="S102" s="2248"/>
      <c r="T102" s="2248"/>
      <c r="U102" s="2248"/>
      <c r="V102" s="2248"/>
      <c r="W102" s="2248"/>
    </row>
    <row r="103" spans="1:23">
      <c r="A103" s="2248"/>
      <c r="B103" s="2251"/>
      <c r="C103" s="2256"/>
      <c r="D103" s="2252" t="s">
        <v>2122</v>
      </c>
      <c r="E103" s="2252"/>
      <c r="F103" s="2252"/>
      <c r="G103" s="2252"/>
      <c r="H103" s="2252"/>
      <c r="I103" s="2252"/>
      <c r="J103" s="2252"/>
      <c r="K103" s="2252"/>
      <c r="L103" s="2252"/>
      <c r="M103" s="2253"/>
      <c r="N103" s="2248"/>
      <c r="O103" s="2248"/>
      <c r="P103" s="2248"/>
      <c r="Q103" s="2248"/>
      <c r="R103" s="2248"/>
      <c r="S103" s="2248"/>
      <c r="T103" s="2248"/>
      <c r="U103" s="2248"/>
      <c r="V103" s="2248"/>
      <c r="W103" s="2248"/>
    </row>
    <row r="104" spans="1:23">
      <c r="A104" s="2248"/>
      <c r="B104" s="2251"/>
      <c r="C104" s="2256"/>
      <c r="D104" s="2252" t="s">
        <v>1404</v>
      </c>
      <c r="E104" s="2252"/>
      <c r="F104" s="2252"/>
      <c r="G104" s="2252"/>
      <c r="H104" s="2252"/>
      <c r="I104" s="2252"/>
      <c r="J104" s="2252"/>
      <c r="K104" s="2252"/>
      <c r="L104" s="2252"/>
      <c r="M104" s="2253"/>
      <c r="N104" s="2248"/>
      <c r="O104" s="2248"/>
      <c r="P104" s="2248"/>
      <c r="Q104" s="2248"/>
      <c r="R104" s="2248"/>
      <c r="S104" s="2248"/>
      <c r="T104" s="2248"/>
      <c r="U104" s="2248"/>
      <c r="V104" s="2248"/>
      <c r="W104" s="2248"/>
    </row>
    <row r="105" spans="1:23">
      <c r="A105" s="2248"/>
      <c r="B105" s="2251"/>
      <c r="C105" s="2256">
        <f>1+C102</f>
        <v>30</v>
      </c>
      <c r="D105" s="2252" t="s">
        <v>2123</v>
      </c>
      <c r="E105" s="2252"/>
      <c r="F105" s="2252"/>
      <c r="G105" s="2252"/>
      <c r="H105" s="2252"/>
      <c r="I105" s="2252"/>
      <c r="J105" s="2252"/>
      <c r="K105" s="2252"/>
      <c r="L105" s="2252"/>
      <c r="M105" s="2253"/>
      <c r="N105" s="2248"/>
      <c r="O105" s="2248"/>
      <c r="P105" s="2248"/>
      <c r="Q105" s="2248"/>
      <c r="R105" s="2248"/>
      <c r="S105" s="2248"/>
      <c r="T105" s="2248"/>
      <c r="U105" s="2248"/>
      <c r="V105" s="2248"/>
      <c r="W105" s="2248"/>
    </row>
    <row r="106" spans="1:23">
      <c r="A106" s="2248"/>
      <c r="B106" s="2251"/>
      <c r="C106" s="2256"/>
      <c r="D106" s="2267" t="s">
        <v>1405</v>
      </c>
      <c r="E106" s="2252"/>
      <c r="F106" s="2252"/>
      <c r="G106" s="2252"/>
      <c r="H106" s="2252"/>
      <c r="I106" s="2252"/>
      <c r="J106" s="2252"/>
      <c r="K106" s="2252"/>
      <c r="L106" s="2252"/>
      <c r="M106" s="2253"/>
      <c r="N106" s="2248"/>
      <c r="O106" s="2248"/>
      <c r="P106" s="2248"/>
      <c r="Q106" s="2248"/>
      <c r="R106" s="2248"/>
      <c r="S106" s="2248"/>
      <c r="T106" s="2248"/>
      <c r="U106" s="2248"/>
      <c r="V106" s="2248"/>
      <c r="W106" s="2248"/>
    </row>
    <row r="107" spans="1:23">
      <c r="A107" s="2248"/>
      <c r="B107" s="2251"/>
      <c r="C107" s="2256"/>
      <c r="D107" s="2252" t="s">
        <v>2124</v>
      </c>
      <c r="E107" s="2252"/>
      <c r="F107" s="2252"/>
      <c r="G107" s="2252"/>
      <c r="H107" s="2252"/>
      <c r="I107" s="2252"/>
      <c r="J107" s="2252"/>
      <c r="K107" s="2252"/>
      <c r="L107" s="2252"/>
      <c r="M107" s="2253"/>
      <c r="N107" s="2248"/>
      <c r="O107" s="2248"/>
      <c r="P107" s="2248"/>
      <c r="Q107" s="2248"/>
      <c r="R107" s="2248"/>
      <c r="S107" s="2248"/>
      <c r="T107" s="2248"/>
      <c r="U107" s="2248"/>
      <c r="V107" s="2248"/>
      <c r="W107" s="2248"/>
    </row>
    <row r="108" spans="1:23">
      <c r="A108" s="2248"/>
      <c r="B108" s="2251"/>
      <c r="C108" s="2256"/>
      <c r="D108" s="2252" t="s">
        <v>2126</v>
      </c>
      <c r="E108" s="2252"/>
      <c r="F108" s="2252"/>
      <c r="G108" s="2252"/>
      <c r="H108" s="2252"/>
      <c r="I108" s="2252"/>
      <c r="J108" s="2252"/>
      <c r="K108" s="2252"/>
      <c r="L108" s="2252"/>
      <c r="M108" s="2253"/>
      <c r="N108" s="2248"/>
      <c r="O108" s="2248"/>
      <c r="P108" s="2248"/>
      <c r="Q108" s="2248"/>
      <c r="R108" s="2248"/>
      <c r="S108" s="2248"/>
      <c r="T108" s="2248"/>
      <c r="U108" s="2248"/>
      <c r="V108" s="2248"/>
      <c r="W108" s="2248"/>
    </row>
    <row r="109" spans="1:23">
      <c r="A109" s="2248"/>
      <c r="B109" s="2251"/>
      <c r="C109" s="2256"/>
      <c r="D109" s="2252" t="s">
        <v>2125</v>
      </c>
      <c r="E109" s="2252"/>
      <c r="F109" s="2252"/>
      <c r="G109" s="2252"/>
      <c r="H109" s="2252"/>
      <c r="I109" s="2252"/>
      <c r="J109" s="2252"/>
      <c r="K109" s="2252"/>
      <c r="L109" s="2252"/>
      <c r="M109" s="2253"/>
      <c r="N109" s="2248"/>
      <c r="O109" s="2248"/>
      <c r="P109" s="2248"/>
      <c r="Q109" s="2248"/>
      <c r="R109" s="2248"/>
      <c r="S109" s="2248"/>
      <c r="T109" s="2248"/>
      <c r="U109" s="2248"/>
      <c r="V109" s="2248"/>
      <c r="W109" s="2248"/>
    </row>
    <row r="110" spans="1:23" ht="6" customHeight="1">
      <c r="A110" s="2248"/>
      <c r="B110" s="2251"/>
      <c r="C110" s="2256"/>
      <c r="D110" s="2252"/>
      <c r="E110" s="2252"/>
      <c r="F110" s="2252"/>
      <c r="G110" s="2252"/>
      <c r="H110" s="2252"/>
      <c r="I110" s="2252"/>
      <c r="J110" s="2252"/>
      <c r="K110" s="2252"/>
      <c r="L110" s="2252"/>
      <c r="M110" s="2253"/>
      <c r="N110" s="2248"/>
      <c r="O110" s="2248"/>
      <c r="P110" s="2248"/>
      <c r="Q110" s="2248"/>
      <c r="R110" s="2248"/>
      <c r="S110" s="2248"/>
      <c r="T110" s="2248"/>
      <c r="U110" s="2248"/>
      <c r="V110" s="2248"/>
      <c r="W110" s="2248"/>
    </row>
    <row r="111" spans="1:23">
      <c r="A111" s="2248"/>
      <c r="B111" s="2254" t="s">
        <v>1406</v>
      </c>
      <c r="C111" s="2258" t="s">
        <v>1908</v>
      </c>
      <c r="D111" s="2252"/>
      <c r="E111" s="2252"/>
      <c r="F111" s="2348">
        <f>+'TRIAL-BALANCE'!E8</f>
        <v>2021</v>
      </c>
      <c r="G111" s="2348"/>
      <c r="H111" s="2348"/>
      <c r="I111" s="2252"/>
      <c r="J111" s="2252"/>
      <c r="K111" s="2252"/>
      <c r="L111" s="2252"/>
      <c r="M111" s="2253"/>
      <c r="N111" s="2248"/>
      <c r="O111" s="2248"/>
      <c r="P111" s="2248"/>
      <c r="Q111" s="2248"/>
      <c r="R111" s="2248"/>
      <c r="S111" s="2248"/>
      <c r="T111" s="2248"/>
      <c r="U111" s="2248"/>
      <c r="V111" s="2248"/>
      <c r="W111" s="2248"/>
    </row>
    <row r="112" spans="1:23">
      <c r="A112" s="2248"/>
      <c r="B112" s="2251"/>
      <c r="C112" s="2256">
        <f>1+C105</f>
        <v>31</v>
      </c>
      <c r="D112" s="2252" t="s">
        <v>1407</v>
      </c>
      <c r="E112" s="2252"/>
      <c r="F112" s="2262"/>
      <c r="G112" s="2262"/>
      <c r="H112" s="2262"/>
      <c r="I112" s="2252"/>
      <c r="J112" s="2252"/>
      <c r="K112" s="2252"/>
      <c r="L112" s="2252"/>
      <c r="M112" s="2253"/>
      <c r="N112" s="2248"/>
      <c r="O112" s="2248"/>
      <c r="P112" s="2248"/>
      <c r="Q112" s="2248"/>
      <c r="R112" s="2248"/>
      <c r="S112" s="2248"/>
      <c r="T112" s="2248"/>
      <c r="U112" s="2248"/>
      <c r="V112" s="2248"/>
      <c r="W112" s="2248"/>
    </row>
    <row r="113" spans="1:23">
      <c r="A113" s="2248"/>
      <c r="B113" s="2251"/>
      <c r="C113" s="2252"/>
      <c r="D113" s="2252" t="s">
        <v>1408</v>
      </c>
      <c r="E113" s="2252"/>
      <c r="F113" s="2262"/>
      <c r="G113" s="2262"/>
      <c r="H113" s="2262"/>
      <c r="I113" s="2252"/>
      <c r="J113" s="2252"/>
      <c r="K113" s="2252"/>
      <c r="L113" s="2252"/>
      <c r="M113" s="2253"/>
      <c r="N113" s="2248"/>
      <c r="O113" s="2248"/>
      <c r="P113" s="2248"/>
      <c r="Q113" s="2248"/>
      <c r="R113" s="2248"/>
      <c r="S113" s="2248"/>
      <c r="T113" s="2248"/>
      <c r="U113" s="2248"/>
      <c r="V113" s="2248"/>
      <c r="W113" s="2248"/>
    </row>
    <row r="114" spans="1:23">
      <c r="A114" s="2248"/>
      <c r="B114" s="2251"/>
      <c r="C114" s="2256">
        <f>1+C112</f>
        <v>32</v>
      </c>
      <c r="D114" s="2262" t="s">
        <v>2243</v>
      </c>
      <c r="E114" s="2252"/>
      <c r="F114" s="2262"/>
      <c r="G114" s="2262"/>
      <c r="H114" s="2262"/>
      <c r="I114" s="2252"/>
      <c r="J114" s="2252"/>
      <c r="K114" s="2252"/>
      <c r="L114" s="2252"/>
      <c r="M114" s="2253"/>
      <c r="N114" s="2248"/>
      <c r="O114" s="2248"/>
      <c r="P114" s="2248"/>
      <c r="Q114" s="2248"/>
      <c r="R114" s="2248"/>
      <c r="S114" s="2248"/>
      <c r="T114" s="2248"/>
      <c r="U114" s="2248"/>
      <c r="V114" s="2248"/>
      <c r="W114" s="2248"/>
    </row>
    <row r="115" spans="1:23">
      <c r="A115" s="2248"/>
      <c r="B115" s="2251"/>
      <c r="C115" s="2252"/>
      <c r="D115" s="2252" t="s">
        <v>1409</v>
      </c>
      <c r="E115" s="2252"/>
      <c r="F115" s="2262"/>
      <c r="G115" s="2262"/>
      <c r="H115" s="2262"/>
      <c r="I115" s="2252"/>
      <c r="J115" s="2252"/>
      <c r="K115" s="2252"/>
      <c r="L115" s="2252"/>
      <c r="M115" s="2253"/>
      <c r="N115" s="2248"/>
      <c r="O115" s="2248"/>
      <c r="P115" s="2248"/>
      <c r="Q115" s="2248"/>
      <c r="R115" s="2248"/>
      <c r="S115" s="2248"/>
      <c r="T115" s="2248"/>
      <c r="U115" s="2248"/>
      <c r="V115" s="2248"/>
      <c r="W115" s="2248"/>
    </row>
    <row r="116" spans="1:23">
      <c r="A116" s="2248"/>
      <c r="B116" s="2251"/>
      <c r="C116" s="2252"/>
      <c r="D116" s="2262" t="s">
        <v>2244</v>
      </c>
      <c r="E116" s="2252"/>
      <c r="F116" s="2262"/>
      <c r="G116" s="2262"/>
      <c r="H116" s="2262"/>
      <c r="I116" s="2252"/>
      <c r="J116" s="2252"/>
      <c r="K116" s="2252"/>
      <c r="L116" s="2252"/>
      <c r="M116" s="2253"/>
      <c r="N116" s="2248"/>
      <c r="O116" s="2248"/>
      <c r="P116" s="2248"/>
      <c r="Q116" s="2248"/>
      <c r="R116" s="2248"/>
      <c r="S116" s="2248"/>
      <c r="T116" s="2248"/>
      <c r="U116" s="2248"/>
      <c r="V116" s="2248"/>
      <c r="W116" s="2248"/>
    </row>
    <row r="117" spans="1:23">
      <c r="A117" s="2248"/>
      <c r="B117" s="2251"/>
      <c r="C117" s="2252"/>
      <c r="D117" s="2252" t="s">
        <v>2127</v>
      </c>
      <c r="E117" s="2252"/>
      <c r="F117" s="2262"/>
      <c r="G117" s="2262"/>
      <c r="H117" s="2262"/>
      <c r="I117" s="2252"/>
      <c r="J117" s="2252"/>
      <c r="K117" s="2252"/>
      <c r="L117" s="2252"/>
      <c r="M117" s="2253"/>
      <c r="N117" s="2248"/>
      <c r="O117" s="2248"/>
      <c r="P117" s="2248"/>
      <c r="Q117" s="2248"/>
      <c r="R117" s="2248"/>
      <c r="S117" s="2248"/>
      <c r="T117" s="2248"/>
      <c r="U117" s="2248"/>
      <c r="V117" s="2248"/>
      <c r="W117" s="2248"/>
    </row>
    <row r="118" spans="1:23">
      <c r="A118" s="2248"/>
      <c r="B118" s="2251"/>
      <c r="C118" s="2252"/>
      <c r="D118" s="2270" t="s">
        <v>2245</v>
      </c>
      <c r="E118" s="2252"/>
      <c r="F118" s="2262"/>
      <c r="G118" s="2262"/>
      <c r="H118" s="2262"/>
      <c r="I118" s="2252"/>
      <c r="J118" s="2252"/>
      <c r="K118" s="2252"/>
      <c r="L118" s="2252"/>
      <c r="M118" s="2253"/>
      <c r="N118" s="2248"/>
      <c r="O118" s="2248"/>
      <c r="P118" s="2248"/>
      <c r="Q118" s="2248"/>
      <c r="R118" s="2248"/>
      <c r="S118" s="2248"/>
      <c r="T118" s="2248"/>
      <c r="U118" s="2248"/>
      <c r="V118" s="2248"/>
      <c r="W118" s="2248"/>
    </row>
    <row r="119" spans="1:23">
      <c r="A119" s="2248"/>
      <c r="B119" s="2251"/>
      <c r="C119" s="2256">
        <f>1+C114</f>
        <v>33</v>
      </c>
      <c r="D119" s="2252" t="s">
        <v>2246</v>
      </c>
      <c r="E119" s="2252"/>
      <c r="F119" s="2262"/>
      <c r="G119" s="2262"/>
      <c r="H119" s="2262"/>
      <c r="I119" s="2252"/>
      <c r="J119" s="2252"/>
      <c r="K119" s="2252"/>
      <c r="L119" s="2252"/>
      <c r="M119" s="2253"/>
      <c r="N119" s="2248"/>
      <c r="O119" s="2248"/>
      <c r="P119" s="2248"/>
      <c r="Q119" s="2248"/>
      <c r="R119" s="2248"/>
      <c r="S119" s="2248"/>
      <c r="T119" s="2248"/>
      <c r="U119" s="2248"/>
      <c r="V119" s="2248"/>
      <c r="W119" s="2248"/>
    </row>
    <row r="120" spans="1:23">
      <c r="A120" s="2248"/>
      <c r="B120" s="2251"/>
      <c r="C120" s="2252"/>
      <c r="D120" s="2252" t="s">
        <v>2035</v>
      </c>
      <c r="E120" s="2252"/>
      <c r="F120" s="2262"/>
      <c r="G120" s="2262"/>
      <c r="H120" s="2262"/>
      <c r="I120" s="2252"/>
      <c r="J120" s="2252"/>
      <c r="K120" s="2252"/>
      <c r="L120" s="2252"/>
      <c r="M120" s="2253"/>
      <c r="N120" s="2248"/>
      <c r="O120" s="2248"/>
      <c r="P120" s="2248"/>
      <c r="Q120" s="2248"/>
      <c r="R120" s="2248"/>
      <c r="S120" s="2248"/>
      <c r="T120" s="2248"/>
      <c r="U120" s="2248"/>
      <c r="V120" s="2248"/>
      <c r="W120" s="2248"/>
    </row>
    <row r="121" spans="1:23" ht="6" customHeight="1">
      <c r="A121" s="2248"/>
      <c r="B121" s="2251"/>
      <c r="C121" s="2256"/>
      <c r="D121" s="2252"/>
      <c r="E121" s="2252"/>
      <c r="F121" s="2262"/>
      <c r="G121" s="2262"/>
      <c r="H121" s="2262"/>
      <c r="I121" s="2252"/>
      <c r="J121" s="2252"/>
      <c r="K121" s="2252"/>
      <c r="L121" s="2252"/>
      <c r="M121" s="2253"/>
      <c r="N121" s="2248"/>
      <c r="O121" s="2248"/>
      <c r="P121" s="2248"/>
      <c r="Q121" s="2248"/>
      <c r="R121" s="2248"/>
      <c r="S121" s="2248"/>
      <c r="T121" s="2248"/>
      <c r="U121" s="2248"/>
      <c r="V121" s="2248"/>
      <c r="W121" s="2248"/>
    </row>
    <row r="122" spans="1:23">
      <c r="A122" s="2248"/>
      <c r="B122" s="2254" t="s">
        <v>1410</v>
      </c>
      <c r="C122" s="2258" t="s">
        <v>1907</v>
      </c>
      <c r="D122" s="2252"/>
      <c r="E122" s="2252"/>
      <c r="F122" s="2349" t="s">
        <v>1959</v>
      </c>
      <c r="G122" s="2350"/>
      <c r="H122" s="2350"/>
      <c r="I122" s="2252"/>
      <c r="J122" s="2252"/>
      <c r="K122" s="2252"/>
      <c r="L122" s="2252"/>
      <c r="M122" s="2253"/>
      <c r="N122" s="2248"/>
      <c r="O122" s="2248"/>
      <c r="P122" s="2248"/>
      <c r="Q122" s="2248"/>
      <c r="R122" s="2248"/>
      <c r="S122" s="2248"/>
      <c r="T122" s="2248"/>
      <c r="U122" s="2248"/>
      <c r="V122" s="2248"/>
      <c r="W122" s="2248"/>
    </row>
    <row r="123" spans="1:23">
      <c r="A123" s="2248"/>
      <c r="B123" s="2251"/>
      <c r="C123" s="2256">
        <f>1+C119</f>
        <v>34</v>
      </c>
      <c r="D123" s="2252" t="s">
        <v>1411</v>
      </c>
      <c r="E123" s="2252"/>
      <c r="F123" s="2262"/>
      <c r="G123" s="2262"/>
      <c r="H123" s="2262"/>
      <c r="I123" s="2252"/>
      <c r="J123" s="2252"/>
      <c r="K123" s="2252"/>
      <c r="L123" s="2252"/>
      <c r="M123" s="2253"/>
      <c r="N123" s="2248"/>
      <c r="O123" s="2248"/>
      <c r="P123" s="2248"/>
      <c r="Q123" s="2248"/>
      <c r="R123" s="2248"/>
      <c r="S123" s="2248"/>
      <c r="T123" s="2248"/>
      <c r="U123" s="2248"/>
      <c r="V123" s="2248"/>
      <c r="W123" s="2248"/>
    </row>
    <row r="124" spans="1:23">
      <c r="A124" s="2248"/>
      <c r="B124" s="2251"/>
      <c r="C124" s="2252"/>
      <c r="D124" s="2252" t="s">
        <v>1412</v>
      </c>
      <c r="E124" s="2252"/>
      <c r="F124" s="2262"/>
      <c r="G124" s="2262"/>
      <c r="H124" s="2262"/>
      <c r="I124" s="2252"/>
      <c r="J124" s="2252"/>
      <c r="K124" s="2252"/>
      <c r="L124" s="2252"/>
      <c r="M124" s="2253"/>
      <c r="N124" s="2248"/>
      <c r="O124" s="2248"/>
      <c r="P124" s="2248"/>
      <c r="Q124" s="2248"/>
      <c r="R124" s="2248"/>
      <c r="S124" s="2248"/>
      <c r="T124" s="2248"/>
      <c r="U124" s="2248"/>
      <c r="V124" s="2248"/>
      <c r="W124" s="2248"/>
    </row>
    <row r="125" spans="1:23">
      <c r="A125" s="2248"/>
      <c r="B125" s="2251"/>
      <c r="C125" s="2252"/>
      <c r="D125" s="2252" t="s">
        <v>2128</v>
      </c>
      <c r="E125" s="2252"/>
      <c r="F125" s="2252"/>
      <c r="G125" s="2252"/>
      <c r="H125" s="2252"/>
      <c r="I125" s="2252"/>
      <c r="J125" s="2252"/>
      <c r="K125" s="2252"/>
      <c r="L125" s="2252"/>
      <c r="M125" s="2253"/>
      <c r="N125" s="2248"/>
      <c r="O125" s="2248"/>
      <c r="P125" s="2248"/>
      <c r="Q125" s="2248"/>
      <c r="R125" s="2248"/>
      <c r="S125" s="2248"/>
      <c r="T125" s="2248"/>
      <c r="U125" s="2248"/>
      <c r="V125" s="2248"/>
      <c r="W125" s="2248"/>
    </row>
    <row r="126" spans="1:23">
      <c r="A126" s="2248"/>
      <c r="B126" s="2251"/>
      <c r="C126" s="2252"/>
      <c r="D126" s="2252" t="s">
        <v>1413</v>
      </c>
      <c r="E126" s="2252"/>
      <c r="F126" s="2252"/>
      <c r="G126" s="2252"/>
      <c r="H126" s="2252"/>
      <c r="I126" s="2252"/>
      <c r="J126" s="2252"/>
      <c r="K126" s="2252"/>
      <c r="L126" s="2252"/>
      <c r="M126" s="2253"/>
      <c r="N126" s="2248"/>
      <c r="O126" s="2248"/>
      <c r="P126" s="2248"/>
      <c r="Q126" s="2248"/>
      <c r="R126" s="2248"/>
      <c r="S126" s="2248"/>
      <c r="T126" s="2248"/>
      <c r="U126" s="2248"/>
      <c r="V126" s="2248"/>
      <c r="W126" s="2248"/>
    </row>
    <row r="127" spans="1:23">
      <c r="A127" s="2248"/>
      <c r="B127" s="2251"/>
      <c r="C127" s="2256">
        <f>1+C123</f>
        <v>35</v>
      </c>
      <c r="D127" s="2262" t="s">
        <v>2247</v>
      </c>
      <c r="E127" s="2252"/>
      <c r="F127" s="2252"/>
      <c r="G127" s="2252"/>
      <c r="H127" s="2252"/>
      <c r="I127" s="2252"/>
      <c r="J127" s="2252"/>
      <c r="K127" s="2252"/>
      <c r="L127" s="2252"/>
      <c r="M127" s="2253"/>
      <c r="N127" s="2248"/>
      <c r="O127" s="2248"/>
      <c r="P127" s="2248"/>
      <c r="Q127" s="2248"/>
      <c r="R127" s="2248"/>
      <c r="S127" s="2248"/>
      <c r="T127" s="2248"/>
      <c r="U127" s="2248"/>
      <c r="V127" s="2248"/>
      <c r="W127" s="2248"/>
    </row>
    <row r="128" spans="1:23">
      <c r="A128" s="2248"/>
      <c r="B128" s="2251"/>
      <c r="C128" s="2256">
        <f>1+C127</f>
        <v>36</v>
      </c>
      <c r="D128" s="2262" t="s">
        <v>1414</v>
      </c>
      <c r="E128" s="2252"/>
      <c r="F128" s="2252"/>
      <c r="G128" s="2252"/>
      <c r="H128" s="2252"/>
      <c r="I128" s="2252"/>
      <c r="J128" s="2252"/>
      <c r="K128" s="2252"/>
      <c r="L128" s="2252"/>
      <c r="M128" s="2253"/>
      <c r="N128" s="2248"/>
      <c r="O128" s="2248"/>
      <c r="P128" s="2248"/>
      <c r="Q128" s="2248"/>
      <c r="R128" s="2248"/>
      <c r="S128" s="2248"/>
      <c r="T128" s="2248"/>
      <c r="U128" s="2248"/>
      <c r="V128" s="2248"/>
      <c r="W128" s="2248"/>
    </row>
    <row r="129" spans="1:23" ht="6" customHeight="1">
      <c r="A129" s="2248"/>
      <c r="B129" s="2251"/>
      <c r="C129" s="2256"/>
      <c r="D129" s="2252"/>
      <c r="E129" s="2252"/>
      <c r="F129" s="2252"/>
      <c r="G129" s="2252"/>
      <c r="H129" s="2252"/>
      <c r="I129" s="2252"/>
      <c r="J129" s="2252"/>
      <c r="K129" s="2252"/>
      <c r="L129" s="2252"/>
      <c r="M129" s="2253"/>
      <c r="N129" s="2248"/>
      <c r="O129" s="2248"/>
      <c r="P129" s="2248"/>
      <c r="Q129" s="2248"/>
      <c r="R129" s="2248"/>
      <c r="S129" s="2248"/>
      <c r="T129" s="2248"/>
      <c r="U129" s="2248"/>
      <c r="V129" s="2248"/>
      <c r="W129" s="2248"/>
    </row>
    <row r="130" spans="1:23">
      <c r="A130" s="2248"/>
      <c r="B130" s="2254" t="s">
        <v>1415</v>
      </c>
      <c r="C130" s="2258" t="s">
        <v>1906</v>
      </c>
      <c r="D130" s="2252"/>
      <c r="E130" s="2252"/>
      <c r="F130" s="2351" t="s">
        <v>1957</v>
      </c>
      <c r="G130" s="2352"/>
      <c r="H130" s="2352"/>
      <c r="I130" s="2252"/>
      <c r="J130" s="2252"/>
      <c r="K130" s="2252"/>
      <c r="L130" s="2252"/>
      <c r="M130" s="2253"/>
      <c r="N130" s="2248"/>
      <c r="O130" s="2248"/>
      <c r="P130" s="2248"/>
      <c r="Q130" s="2248"/>
      <c r="R130" s="2248"/>
      <c r="S130" s="2248"/>
      <c r="T130" s="2248"/>
      <c r="U130" s="2248"/>
      <c r="V130" s="2248"/>
      <c r="W130" s="2248"/>
    </row>
    <row r="131" spans="1:23">
      <c r="A131" s="2248"/>
      <c r="B131" s="2251"/>
      <c r="C131" s="2256">
        <f>1+C128</f>
        <v>37</v>
      </c>
      <c r="D131" s="2252" t="s">
        <v>2248</v>
      </c>
      <c r="E131" s="2252"/>
      <c r="F131" s="2252"/>
      <c r="G131" s="2252"/>
      <c r="H131" s="2252"/>
      <c r="I131" s="2252"/>
      <c r="J131" s="2252"/>
      <c r="K131" s="2252"/>
      <c r="L131" s="2252"/>
      <c r="M131" s="2253"/>
      <c r="N131" s="2248"/>
      <c r="O131" s="2248"/>
      <c r="P131" s="2248"/>
      <c r="Q131" s="2248"/>
      <c r="R131" s="2248"/>
      <c r="S131" s="2248"/>
      <c r="T131" s="2248"/>
      <c r="U131" s="2248"/>
      <c r="V131" s="2248"/>
      <c r="W131" s="2248"/>
    </row>
    <row r="132" spans="1:23">
      <c r="A132" s="2248"/>
      <c r="B132" s="2251"/>
      <c r="C132" s="2256">
        <f>1+C131</f>
        <v>38</v>
      </c>
      <c r="D132" s="2262" t="s">
        <v>2247</v>
      </c>
      <c r="E132" s="2252"/>
      <c r="F132" s="2252"/>
      <c r="G132" s="2252"/>
      <c r="H132" s="2252"/>
      <c r="I132" s="2252"/>
      <c r="J132" s="2252"/>
      <c r="K132" s="2252"/>
      <c r="L132" s="2252"/>
      <c r="M132" s="2253"/>
      <c r="N132" s="2248"/>
      <c r="O132" s="2248"/>
      <c r="P132" s="2248"/>
      <c r="Q132" s="2248"/>
      <c r="R132" s="2248"/>
      <c r="S132" s="2248"/>
      <c r="T132" s="2248"/>
      <c r="U132" s="2248"/>
      <c r="V132" s="2248"/>
      <c r="W132" s="2248"/>
    </row>
    <row r="133" spans="1:23">
      <c r="A133" s="2248"/>
      <c r="B133" s="2251"/>
      <c r="C133" s="2256">
        <f>1+C132</f>
        <v>39</v>
      </c>
      <c r="D133" s="2252" t="s">
        <v>1416</v>
      </c>
      <c r="E133" s="2252"/>
      <c r="F133" s="2252"/>
      <c r="G133" s="2252"/>
      <c r="H133" s="2252"/>
      <c r="I133" s="2252"/>
      <c r="J133" s="2252"/>
      <c r="K133" s="2252"/>
      <c r="L133" s="2252"/>
      <c r="M133" s="2253"/>
      <c r="N133" s="2248"/>
      <c r="O133" s="2248"/>
      <c r="P133" s="2248"/>
      <c r="Q133" s="2248"/>
      <c r="R133" s="2248"/>
      <c r="S133" s="2248"/>
      <c r="T133" s="2248"/>
      <c r="U133" s="2248"/>
      <c r="V133" s="2248"/>
      <c r="W133" s="2248"/>
    </row>
    <row r="134" spans="1:23">
      <c r="A134" s="2248"/>
      <c r="B134" s="2251"/>
      <c r="C134" s="2252"/>
      <c r="D134" s="2252" t="s">
        <v>1920</v>
      </c>
      <c r="E134" s="2252"/>
      <c r="F134" s="2252"/>
      <c r="G134" s="2252"/>
      <c r="H134" s="2353" t="s">
        <v>1962</v>
      </c>
      <c r="I134" s="2354"/>
      <c r="J134" s="2354"/>
      <c r="K134" s="2252" t="s">
        <v>1919</v>
      </c>
      <c r="L134" s="2252"/>
      <c r="M134" s="2253"/>
      <c r="N134" s="2248"/>
      <c r="O134" s="2248"/>
      <c r="P134" s="2248"/>
      <c r="Q134" s="2248"/>
      <c r="R134" s="2248"/>
      <c r="S134" s="2248"/>
      <c r="T134" s="2248"/>
      <c r="U134" s="2248"/>
      <c r="V134" s="2248"/>
      <c r="W134" s="2248"/>
    </row>
    <row r="135" spans="1:23">
      <c r="A135" s="2248"/>
      <c r="B135" s="2251"/>
      <c r="C135" s="2252"/>
      <c r="D135" s="2252" t="s">
        <v>2111</v>
      </c>
      <c r="E135" s="2252"/>
      <c r="F135" s="2252"/>
      <c r="G135" s="2252"/>
      <c r="H135" s="2252"/>
      <c r="I135" s="2252"/>
      <c r="J135" s="2252"/>
      <c r="K135" s="2252"/>
      <c r="L135" s="2252"/>
      <c r="M135" s="2253"/>
      <c r="N135" s="2248"/>
      <c r="O135" s="2248"/>
      <c r="P135" s="2248"/>
      <c r="Q135" s="2248"/>
      <c r="R135" s="2248"/>
      <c r="S135" s="2248"/>
      <c r="T135" s="2248"/>
      <c r="U135" s="2248"/>
      <c r="V135" s="2248"/>
      <c r="W135" s="2248"/>
    </row>
    <row r="136" spans="1:23">
      <c r="A136" s="2248"/>
      <c r="B136" s="2251"/>
      <c r="C136" s="2252"/>
      <c r="D136" s="2252" t="s">
        <v>2112</v>
      </c>
      <c r="E136" s="2252"/>
      <c r="F136" s="2252"/>
      <c r="G136" s="2252"/>
      <c r="H136" s="2252"/>
      <c r="I136" s="2252"/>
      <c r="J136" s="2252"/>
      <c r="K136" s="2252"/>
      <c r="L136" s="2252"/>
      <c r="M136" s="2253"/>
      <c r="N136" s="2248"/>
      <c r="O136" s="2248"/>
      <c r="P136" s="2248"/>
      <c r="Q136" s="2248"/>
      <c r="R136" s="2248"/>
      <c r="S136" s="2248"/>
      <c r="T136" s="2248"/>
      <c r="U136" s="2248"/>
      <c r="V136" s="2248"/>
      <c r="W136" s="2248"/>
    </row>
    <row r="137" spans="1:23">
      <c r="A137" s="2248"/>
      <c r="B137" s="2251"/>
      <c r="C137" s="2256">
        <f>1+C133</f>
        <v>40</v>
      </c>
      <c r="D137" s="2262" t="s">
        <v>1417</v>
      </c>
      <c r="E137" s="2252"/>
      <c r="F137" s="2252"/>
      <c r="G137" s="2252"/>
      <c r="H137" s="2252"/>
      <c r="I137" s="2252"/>
      <c r="J137" s="2252"/>
      <c r="K137" s="2252"/>
      <c r="L137" s="2252"/>
      <c r="M137" s="2253"/>
      <c r="N137" s="2248"/>
      <c r="O137" s="2248"/>
      <c r="P137" s="2248"/>
      <c r="Q137" s="2248"/>
      <c r="R137" s="2248"/>
      <c r="S137" s="2248"/>
      <c r="T137" s="2248"/>
      <c r="U137" s="2248"/>
      <c r="V137" s="2248"/>
      <c r="W137" s="2248"/>
    </row>
    <row r="138" spans="1:23" ht="6" customHeight="1">
      <c r="A138" s="2248"/>
      <c r="B138" s="2251"/>
      <c r="C138" s="2256"/>
      <c r="D138" s="2252"/>
      <c r="E138" s="2252"/>
      <c r="F138" s="2252"/>
      <c r="G138" s="2252"/>
      <c r="H138" s="2252"/>
      <c r="I138" s="2252"/>
      <c r="J138" s="2252"/>
      <c r="K138" s="2252"/>
      <c r="L138" s="2252"/>
      <c r="M138" s="2253"/>
      <c r="N138" s="2248"/>
      <c r="O138" s="2248"/>
      <c r="P138" s="2248"/>
      <c r="Q138" s="2248"/>
      <c r="R138" s="2248"/>
      <c r="S138" s="2248"/>
      <c r="T138" s="2248"/>
      <c r="U138" s="2248"/>
      <c r="V138" s="2248"/>
      <c r="W138" s="2248"/>
    </row>
    <row r="139" spans="1:23">
      <c r="A139" s="2248"/>
      <c r="B139" s="2254" t="s">
        <v>1418</v>
      </c>
      <c r="C139" s="2258" t="s">
        <v>1906</v>
      </c>
      <c r="D139" s="2252"/>
      <c r="E139" s="2252"/>
      <c r="F139" s="2355">
        <f>+'R &amp; E data-2020'!I12</f>
        <v>2020</v>
      </c>
      <c r="G139" s="2355"/>
      <c r="H139" s="2355"/>
      <c r="I139" s="2252"/>
      <c r="J139" s="2252"/>
      <c r="K139" s="2252"/>
      <c r="L139" s="2252"/>
      <c r="M139" s="2253"/>
      <c r="N139" s="2248"/>
      <c r="O139" s="2248"/>
      <c r="P139" s="2248"/>
      <c r="Q139" s="2248"/>
      <c r="R139" s="2248"/>
      <c r="S139" s="2248"/>
      <c r="T139" s="2248"/>
      <c r="U139" s="2248"/>
      <c r="V139" s="2248"/>
      <c r="W139" s="2248"/>
    </row>
    <row r="140" spans="1:23">
      <c r="A140" s="2248"/>
      <c r="B140" s="2251"/>
      <c r="C140" s="2256">
        <f>1+C137</f>
        <v>41</v>
      </c>
      <c r="D140" s="2262" t="s">
        <v>2249</v>
      </c>
      <c r="E140" s="2252"/>
      <c r="F140" s="2252"/>
      <c r="G140" s="2252"/>
      <c r="H140" s="2252"/>
      <c r="I140" s="2252"/>
      <c r="J140" s="2252"/>
      <c r="K140" s="2252"/>
      <c r="L140" s="2252"/>
      <c r="M140" s="2253"/>
      <c r="N140" s="2248"/>
      <c r="O140" s="2248"/>
      <c r="P140" s="2248"/>
      <c r="Q140" s="2248"/>
      <c r="R140" s="2248"/>
      <c r="S140" s="2248"/>
      <c r="T140" s="2248"/>
      <c r="U140" s="2248"/>
      <c r="V140" s="2248"/>
      <c r="W140" s="2248"/>
    </row>
    <row r="141" spans="1:23">
      <c r="A141" s="2248"/>
      <c r="B141" s="2251"/>
      <c r="C141" s="2256"/>
      <c r="D141" s="2271" t="s">
        <v>2250</v>
      </c>
      <c r="E141" s="2252"/>
      <c r="F141" s="2252"/>
      <c r="G141" s="2252"/>
      <c r="H141" s="2252"/>
      <c r="I141" s="2252"/>
      <c r="J141" s="2252"/>
      <c r="K141" s="2252"/>
      <c r="L141" s="2252"/>
      <c r="M141" s="2253"/>
      <c r="N141" s="2248"/>
      <c r="O141" s="2248"/>
      <c r="P141" s="2248"/>
      <c r="Q141" s="2248"/>
      <c r="R141" s="2248"/>
      <c r="S141" s="2248"/>
      <c r="T141" s="2248"/>
      <c r="U141" s="2248"/>
      <c r="V141" s="2248"/>
      <c r="W141" s="2248"/>
    </row>
    <row r="142" spans="1:23">
      <c r="A142" s="2248"/>
      <c r="B142" s="2251"/>
      <c r="C142" s="2256">
        <f>1+C140</f>
        <v>42</v>
      </c>
      <c r="D142" s="2252" t="s">
        <v>2129</v>
      </c>
      <c r="E142" s="2252"/>
      <c r="F142" s="2252"/>
      <c r="G142" s="2252"/>
      <c r="H142" s="2252"/>
      <c r="I142" s="2252"/>
      <c r="J142" s="2252"/>
      <c r="K142" s="2252"/>
      <c r="L142" s="2252"/>
      <c r="M142" s="2253"/>
      <c r="N142" s="2248"/>
      <c r="O142" s="2248"/>
      <c r="P142" s="2248"/>
      <c r="Q142" s="2248"/>
      <c r="R142" s="2248"/>
      <c r="S142" s="2248"/>
      <c r="T142" s="2248"/>
      <c r="U142" s="2248"/>
      <c r="V142" s="2248"/>
      <c r="W142" s="2248"/>
    </row>
    <row r="143" spans="1:23">
      <c r="A143" s="2248"/>
      <c r="B143" s="2251"/>
      <c r="C143" s="2256">
        <f>1+C142</f>
        <v>43</v>
      </c>
      <c r="D143" s="2252" t="s">
        <v>2251</v>
      </c>
      <c r="E143" s="2252"/>
      <c r="F143" s="2252"/>
      <c r="G143" s="2252"/>
      <c r="H143" s="2252"/>
      <c r="I143" s="2252"/>
      <c r="J143" s="2252"/>
      <c r="K143" s="2252"/>
      <c r="L143" s="2252"/>
      <c r="M143" s="2253"/>
      <c r="N143" s="2248"/>
      <c r="O143" s="2248"/>
      <c r="P143" s="2248"/>
      <c r="Q143" s="2248"/>
      <c r="R143" s="2248"/>
      <c r="S143" s="2248"/>
      <c r="T143" s="2248"/>
      <c r="U143" s="2248"/>
      <c r="V143" s="2248"/>
      <c r="W143" s="2248"/>
    </row>
    <row r="144" spans="1:23">
      <c r="A144" s="2248"/>
      <c r="B144" s="2251"/>
      <c r="C144" s="2252"/>
      <c r="D144" s="2356">
        <f>+'TRIAL-BALANCE'!E8</f>
        <v>2021</v>
      </c>
      <c r="E144" s="2356"/>
      <c r="F144" s="2356"/>
      <c r="G144" s="2356"/>
      <c r="H144" s="2252" t="s">
        <v>1917</v>
      </c>
      <c r="I144" s="2252"/>
      <c r="J144" s="2357">
        <f>+'TRIAL-BALANCE'!E8</f>
        <v>2021</v>
      </c>
      <c r="K144" s="2357"/>
      <c r="L144" s="2252" t="s">
        <v>1918</v>
      </c>
      <c r="M144" s="2253"/>
      <c r="N144" s="2248"/>
      <c r="O144" s="2248"/>
      <c r="P144" s="2248"/>
      <c r="Q144" s="2248"/>
      <c r="R144" s="2248"/>
      <c r="S144" s="2248"/>
      <c r="T144" s="2248"/>
      <c r="U144" s="2248"/>
      <c r="V144" s="2248"/>
      <c r="W144" s="2248"/>
    </row>
    <row r="145" spans="1:23" ht="6" customHeight="1">
      <c r="A145" s="2248"/>
      <c r="B145" s="2251"/>
      <c r="C145" s="2256"/>
      <c r="D145" s="2252"/>
      <c r="E145" s="2252"/>
      <c r="F145" s="2252"/>
      <c r="G145" s="2252"/>
      <c r="H145" s="2252"/>
      <c r="I145" s="2252"/>
      <c r="J145" s="2252"/>
      <c r="K145" s="2252"/>
      <c r="L145" s="2252"/>
      <c r="M145" s="2253"/>
      <c r="N145" s="2248"/>
      <c r="O145" s="2248"/>
      <c r="P145" s="2248"/>
      <c r="Q145" s="2248"/>
      <c r="R145" s="2248"/>
      <c r="S145" s="2248"/>
      <c r="T145" s="2248"/>
      <c r="U145" s="2248"/>
      <c r="V145" s="2248"/>
      <c r="W145" s="2248"/>
    </row>
    <row r="146" spans="1:23">
      <c r="A146" s="2248"/>
      <c r="B146" s="2254" t="s">
        <v>1419</v>
      </c>
      <c r="C146" s="2258" t="s">
        <v>1911</v>
      </c>
      <c r="D146" s="2252"/>
      <c r="E146" s="2252"/>
      <c r="F146" s="2358">
        <f>+'TRIAL-BALANCE'!E8</f>
        <v>2021</v>
      </c>
      <c r="G146" s="2358"/>
      <c r="H146" s="2358"/>
      <c r="I146" s="2358"/>
      <c r="J146" s="2258" t="s">
        <v>1900</v>
      </c>
      <c r="K146" s="2359">
        <f>+'TRIAL-BALANCE'!E8</f>
        <v>2021</v>
      </c>
      <c r="L146" s="2359"/>
      <c r="M146" s="2253"/>
      <c r="N146" s="2248"/>
      <c r="O146" s="2248"/>
      <c r="P146" s="2248"/>
      <c r="Q146" s="2248"/>
      <c r="R146" s="2248"/>
      <c r="S146" s="2248"/>
      <c r="T146" s="2248"/>
      <c r="U146" s="2248"/>
      <c r="V146" s="2248"/>
      <c r="W146" s="2248"/>
    </row>
    <row r="147" spans="1:23">
      <c r="A147" s="2248"/>
      <c r="B147" s="2251"/>
      <c r="C147" s="2256">
        <f>1+C143</f>
        <v>44</v>
      </c>
      <c r="D147" s="2252" t="s">
        <v>2113</v>
      </c>
      <c r="E147" s="2252"/>
      <c r="F147" s="2252"/>
      <c r="G147" s="2252"/>
      <c r="H147" s="2252"/>
      <c r="I147" s="2252"/>
      <c r="J147" s="2252"/>
      <c r="K147" s="2252"/>
      <c r="L147" s="2252"/>
      <c r="M147" s="2253"/>
      <c r="N147" s="2248"/>
      <c r="O147" s="2248"/>
      <c r="P147" s="2248"/>
      <c r="Q147" s="2248"/>
      <c r="R147" s="2248"/>
      <c r="S147" s="2248"/>
      <c r="T147" s="2248"/>
      <c r="U147" s="2248"/>
      <c r="V147" s="2248"/>
      <c r="W147" s="2248"/>
    </row>
    <row r="148" spans="1:23">
      <c r="A148" s="2248"/>
      <c r="B148" s="2251"/>
      <c r="C148" s="2256"/>
      <c r="D148" s="2252" t="s">
        <v>2130</v>
      </c>
      <c r="E148" s="2252"/>
      <c r="F148" s="2252"/>
      <c r="G148" s="2324"/>
      <c r="H148" s="2324"/>
      <c r="I148" s="2324"/>
      <c r="J148" s="2252"/>
      <c r="K148" s="2252"/>
      <c r="L148" s="2252"/>
      <c r="M148" s="2253"/>
      <c r="N148" s="2248"/>
      <c r="O148" s="2248"/>
      <c r="P148" s="2248"/>
      <c r="Q148" s="2248"/>
      <c r="R148" s="2248"/>
      <c r="S148" s="2248"/>
      <c r="T148" s="2248"/>
      <c r="U148" s="2248"/>
      <c r="V148" s="2248"/>
      <c r="W148" s="2248"/>
    </row>
    <row r="149" spans="1:23">
      <c r="A149" s="2248"/>
      <c r="B149" s="2251"/>
      <c r="C149" s="2256">
        <f>1+C147</f>
        <v>45</v>
      </c>
      <c r="D149" s="2252" t="s">
        <v>1902</v>
      </c>
      <c r="E149" s="2252"/>
      <c r="F149" s="2252"/>
      <c r="G149" s="2252"/>
      <c r="H149" s="2252"/>
      <c r="I149" s="2252"/>
      <c r="J149" s="2357">
        <f>+'TRIAL-BALANCE'!E8</f>
        <v>2021</v>
      </c>
      <c r="K149" s="2357"/>
      <c r="L149" s="2252" t="s">
        <v>1901</v>
      </c>
      <c r="M149" s="2253"/>
      <c r="N149" s="2248"/>
      <c r="O149" s="2248"/>
      <c r="P149" s="2248"/>
      <c r="Q149" s="2248"/>
      <c r="R149" s="2248"/>
      <c r="S149" s="2248"/>
      <c r="T149" s="2248"/>
      <c r="U149" s="2248"/>
      <c r="V149" s="2248"/>
      <c r="W149" s="2248"/>
    </row>
    <row r="150" spans="1:23">
      <c r="A150" s="2248"/>
      <c r="B150" s="2251"/>
      <c r="C150" s="2256"/>
      <c r="D150" s="2252" t="s">
        <v>2252</v>
      </c>
      <c r="E150" s="2252"/>
      <c r="F150" s="2360">
        <f>+'TRIAL-BALANCE'!E8</f>
        <v>2021</v>
      </c>
      <c r="G150" s="2360"/>
      <c r="H150" s="2360"/>
      <c r="I150" s="2267" t="s">
        <v>1903</v>
      </c>
      <c r="J150" s="2267"/>
      <c r="K150" s="2252"/>
      <c r="L150" s="2252"/>
      <c r="M150" s="2253"/>
      <c r="N150" s="2248"/>
      <c r="O150" s="2248"/>
      <c r="P150" s="2248"/>
      <c r="Q150" s="2248"/>
      <c r="R150" s="2248"/>
      <c r="S150" s="2248"/>
      <c r="T150" s="2248"/>
      <c r="U150" s="2248"/>
      <c r="V150" s="2248"/>
      <c r="W150" s="2248"/>
    </row>
    <row r="151" spans="1:23">
      <c r="A151" s="2248"/>
      <c r="B151" s="2251"/>
      <c r="C151" s="2256">
        <f>1+C149</f>
        <v>46</v>
      </c>
      <c r="D151" s="2252" t="s">
        <v>2253</v>
      </c>
      <c r="E151" s="2252"/>
      <c r="F151" s="2252"/>
      <c r="G151" s="2252"/>
      <c r="H151" s="2252"/>
      <c r="I151" s="2252"/>
      <c r="J151" s="2252"/>
      <c r="K151" s="2252"/>
      <c r="L151" s="2252"/>
      <c r="M151" s="2253"/>
      <c r="N151" s="2248"/>
      <c r="O151" s="2248"/>
      <c r="P151" s="2248"/>
      <c r="Q151" s="2248"/>
      <c r="R151" s="2248"/>
      <c r="S151" s="2248"/>
      <c r="T151" s="2248"/>
      <c r="U151" s="2248"/>
      <c r="V151" s="2248"/>
      <c r="W151" s="2248"/>
    </row>
    <row r="152" spans="1:23">
      <c r="A152" s="2248"/>
      <c r="B152" s="2251"/>
      <c r="C152" s="2252"/>
      <c r="D152" s="2265" t="s">
        <v>2254</v>
      </c>
      <c r="E152" s="2252"/>
      <c r="F152" s="2252"/>
      <c r="G152" s="2252"/>
      <c r="H152" s="2252"/>
      <c r="I152" s="2252"/>
      <c r="J152" s="2252"/>
      <c r="K152" s="2252"/>
      <c r="L152" s="2252"/>
      <c r="M152" s="2253"/>
      <c r="N152" s="2248"/>
      <c r="O152" s="2248"/>
      <c r="P152" s="2248"/>
      <c r="Q152" s="2248"/>
      <c r="R152" s="2248"/>
      <c r="S152" s="2248"/>
      <c r="T152" s="2248"/>
      <c r="U152" s="2248"/>
      <c r="V152" s="2248"/>
      <c r="W152" s="2248"/>
    </row>
    <row r="153" spans="1:23">
      <c r="A153" s="2248"/>
      <c r="B153" s="2251"/>
      <c r="C153" s="2252"/>
      <c r="D153" s="2272" t="s">
        <v>2255</v>
      </c>
      <c r="E153" s="2252"/>
      <c r="F153" s="2252"/>
      <c r="G153" s="2252"/>
      <c r="H153" s="2252"/>
      <c r="I153" s="2252"/>
      <c r="J153" s="2252"/>
      <c r="K153" s="2252"/>
      <c r="L153" s="2252"/>
      <c r="M153" s="2253"/>
      <c r="N153" s="2248"/>
      <c r="O153" s="2248"/>
      <c r="P153" s="2248"/>
      <c r="Q153" s="2248"/>
      <c r="R153" s="2248"/>
      <c r="S153" s="2248"/>
      <c r="T153" s="2248"/>
      <c r="U153" s="2248"/>
      <c r="V153" s="2248"/>
      <c r="W153" s="2248"/>
    </row>
    <row r="154" spans="1:23">
      <c r="A154" s="2248"/>
      <c r="B154" s="2251"/>
      <c r="C154" s="2256">
        <f>1+C151</f>
        <v>47</v>
      </c>
      <c r="D154" s="2325" t="s">
        <v>2256</v>
      </c>
      <c r="E154" s="2252"/>
      <c r="F154" s="2252"/>
      <c r="G154" s="2252"/>
      <c r="H154" s="2252"/>
      <c r="I154" s="2252"/>
      <c r="J154" s="2252"/>
      <c r="K154" s="2252"/>
      <c r="L154" s="2252"/>
      <c r="M154" s="2253"/>
      <c r="N154" s="2248"/>
      <c r="O154" s="2248"/>
      <c r="P154" s="2248"/>
      <c r="Q154" s="2248"/>
      <c r="R154" s="2248"/>
      <c r="S154" s="2248"/>
      <c r="T154" s="2248"/>
      <c r="U154" s="2248"/>
      <c r="V154" s="2248"/>
      <c r="W154" s="2248"/>
    </row>
    <row r="155" spans="1:23">
      <c r="A155" s="2248"/>
      <c r="B155" s="2251"/>
      <c r="C155" s="2252"/>
      <c r="D155" s="2257" t="s">
        <v>1421</v>
      </c>
      <c r="E155" s="2252"/>
      <c r="F155" s="2252"/>
      <c r="G155" s="2252"/>
      <c r="H155" s="2252"/>
      <c r="I155" s="2252"/>
      <c r="J155" s="2252"/>
      <c r="K155" s="2252"/>
      <c r="L155" s="2252"/>
      <c r="M155" s="2253"/>
      <c r="N155" s="2248"/>
      <c r="O155" s="2248"/>
      <c r="P155" s="2248"/>
      <c r="Q155" s="2248"/>
      <c r="R155" s="2248"/>
      <c r="S155" s="2248"/>
      <c r="T155" s="2248"/>
      <c r="U155" s="2248"/>
      <c r="V155" s="2248"/>
      <c r="W155" s="2248"/>
    </row>
    <row r="156" spans="1:23" ht="15" customHeight="1">
      <c r="A156" s="2248"/>
      <c r="B156" s="2251"/>
      <c r="C156" s="2252"/>
      <c r="D156" s="2265" t="s">
        <v>2257</v>
      </c>
      <c r="E156" s="2252"/>
      <c r="F156" s="2252"/>
      <c r="G156" s="2252"/>
      <c r="H156" s="2252"/>
      <c r="I156" s="2252"/>
      <c r="J156" s="2252"/>
      <c r="K156" s="2252"/>
      <c r="L156" s="2252"/>
      <c r="M156" s="2253"/>
      <c r="N156" s="2248"/>
      <c r="O156" s="2248"/>
      <c r="P156" s="2248"/>
      <c r="Q156" s="2248"/>
      <c r="R156" s="2248"/>
      <c r="S156" s="2248"/>
      <c r="T156" s="2248"/>
      <c r="U156" s="2248"/>
      <c r="V156" s="2248"/>
      <c r="W156" s="2248"/>
    </row>
    <row r="157" spans="1:23">
      <c r="A157" s="2248"/>
      <c r="B157" s="2251"/>
      <c r="C157" s="2256">
        <f>1+C154</f>
        <v>48</v>
      </c>
      <c r="D157" s="2325" t="s">
        <v>2258</v>
      </c>
      <c r="E157" s="2252"/>
      <c r="F157" s="2252"/>
      <c r="G157" s="2252"/>
      <c r="H157" s="2252"/>
      <c r="I157" s="2252"/>
      <c r="J157" s="2252"/>
      <c r="K157" s="2252"/>
      <c r="L157" s="2252"/>
      <c r="M157" s="2253"/>
      <c r="N157" s="2248"/>
      <c r="O157" s="2248"/>
      <c r="P157" s="2248"/>
      <c r="Q157" s="2248"/>
      <c r="R157" s="2248"/>
      <c r="S157" s="2248"/>
      <c r="T157" s="2248"/>
      <c r="U157" s="2248"/>
      <c r="V157" s="2248"/>
      <c r="W157" s="2248"/>
    </row>
    <row r="158" spans="1:23" ht="17.45" customHeight="1">
      <c r="A158" s="2248"/>
      <c r="B158" s="2251"/>
      <c r="C158" s="2252"/>
      <c r="D158" s="2257" t="s">
        <v>2259</v>
      </c>
      <c r="E158" s="2252"/>
      <c r="F158" s="2252"/>
      <c r="G158" s="2252"/>
      <c r="H158" s="2252"/>
      <c r="I158" s="2252"/>
      <c r="J158" s="2252"/>
      <c r="K158" s="2252"/>
      <c r="L158" s="2252"/>
      <c r="M158" s="2253"/>
      <c r="N158" s="2248"/>
      <c r="O158" s="2248"/>
      <c r="P158" s="2248"/>
      <c r="Q158" s="2248"/>
      <c r="R158" s="2248"/>
      <c r="S158" s="2248"/>
      <c r="T158" s="2248"/>
      <c r="U158" s="2248"/>
      <c r="V158" s="2248"/>
      <c r="W158" s="2248"/>
    </row>
    <row r="159" spans="1:23">
      <c r="A159" s="2248"/>
      <c r="B159" s="2251"/>
      <c r="C159" s="2252"/>
      <c r="D159" s="2265" t="s">
        <v>2260</v>
      </c>
      <c r="E159" s="2252"/>
      <c r="F159" s="2252"/>
      <c r="G159" s="2252"/>
      <c r="H159" s="2252"/>
      <c r="I159" s="2252"/>
      <c r="J159" s="2252"/>
      <c r="K159" s="2252"/>
      <c r="L159" s="2252"/>
      <c r="M159" s="2253"/>
      <c r="N159" s="2248"/>
      <c r="O159" s="2248"/>
      <c r="P159" s="2248"/>
      <c r="Q159" s="2248"/>
      <c r="R159" s="2248"/>
      <c r="S159" s="2248"/>
      <c r="T159" s="2248"/>
      <c r="U159" s="2248"/>
      <c r="V159" s="2248"/>
      <c r="W159" s="2248"/>
    </row>
    <row r="160" spans="1:23">
      <c r="A160" s="2248"/>
      <c r="B160" s="2251"/>
      <c r="C160" s="2256">
        <f>1+C157</f>
        <v>49</v>
      </c>
      <c r="D160" s="2325" t="s">
        <v>1422</v>
      </c>
      <c r="E160" s="2252"/>
      <c r="F160" s="2252"/>
      <c r="G160" s="2252"/>
      <c r="H160" s="2252"/>
      <c r="I160" s="2252"/>
      <c r="J160" s="2252"/>
      <c r="K160" s="2252"/>
      <c r="L160" s="2252"/>
      <c r="M160" s="2253"/>
      <c r="N160" s="2248"/>
      <c r="O160" s="2248"/>
      <c r="P160" s="2248"/>
      <c r="Q160" s="2248"/>
      <c r="R160" s="2248"/>
      <c r="S160" s="2248"/>
      <c r="T160" s="2248"/>
      <c r="U160" s="2248"/>
      <c r="V160" s="2248"/>
      <c r="W160" s="2248"/>
    </row>
    <row r="161" spans="1:23" ht="15" customHeight="1">
      <c r="A161" s="2248"/>
      <c r="B161" s="2251"/>
      <c r="C161" s="2252"/>
      <c r="D161" s="2325" t="s">
        <v>2261</v>
      </c>
      <c r="E161" s="2252"/>
      <c r="F161" s="2252"/>
      <c r="G161" s="2252"/>
      <c r="H161" s="2252"/>
      <c r="I161" s="2252"/>
      <c r="J161" s="2252"/>
      <c r="K161" s="2252"/>
      <c r="L161" s="2252"/>
      <c r="M161" s="2253"/>
      <c r="N161" s="2248"/>
      <c r="O161" s="2248"/>
      <c r="P161" s="2248"/>
      <c r="Q161" s="2248"/>
      <c r="R161" s="2248"/>
      <c r="S161" s="2248"/>
      <c r="T161" s="2248"/>
      <c r="U161" s="2248"/>
      <c r="V161" s="2248"/>
      <c r="W161" s="2248"/>
    </row>
    <row r="162" spans="1:23" ht="15" customHeight="1">
      <c r="A162" s="2248"/>
      <c r="B162" s="2251"/>
      <c r="C162" s="2252"/>
      <c r="D162" s="2252" t="s">
        <v>2263</v>
      </c>
      <c r="E162" s="2361" t="s">
        <v>1959</v>
      </c>
      <c r="F162" s="2362"/>
      <c r="G162" s="2362"/>
      <c r="H162" s="2252" t="s">
        <v>1904</v>
      </c>
      <c r="I162" s="2252"/>
      <c r="J162" s="2252"/>
      <c r="K162" s="2326" t="s">
        <v>2264</v>
      </c>
      <c r="L162" s="2252" t="s">
        <v>1930</v>
      </c>
      <c r="M162" s="2253"/>
      <c r="N162" s="2248"/>
      <c r="O162" s="2248"/>
      <c r="P162" s="2248"/>
      <c r="Q162" s="2248"/>
      <c r="R162" s="2248"/>
      <c r="S162" s="2248"/>
      <c r="T162" s="2248"/>
      <c r="U162" s="2248"/>
      <c r="V162" s="2248"/>
      <c r="W162" s="2248"/>
    </row>
    <row r="163" spans="1:23" ht="15" customHeight="1">
      <c r="A163" s="2248"/>
      <c r="B163" s="2251"/>
      <c r="C163" s="2252"/>
      <c r="D163" s="2325" t="s">
        <v>1929</v>
      </c>
      <c r="E163" s="2252"/>
      <c r="F163" s="2252"/>
      <c r="G163" s="2252"/>
      <c r="H163" s="2252"/>
      <c r="I163" s="2252"/>
      <c r="J163" s="2252"/>
      <c r="K163" s="2252"/>
      <c r="L163" s="2252"/>
      <c r="M163" s="2253"/>
      <c r="N163" s="2248"/>
      <c r="O163" s="2248"/>
      <c r="P163" s="2248"/>
      <c r="Q163" s="2248"/>
      <c r="R163" s="2248"/>
      <c r="S163" s="2248"/>
      <c r="T163" s="2248"/>
      <c r="U163" s="2248"/>
      <c r="V163" s="2248"/>
      <c r="W163" s="2248"/>
    </row>
    <row r="164" spans="1:23" ht="15" customHeight="1">
      <c r="A164" s="2248"/>
      <c r="B164" s="2251"/>
      <c r="C164" s="2252"/>
      <c r="D164" s="2325" t="s">
        <v>1423</v>
      </c>
      <c r="E164" s="2252"/>
      <c r="F164" s="2252"/>
      <c r="G164" s="2252"/>
      <c r="H164" s="2252"/>
      <c r="I164" s="2252"/>
      <c r="J164" s="2252"/>
      <c r="K164" s="2252"/>
      <c r="L164" s="2252"/>
      <c r="M164" s="2253"/>
      <c r="N164" s="2248"/>
      <c r="O164" s="2248"/>
      <c r="P164" s="2248"/>
      <c r="Q164" s="2248"/>
      <c r="R164" s="2248"/>
      <c r="S164" s="2248"/>
      <c r="T164" s="2248"/>
      <c r="U164" s="2248"/>
      <c r="V164" s="2248"/>
      <c r="W164" s="2248"/>
    </row>
    <row r="165" spans="1:23" ht="15" customHeight="1">
      <c r="A165" s="2248"/>
      <c r="B165" s="2251"/>
      <c r="C165" s="2252"/>
      <c r="D165" s="2325" t="s">
        <v>1424</v>
      </c>
      <c r="E165" s="2252"/>
      <c r="F165" s="2252"/>
      <c r="G165" s="2252"/>
      <c r="H165" s="2252"/>
      <c r="I165" s="2252"/>
      <c r="J165" s="2252"/>
      <c r="K165" s="2252"/>
      <c r="L165" s="2252"/>
      <c r="M165" s="2253"/>
      <c r="N165" s="2248"/>
      <c r="O165" s="2248"/>
      <c r="P165" s="2248"/>
      <c r="Q165" s="2248"/>
      <c r="R165" s="2248"/>
      <c r="S165" s="2248"/>
      <c r="T165" s="2248"/>
      <c r="U165" s="2248"/>
      <c r="V165" s="2248"/>
      <c r="W165" s="2248"/>
    </row>
    <row r="166" spans="1:23">
      <c r="A166" s="2248"/>
      <c r="B166" s="2251"/>
      <c r="C166" s="2256">
        <f>1+C160</f>
        <v>50</v>
      </c>
      <c r="D166" s="2265" t="s">
        <v>2262</v>
      </c>
      <c r="E166" s="2252"/>
      <c r="F166" s="2252"/>
      <c r="G166" s="2252"/>
      <c r="H166" s="2252"/>
      <c r="I166" s="2252"/>
      <c r="J166" s="2252"/>
      <c r="K166" s="2252"/>
      <c r="L166" s="2252"/>
      <c r="M166" s="2253"/>
      <c r="N166" s="2248"/>
      <c r="O166" s="2248"/>
      <c r="P166" s="2248"/>
      <c r="Q166" s="2248"/>
      <c r="R166" s="2248"/>
      <c r="S166" s="2248"/>
      <c r="T166" s="2248"/>
      <c r="U166" s="2248"/>
      <c r="V166" s="2248"/>
      <c r="W166" s="2248"/>
    </row>
    <row r="167" spans="1:23">
      <c r="A167" s="2248"/>
      <c r="B167" s="2251"/>
      <c r="C167" s="2252"/>
      <c r="D167" s="2363">
        <f>+'TRIAL-BALANCE'!E8</f>
        <v>2021</v>
      </c>
      <c r="E167" s="2363"/>
      <c r="F167" s="2363"/>
      <c r="G167" s="2267" t="s">
        <v>2265</v>
      </c>
      <c r="H167" s="2252"/>
      <c r="I167" s="2252"/>
      <c r="J167" s="2252"/>
      <c r="K167" s="2252"/>
      <c r="L167" s="2252"/>
      <c r="M167" s="2253"/>
      <c r="N167" s="2248"/>
      <c r="O167" s="2248"/>
      <c r="P167" s="2248"/>
      <c r="Q167" s="2248"/>
      <c r="R167" s="2248"/>
      <c r="S167" s="2248"/>
      <c r="T167" s="2248"/>
      <c r="U167" s="2248"/>
      <c r="V167" s="2248"/>
      <c r="W167" s="2248"/>
    </row>
    <row r="168" spans="1:23">
      <c r="A168" s="2248"/>
      <c r="B168" s="2251"/>
      <c r="C168" s="2252"/>
      <c r="D168" s="2252" t="s">
        <v>2000</v>
      </c>
      <c r="E168" s="2252"/>
      <c r="F168" s="2252"/>
      <c r="G168" s="2252"/>
      <c r="H168" s="2252"/>
      <c r="I168" s="2252"/>
      <c r="J168" s="2252"/>
      <c r="K168" s="2252"/>
      <c r="L168" s="2252"/>
      <c r="M168" s="2253"/>
      <c r="N168" s="2248"/>
      <c r="O168" s="2248"/>
      <c r="P168" s="2248"/>
      <c r="Q168" s="2248"/>
      <c r="R168" s="2248"/>
      <c r="S168" s="2248"/>
      <c r="T168" s="2248"/>
      <c r="U168" s="2248"/>
      <c r="V168" s="2248"/>
      <c r="W168" s="2248"/>
    </row>
    <row r="169" spans="1:23">
      <c r="A169" s="2248"/>
      <c r="B169" s="2251"/>
      <c r="C169" s="2252"/>
      <c r="D169" s="2252" t="s">
        <v>2266</v>
      </c>
      <c r="E169" s="2252"/>
      <c r="F169" s="2252"/>
      <c r="G169" s="2252"/>
      <c r="H169" s="2252"/>
      <c r="I169" s="2252"/>
      <c r="J169" s="2252"/>
      <c r="K169" s="2252"/>
      <c r="L169" s="2252"/>
      <c r="M169" s="2253"/>
      <c r="N169" s="2248"/>
      <c r="O169" s="2248"/>
      <c r="P169" s="2248"/>
      <c r="Q169" s="2248"/>
      <c r="R169" s="2248"/>
      <c r="S169" s="2248"/>
      <c r="T169" s="2248"/>
      <c r="U169" s="2248"/>
      <c r="V169" s="2248"/>
      <c r="W169" s="2248"/>
    </row>
    <row r="170" spans="1:23" ht="6" customHeight="1">
      <c r="A170" s="2248"/>
      <c r="B170" s="2251"/>
      <c r="C170" s="2256"/>
      <c r="D170" s="2252"/>
      <c r="E170" s="2252"/>
      <c r="F170" s="2252"/>
      <c r="G170" s="2252"/>
      <c r="H170" s="2252"/>
      <c r="I170" s="2252"/>
      <c r="J170" s="2252"/>
      <c r="K170" s="2252"/>
      <c r="L170" s="2252"/>
      <c r="M170" s="2253"/>
      <c r="N170" s="2248"/>
      <c r="O170" s="2248"/>
      <c r="P170" s="2248"/>
      <c r="Q170" s="2248"/>
      <c r="R170" s="2248"/>
      <c r="S170" s="2248"/>
      <c r="T170" s="2248"/>
      <c r="U170" s="2248"/>
      <c r="V170" s="2248"/>
      <c r="W170" s="2248"/>
    </row>
    <row r="171" spans="1:23">
      <c r="A171" s="2248"/>
      <c r="B171" s="2254" t="s">
        <v>1425</v>
      </c>
      <c r="C171" s="2258" t="s">
        <v>1905</v>
      </c>
      <c r="D171" s="2252"/>
      <c r="E171" s="2252"/>
      <c r="F171" s="2364">
        <f>+'TRIAL-BALANCE'!E8</f>
        <v>2021</v>
      </c>
      <c r="G171" s="2364"/>
      <c r="H171" s="2364"/>
      <c r="I171" s="2365">
        <f>+'TRIAL-BALANCE'!E8</f>
        <v>2021</v>
      </c>
      <c r="J171" s="2365"/>
      <c r="K171" s="2252"/>
      <c r="L171" s="2252"/>
      <c r="M171" s="2253"/>
      <c r="N171" s="2248"/>
      <c r="O171" s="2248"/>
      <c r="P171" s="2248"/>
      <c r="Q171" s="2248"/>
      <c r="R171" s="2248"/>
      <c r="S171" s="2248"/>
      <c r="T171" s="2248"/>
      <c r="U171" s="2248"/>
      <c r="V171" s="2248"/>
      <c r="W171" s="2248"/>
    </row>
    <row r="172" spans="1:23">
      <c r="A172" s="2248"/>
      <c r="B172" s="2251"/>
      <c r="C172" s="2256">
        <f>1+C166</f>
        <v>51</v>
      </c>
      <c r="D172" s="2252" t="s">
        <v>1426</v>
      </c>
      <c r="E172" s="2252"/>
      <c r="F172" s="2252"/>
      <c r="G172" s="2252"/>
      <c r="H172" s="2252"/>
      <c r="I172" s="2252"/>
      <c r="J172" s="2252"/>
      <c r="K172" s="2252"/>
      <c r="L172" s="2252"/>
      <c r="M172" s="2253"/>
      <c r="N172" s="2248"/>
      <c r="O172" s="2248"/>
      <c r="P172" s="2248"/>
      <c r="Q172" s="2248"/>
      <c r="R172" s="2248"/>
      <c r="S172" s="2248"/>
      <c r="T172" s="2248"/>
      <c r="U172" s="2248"/>
      <c r="V172" s="2248"/>
      <c r="W172" s="2248"/>
    </row>
    <row r="173" spans="1:23">
      <c r="A173" s="2248"/>
      <c r="B173" s="2251"/>
      <c r="C173" s="2256"/>
      <c r="D173" s="2252" t="s">
        <v>1420</v>
      </c>
      <c r="E173" s="2252"/>
      <c r="F173" s="2252"/>
      <c r="G173" s="2252"/>
      <c r="H173" s="2252"/>
      <c r="I173" s="2252"/>
      <c r="J173" s="2252"/>
      <c r="K173" s="2252"/>
      <c r="L173" s="2252"/>
      <c r="M173" s="2253"/>
      <c r="N173" s="2248"/>
      <c r="O173" s="2248"/>
      <c r="P173" s="2248"/>
      <c r="Q173" s="2248"/>
      <c r="R173" s="2248"/>
      <c r="S173" s="2248"/>
      <c r="T173" s="2248"/>
      <c r="U173" s="2248"/>
      <c r="V173" s="2248"/>
      <c r="W173" s="2248"/>
    </row>
    <row r="174" spans="1:23">
      <c r="A174" s="2248"/>
      <c r="B174" s="2251"/>
      <c r="C174" s="2256">
        <f>1+C172</f>
        <v>52</v>
      </c>
      <c r="D174" s="2262" t="s">
        <v>1913</v>
      </c>
      <c r="E174" s="2252"/>
      <c r="F174" s="2252"/>
      <c r="G174" s="2252"/>
      <c r="H174" s="2252"/>
      <c r="I174" s="2252"/>
      <c r="J174" s="2252"/>
      <c r="K174" s="2327">
        <f>+'TRIAL-BALANCE'!E8</f>
        <v>2021</v>
      </c>
      <c r="L174" s="2252" t="s">
        <v>1931</v>
      </c>
      <c r="M174" s="2253"/>
      <c r="N174" s="2248"/>
      <c r="O174" s="2248"/>
      <c r="P174" s="2248"/>
      <c r="Q174" s="2248"/>
      <c r="R174" s="2248"/>
      <c r="S174" s="2248"/>
      <c r="T174" s="2248"/>
      <c r="U174" s="2248"/>
      <c r="V174" s="2248"/>
      <c r="W174" s="2248"/>
    </row>
    <row r="175" spans="1:23">
      <c r="A175" s="2248"/>
      <c r="B175" s="2251"/>
      <c r="C175" s="2256"/>
      <c r="D175" s="2252" t="s">
        <v>1932</v>
      </c>
      <c r="F175" s="2341">
        <f>+'TRIAL-BALANCE'!E8</f>
        <v>2021</v>
      </c>
      <c r="G175" s="2341"/>
      <c r="H175" s="2341"/>
      <c r="I175" s="2252" t="s">
        <v>1912</v>
      </c>
      <c r="J175" s="2252"/>
      <c r="K175" s="2252"/>
      <c r="L175" s="2252"/>
      <c r="M175" s="2253"/>
      <c r="N175" s="2248"/>
      <c r="O175" s="2248"/>
      <c r="P175" s="2248"/>
      <c r="Q175" s="2248"/>
      <c r="R175" s="2248"/>
      <c r="S175" s="2248"/>
      <c r="T175" s="2248"/>
      <c r="U175" s="2248"/>
      <c r="V175" s="2248"/>
      <c r="W175" s="2248"/>
    </row>
    <row r="176" spans="1:23">
      <c r="A176" s="2248"/>
      <c r="B176" s="2251"/>
      <c r="C176" s="2256">
        <f>1+C174</f>
        <v>53</v>
      </c>
      <c r="D176" s="2262" t="s">
        <v>2267</v>
      </c>
      <c r="E176" s="2252"/>
      <c r="F176" s="2252"/>
      <c r="G176" s="2252"/>
      <c r="H176" s="2252"/>
      <c r="I176" s="2252"/>
      <c r="J176" s="2252"/>
      <c r="K176" s="2252"/>
      <c r="L176" s="2252"/>
      <c r="M176" s="2253"/>
      <c r="N176" s="2248"/>
      <c r="O176" s="2248"/>
      <c r="P176" s="2248"/>
      <c r="Q176" s="2248"/>
      <c r="R176" s="2248"/>
      <c r="S176" s="2248"/>
      <c r="T176" s="2248"/>
      <c r="U176" s="2248"/>
      <c r="V176" s="2248"/>
      <c r="W176" s="2248"/>
    </row>
    <row r="177" spans="1:23">
      <c r="A177" s="2248"/>
      <c r="B177" s="2251"/>
      <c r="C177" s="2252"/>
      <c r="D177" s="2252" t="s">
        <v>2268</v>
      </c>
      <c r="E177" s="2252"/>
      <c r="F177" s="2252"/>
      <c r="G177" s="2252"/>
      <c r="H177" s="2252"/>
      <c r="I177" s="2252"/>
      <c r="J177" s="2252"/>
      <c r="K177" s="2252"/>
      <c r="L177" s="2252"/>
      <c r="M177" s="2253"/>
      <c r="N177" s="2248"/>
      <c r="O177" s="2248"/>
      <c r="P177" s="2248"/>
      <c r="Q177" s="2248"/>
      <c r="R177" s="2248"/>
      <c r="S177" s="2248"/>
      <c r="T177" s="2248"/>
      <c r="U177" s="2248"/>
      <c r="V177" s="2248"/>
      <c r="W177" s="2248"/>
    </row>
    <row r="178" spans="1:23">
      <c r="A178" s="2248"/>
      <c r="B178" s="2251"/>
      <c r="C178" s="2252"/>
      <c r="D178" s="2252" t="s">
        <v>2269</v>
      </c>
      <c r="E178" s="2252"/>
      <c r="F178" s="2252"/>
      <c r="G178" s="2252"/>
      <c r="H178" s="2252"/>
      <c r="I178" s="2252"/>
      <c r="J178" s="2252"/>
      <c r="K178" s="2252"/>
      <c r="L178" s="2252"/>
      <c r="M178" s="2253"/>
      <c r="N178" s="2248"/>
      <c r="O178" s="2248"/>
      <c r="P178" s="2248"/>
      <c r="Q178" s="2248"/>
      <c r="R178" s="2248"/>
      <c r="S178" s="2248"/>
      <c r="T178" s="2248"/>
      <c r="U178" s="2248"/>
      <c r="V178" s="2248"/>
      <c r="W178" s="2248"/>
    </row>
    <row r="179" spans="1:23" ht="15" customHeight="1">
      <c r="A179" s="2248"/>
      <c r="B179" s="2251"/>
      <c r="C179" s="2252"/>
      <c r="D179" s="2262" t="s">
        <v>2270</v>
      </c>
      <c r="E179" s="2252"/>
      <c r="F179" s="2252"/>
      <c r="G179" s="2252"/>
      <c r="H179" s="2252"/>
      <c r="I179" s="2252"/>
      <c r="J179" s="2252"/>
      <c r="K179" s="2252"/>
      <c r="L179" s="2252"/>
      <c r="M179" s="2253"/>
      <c r="N179" s="2248"/>
      <c r="O179" s="2248"/>
      <c r="P179" s="2248"/>
      <c r="Q179" s="2248"/>
      <c r="R179" s="2248"/>
      <c r="S179" s="2248"/>
      <c r="T179" s="2248"/>
      <c r="U179" s="2248"/>
      <c r="V179" s="2248"/>
      <c r="W179" s="2248"/>
    </row>
    <row r="180" spans="1:23" ht="15" customHeight="1">
      <c r="A180" s="2248"/>
      <c r="B180" s="2251"/>
      <c r="C180" s="2252"/>
      <c r="D180" s="2262" t="s">
        <v>1914</v>
      </c>
      <c r="E180" s="2366">
        <f>+'R &amp; E data-2020'!I12</f>
        <v>2020</v>
      </c>
      <c r="F180" s="2366"/>
      <c r="G180" s="2366"/>
      <c r="H180" s="2366"/>
      <c r="I180" s="2252" t="s">
        <v>1915</v>
      </c>
      <c r="J180" s="2252"/>
      <c r="K180" s="2252"/>
      <c r="L180" s="2252"/>
      <c r="M180" s="2253"/>
      <c r="N180" s="2248"/>
      <c r="O180" s="2248"/>
      <c r="P180" s="2248"/>
      <c r="Q180" s="2248"/>
      <c r="R180" s="2248"/>
      <c r="S180" s="2248"/>
      <c r="T180" s="2248"/>
      <c r="U180" s="2248"/>
      <c r="V180" s="2248"/>
      <c r="W180" s="2248"/>
    </row>
    <row r="181" spans="1:23" ht="15" customHeight="1">
      <c r="A181" s="2248"/>
      <c r="B181" s="2251"/>
      <c r="C181" s="2252"/>
      <c r="D181" s="2265" t="s">
        <v>2271</v>
      </c>
      <c r="E181" s="2252"/>
      <c r="F181" s="2252"/>
      <c r="G181" s="2252"/>
      <c r="H181" s="2252"/>
      <c r="I181" s="2252"/>
      <c r="J181" s="2252"/>
      <c r="K181" s="2252"/>
      <c r="L181" s="2252"/>
      <c r="M181" s="2253"/>
      <c r="N181" s="2248"/>
      <c r="O181" s="2248"/>
      <c r="P181" s="2248"/>
      <c r="Q181" s="2248"/>
      <c r="R181" s="2248"/>
      <c r="S181" s="2248"/>
      <c r="T181" s="2248"/>
      <c r="U181" s="2248"/>
      <c r="V181" s="2248"/>
      <c r="W181" s="2248"/>
    </row>
    <row r="182" spans="1:23">
      <c r="A182" s="2248"/>
      <c r="B182" s="2251"/>
      <c r="C182" s="2256">
        <f>1+C176</f>
        <v>54</v>
      </c>
      <c r="D182" s="2325" t="s">
        <v>1427</v>
      </c>
      <c r="E182" s="2257"/>
      <c r="F182" s="2257"/>
      <c r="G182" s="2257"/>
      <c r="H182" s="2257"/>
      <c r="I182" s="2257"/>
      <c r="J182" s="2257"/>
      <c r="K182" s="2257"/>
      <c r="L182" s="2257"/>
      <c r="M182" s="2328"/>
      <c r="N182" s="2248"/>
      <c r="O182" s="2248"/>
      <c r="P182" s="2248"/>
      <c r="Q182" s="2248"/>
      <c r="R182" s="2248"/>
      <c r="S182" s="2248"/>
      <c r="T182" s="2248"/>
      <c r="U182" s="2248"/>
      <c r="V182" s="2248"/>
      <c r="W182" s="2248"/>
    </row>
    <row r="183" spans="1:23" ht="15" customHeight="1">
      <c r="A183" s="2248"/>
      <c r="B183" s="2251"/>
      <c r="C183" s="2252"/>
      <c r="D183" s="2325" t="s">
        <v>2272</v>
      </c>
      <c r="E183" s="2257"/>
      <c r="F183" s="2257"/>
      <c r="G183" s="2257"/>
      <c r="H183" s="2257"/>
      <c r="I183" s="2257"/>
      <c r="J183" s="2257"/>
      <c r="K183" s="2257"/>
      <c r="L183" s="2257"/>
      <c r="M183" s="2328"/>
      <c r="N183" s="2248"/>
      <c r="O183" s="2248"/>
      <c r="P183" s="2248"/>
      <c r="Q183" s="2248"/>
      <c r="R183" s="2248"/>
      <c r="S183" s="2248"/>
      <c r="T183" s="2248"/>
      <c r="U183" s="2248"/>
      <c r="V183" s="2248"/>
      <c r="W183" s="2248"/>
    </row>
    <row r="184" spans="1:23" ht="15" customHeight="1">
      <c r="A184" s="2248"/>
      <c r="B184" s="2251"/>
      <c r="C184" s="2252"/>
      <c r="D184" s="2325" t="s">
        <v>2273</v>
      </c>
      <c r="E184" s="2257"/>
      <c r="F184" s="2257"/>
      <c r="G184" s="2257"/>
      <c r="H184" s="2257"/>
      <c r="I184" s="2257"/>
      <c r="J184" s="2257"/>
      <c r="K184" s="2329" t="s">
        <v>1957</v>
      </c>
      <c r="L184" s="2257" t="s">
        <v>1933</v>
      </c>
      <c r="M184" s="2328"/>
      <c r="N184" s="2248"/>
      <c r="O184" s="2248"/>
      <c r="P184" s="2248"/>
      <c r="Q184" s="2248"/>
      <c r="R184" s="2248"/>
      <c r="S184" s="2248"/>
      <c r="T184" s="2248"/>
      <c r="U184" s="2248"/>
      <c r="V184" s="2248"/>
      <c r="W184" s="2248"/>
    </row>
    <row r="185" spans="1:23" ht="15" customHeight="1">
      <c r="A185" s="2248"/>
      <c r="B185" s="2251"/>
      <c r="C185" s="2252"/>
      <c r="D185" s="2325" t="s">
        <v>2274</v>
      </c>
      <c r="E185" s="2257"/>
      <c r="F185" s="2257"/>
      <c r="G185" s="2257"/>
      <c r="H185" s="2257"/>
      <c r="I185" s="2257"/>
      <c r="J185" s="2257"/>
      <c r="K185" s="2257"/>
      <c r="L185" s="2257"/>
      <c r="M185" s="2328"/>
      <c r="N185" s="2248"/>
      <c r="O185" s="2248"/>
      <c r="P185" s="2248"/>
      <c r="Q185" s="2248"/>
      <c r="R185" s="2248"/>
      <c r="S185" s="2248"/>
      <c r="T185" s="2248"/>
      <c r="U185" s="2248"/>
      <c r="V185" s="2248"/>
      <c r="W185" s="2248"/>
    </row>
    <row r="186" spans="1:23" ht="15" customHeight="1">
      <c r="A186" s="2248"/>
      <c r="B186" s="2251"/>
      <c r="C186" s="2252"/>
      <c r="D186" s="2325" t="s">
        <v>1428</v>
      </c>
      <c r="E186" s="2257"/>
      <c r="F186" s="2257"/>
      <c r="G186" s="2257"/>
      <c r="H186" s="2257"/>
      <c r="I186" s="2257"/>
      <c r="J186" s="2257"/>
      <c r="K186" s="2257"/>
      <c r="L186" s="2257"/>
      <c r="M186" s="2328"/>
      <c r="N186" s="2248"/>
      <c r="O186" s="2248"/>
      <c r="P186" s="2248"/>
      <c r="Q186" s="2248"/>
      <c r="R186" s="2248"/>
      <c r="S186" s="2248"/>
      <c r="T186" s="2248"/>
      <c r="U186" s="2248"/>
      <c r="V186" s="2248"/>
      <c r="W186" s="2248"/>
    </row>
    <row r="187" spans="1:23">
      <c r="A187" s="2248"/>
      <c r="B187" s="2251"/>
      <c r="C187" s="2256">
        <f>1+C182</f>
        <v>55</v>
      </c>
      <c r="D187" s="2265" t="s">
        <v>2275</v>
      </c>
      <c r="E187" s="2252"/>
      <c r="F187" s="2252"/>
      <c r="G187" s="2252"/>
      <c r="H187" s="2252"/>
      <c r="I187" s="2252"/>
      <c r="J187" s="2252"/>
      <c r="K187" s="2252"/>
      <c r="L187" s="2252"/>
      <c r="M187" s="2253"/>
      <c r="N187" s="2248"/>
      <c r="O187" s="2248"/>
      <c r="P187" s="2248"/>
      <c r="Q187" s="2248"/>
      <c r="R187" s="2248"/>
      <c r="S187" s="2248"/>
      <c r="T187" s="2248"/>
      <c r="U187" s="2248"/>
      <c r="V187" s="2248"/>
      <c r="W187" s="2248"/>
    </row>
    <row r="188" spans="1:23">
      <c r="A188" s="2248"/>
      <c r="B188" s="2251"/>
      <c r="C188" s="2252"/>
      <c r="D188" s="2367">
        <f>+'TRIAL-BALANCE'!E8</f>
        <v>2021</v>
      </c>
      <c r="E188" s="2367"/>
      <c r="F188" s="2273" t="s">
        <v>1916</v>
      </c>
      <c r="G188" s="2252"/>
      <c r="H188" s="2252"/>
      <c r="I188" s="2252"/>
      <c r="J188" s="2252"/>
      <c r="K188" s="2252"/>
      <c r="L188" s="2252"/>
      <c r="M188" s="2253"/>
      <c r="N188" s="2248"/>
      <c r="O188" s="2248"/>
      <c r="P188" s="2248"/>
      <c r="Q188" s="2248"/>
      <c r="R188" s="2248"/>
      <c r="S188" s="2248"/>
      <c r="T188" s="2248"/>
      <c r="U188" s="2248"/>
      <c r="V188" s="2248"/>
      <c r="W188" s="2248"/>
    </row>
    <row r="189" spans="1:23">
      <c r="A189" s="2248"/>
      <c r="B189" s="2251"/>
      <c r="C189" s="2252"/>
      <c r="D189" s="2252" t="s">
        <v>2000</v>
      </c>
      <c r="E189" s="2252"/>
      <c r="F189" s="2252"/>
      <c r="G189" s="2252"/>
      <c r="H189" s="2252"/>
      <c r="I189" s="2252"/>
      <c r="J189" s="2252"/>
      <c r="K189" s="2252"/>
      <c r="L189" s="2252"/>
      <c r="M189" s="2253"/>
      <c r="N189" s="2248"/>
      <c r="O189" s="2248"/>
      <c r="P189" s="2248"/>
      <c r="Q189" s="2248"/>
      <c r="R189" s="2248"/>
      <c r="S189" s="2248"/>
      <c r="T189" s="2248"/>
      <c r="U189" s="2248"/>
      <c r="V189" s="2248"/>
      <c r="W189" s="2248"/>
    </row>
    <row r="190" spans="1:23">
      <c r="A190" s="2248"/>
      <c r="B190" s="2251"/>
      <c r="C190" s="2252"/>
      <c r="D190" s="2252" t="s">
        <v>2266</v>
      </c>
      <c r="E190" s="2252"/>
      <c r="F190" s="2252"/>
      <c r="G190" s="2252"/>
      <c r="H190" s="2252"/>
      <c r="I190" s="2252"/>
      <c r="J190" s="2252"/>
      <c r="K190" s="2252"/>
      <c r="L190" s="2252"/>
      <c r="M190" s="2253"/>
      <c r="N190" s="2248"/>
      <c r="O190" s="2248"/>
      <c r="P190" s="2248"/>
      <c r="Q190" s="2248"/>
      <c r="R190" s="2248"/>
      <c r="S190" s="2248"/>
      <c r="T190" s="2248"/>
      <c r="U190" s="2248"/>
      <c r="V190" s="2248"/>
      <c r="W190" s="2248"/>
    </row>
    <row r="191" spans="1:23" ht="6" customHeight="1">
      <c r="A191" s="2248"/>
      <c r="B191" s="2251"/>
      <c r="C191" s="2256"/>
      <c r="D191" s="2252"/>
      <c r="E191" s="2252"/>
      <c r="F191" s="2252"/>
      <c r="G191" s="2252"/>
      <c r="H191" s="2252"/>
      <c r="I191" s="2252"/>
      <c r="J191" s="2252"/>
      <c r="K191" s="2252"/>
      <c r="L191" s="2252"/>
      <c r="M191" s="2253"/>
      <c r="N191" s="2248"/>
      <c r="O191" s="2248"/>
      <c r="P191" s="2248"/>
      <c r="Q191" s="2248"/>
      <c r="R191" s="2248"/>
      <c r="S191" s="2248"/>
      <c r="T191" s="2248"/>
      <c r="U191" s="2248"/>
      <c r="V191" s="2248"/>
      <c r="W191" s="2248"/>
    </row>
    <row r="192" spans="1:23">
      <c r="A192" s="2248"/>
      <c r="B192" s="2254" t="s">
        <v>1429</v>
      </c>
      <c r="C192" s="2258" t="s">
        <v>1906</v>
      </c>
      <c r="D192" s="2252"/>
      <c r="E192" s="2252"/>
      <c r="F192" s="2368" t="s">
        <v>2003</v>
      </c>
      <c r="G192" s="2369"/>
      <c r="H192" s="2369"/>
      <c r="I192" s="2252"/>
      <c r="J192" s="2252"/>
      <c r="K192" s="2252"/>
      <c r="L192" s="2252"/>
      <c r="M192" s="2253"/>
      <c r="N192" s="2248"/>
      <c r="O192" s="2248"/>
      <c r="P192" s="2248"/>
      <c r="Q192" s="2248"/>
      <c r="R192" s="2248"/>
      <c r="S192" s="2248"/>
      <c r="T192" s="2248"/>
      <c r="U192" s="2248"/>
      <c r="V192" s="2248"/>
      <c r="W192" s="2248"/>
    </row>
    <row r="193" spans="1:23">
      <c r="A193" s="2248"/>
      <c r="B193" s="2251"/>
      <c r="C193" s="2256">
        <f>1+C187</f>
        <v>56</v>
      </c>
      <c r="D193" s="2252" t="s">
        <v>2005</v>
      </c>
      <c r="E193" s="2252"/>
      <c r="F193" s="2252"/>
      <c r="G193" s="2252"/>
      <c r="H193" s="2252"/>
      <c r="I193" s="2252"/>
      <c r="J193" s="2252"/>
      <c r="K193" s="2252"/>
      <c r="L193" s="2252"/>
      <c r="M193" s="2253"/>
      <c r="N193" s="2248"/>
      <c r="O193" s="2248"/>
      <c r="P193" s="2248"/>
      <c r="Q193" s="2248"/>
      <c r="R193" s="2248"/>
      <c r="S193" s="2248"/>
      <c r="T193" s="2248"/>
      <c r="U193" s="2248"/>
      <c r="V193" s="2248"/>
      <c r="W193" s="2248"/>
    </row>
    <row r="194" spans="1:23">
      <c r="A194" s="2248"/>
      <c r="B194" s="2251"/>
      <c r="C194" s="2252"/>
      <c r="D194" s="2252" t="s">
        <v>2004</v>
      </c>
      <c r="E194" s="2252"/>
      <c r="F194" s="2252"/>
      <c r="G194" s="2252"/>
      <c r="H194" s="2252"/>
      <c r="I194" s="2252"/>
      <c r="J194" s="2252"/>
      <c r="K194" s="2252"/>
      <c r="L194" s="2252"/>
      <c r="M194" s="2253"/>
      <c r="N194" s="2248"/>
      <c r="O194" s="2248"/>
      <c r="P194" s="2248"/>
      <c r="Q194" s="2248"/>
      <c r="R194" s="2248"/>
      <c r="S194" s="2248"/>
      <c r="T194" s="2248"/>
      <c r="U194" s="2248"/>
      <c r="V194" s="2248"/>
      <c r="W194" s="2248"/>
    </row>
    <row r="195" spans="1:23">
      <c r="A195" s="2248"/>
      <c r="B195" s="2251"/>
      <c r="C195" s="2256">
        <f>1+C193</f>
        <v>57</v>
      </c>
      <c r="D195" s="2252" t="s">
        <v>2276</v>
      </c>
      <c r="E195" s="2252"/>
      <c r="F195" s="2252"/>
      <c r="G195" s="2252"/>
      <c r="H195" s="2252"/>
      <c r="I195" s="2252"/>
      <c r="J195" s="2252"/>
      <c r="K195" s="2252"/>
      <c r="L195" s="2252"/>
      <c r="M195" s="2253"/>
      <c r="N195" s="2248"/>
      <c r="O195" s="2248"/>
      <c r="P195" s="2248"/>
      <c r="Q195" s="2248"/>
      <c r="R195" s="2248"/>
      <c r="S195" s="2248"/>
      <c r="T195" s="2248"/>
      <c r="U195" s="2248"/>
      <c r="V195" s="2248"/>
      <c r="W195" s="2248"/>
    </row>
    <row r="196" spans="1:23">
      <c r="A196" s="2248"/>
      <c r="B196" s="2251"/>
      <c r="C196" s="2252"/>
      <c r="D196" s="2252" t="s">
        <v>2006</v>
      </c>
      <c r="E196" s="2252"/>
      <c r="F196" s="2252"/>
      <c r="G196" s="2252"/>
      <c r="H196" s="2252"/>
      <c r="I196" s="2252"/>
      <c r="J196" s="2252"/>
      <c r="K196" s="2252"/>
      <c r="L196" s="2252"/>
      <c r="M196" s="2253"/>
      <c r="N196" s="2248"/>
      <c r="O196" s="2248"/>
      <c r="P196" s="2248"/>
      <c r="Q196" s="2248"/>
      <c r="R196" s="2248"/>
      <c r="S196" s="2248"/>
      <c r="T196" s="2248"/>
      <c r="U196" s="2248"/>
      <c r="V196" s="2248"/>
      <c r="W196" s="2248"/>
    </row>
    <row r="197" spans="1:23">
      <c r="A197" s="2248"/>
      <c r="B197" s="2251"/>
      <c r="C197" s="2252"/>
      <c r="D197" s="2252" t="s">
        <v>2277</v>
      </c>
      <c r="E197" s="2252"/>
      <c r="F197" s="2252"/>
      <c r="G197" s="2252"/>
      <c r="H197" s="2252"/>
      <c r="I197" s="2252"/>
      <c r="J197" s="2252"/>
      <c r="K197" s="2252"/>
      <c r="L197" s="2252"/>
      <c r="M197" s="2253"/>
      <c r="N197" s="2248"/>
      <c r="O197" s="2248"/>
      <c r="P197" s="2248"/>
      <c r="Q197" s="2248"/>
      <c r="R197" s="2248"/>
      <c r="S197" s="2248"/>
      <c r="T197" s="2248"/>
      <c r="U197" s="2248"/>
      <c r="V197" s="2248"/>
      <c r="W197" s="2248"/>
    </row>
    <row r="198" spans="1:23">
      <c r="A198" s="2248"/>
      <c r="B198" s="2251"/>
      <c r="C198" s="2256">
        <f>1+C195</f>
        <v>58</v>
      </c>
      <c r="D198" s="2252" t="s">
        <v>2278</v>
      </c>
      <c r="E198" s="2252"/>
      <c r="F198" s="2252"/>
      <c r="G198" s="2252"/>
      <c r="H198" s="2252"/>
      <c r="I198" s="2252"/>
      <c r="J198" s="2252"/>
      <c r="K198" s="2252"/>
      <c r="L198" s="2252"/>
      <c r="M198" s="2253"/>
      <c r="N198" s="2248"/>
      <c r="O198" s="2248"/>
      <c r="P198" s="2248"/>
      <c r="Q198" s="2248"/>
      <c r="R198" s="2248"/>
      <c r="S198" s="2248"/>
      <c r="T198" s="2248"/>
      <c r="U198" s="2248"/>
      <c r="V198" s="2248"/>
      <c r="W198" s="2248"/>
    </row>
    <row r="199" spans="1:23">
      <c r="A199" s="2248"/>
      <c r="B199" s="2251"/>
      <c r="C199" s="2252"/>
      <c r="D199" s="2252" t="s">
        <v>2279</v>
      </c>
      <c r="E199" s="2252"/>
      <c r="F199" s="2252"/>
      <c r="G199" s="2252"/>
      <c r="H199" s="2252"/>
      <c r="I199" s="2252"/>
      <c r="J199" s="2252"/>
      <c r="K199" s="2252"/>
      <c r="L199" s="2252"/>
      <c r="M199" s="2253"/>
      <c r="N199" s="2248"/>
      <c r="O199" s="2248"/>
      <c r="P199" s="2248"/>
      <c r="Q199" s="2248"/>
      <c r="R199" s="2248"/>
      <c r="S199" s="2248"/>
      <c r="T199" s="2248"/>
      <c r="U199" s="2248"/>
      <c r="V199" s="2248"/>
      <c r="W199" s="2248"/>
    </row>
    <row r="200" spans="1:23">
      <c r="A200" s="2248"/>
      <c r="B200" s="2251"/>
      <c r="C200" s="2252"/>
      <c r="D200" s="2252" t="s">
        <v>2280</v>
      </c>
      <c r="E200" s="2252"/>
      <c r="F200" s="2252"/>
      <c r="G200" s="2252"/>
      <c r="H200" s="2252"/>
      <c r="I200" s="2252"/>
      <c r="J200" s="2252"/>
      <c r="K200" s="2252"/>
      <c r="L200" s="2252"/>
      <c r="M200" s="2253"/>
      <c r="N200" s="2248"/>
      <c r="O200" s="2248"/>
      <c r="P200" s="2248"/>
      <c r="Q200" s="2248"/>
      <c r="R200" s="2248"/>
      <c r="S200" s="2248"/>
      <c r="T200" s="2248"/>
      <c r="U200" s="2248"/>
      <c r="V200" s="2248"/>
      <c r="W200" s="2248"/>
    </row>
    <row r="201" spans="1:23">
      <c r="A201" s="2248"/>
      <c r="B201" s="2251"/>
      <c r="C201" s="2252"/>
      <c r="D201" s="2252" t="s">
        <v>2008</v>
      </c>
      <c r="E201" s="2252"/>
      <c r="F201" s="2252"/>
      <c r="G201" s="2252"/>
      <c r="H201" s="2252"/>
      <c r="I201" s="2252"/>
      <c r="J201" s="2252"/>
      <c r="K201" s="2252"/>
      <c r="L201" s="2252"/>
      <c r="M201" s="2253"/>
      <c r="N201" s="2248"/>
      <c r="O201" s="2248"/>
      <c r="P201" s="2248"/>
      <c r="Q201" s="2248"/>
      <c r="R201" s="2248"/>
      <c r="S201" s="2248"/>
      <c r="T201" s="2248"/>
      <c r="U201" s="2248"/>
      <c r="V201" s="2248"/>
      <c r="W201" s="2248"/>
    </row>
    <row r="202" spans="1:23">
      <c r="A202" s="2248"/>
      <c r="B202" s="2251"/>
      <c r="C202" s="2252"/>
      <c r="D202" s="2252" t="s">
        <v>2281</v>
      </c>
      <c r="E202" s="2252"/>
      <c r="F202" s="2252"/>
      <c r="G202" s="2252"/>
      <c r="H202" s="2252"/>
      <c r="I202" s="2252"/>
      <c r="J202" s="2252"/>
      <c r="K202" s="2252"/>
      <c r="L202" s="2252"/>
      <c r="M202" s="2253"/>
      <c r="N202" s="2248"/>
      <c r="O202" s="2248"/>
      <c r="P202" s="2248"/>
      <c r="Q202" s="2248"/>
      <c r="R202" s="2248"/>
      <c r="S202" s="2248"/>
      <c r="T202" s="2248"/>
      <c r="U202" s="2248"/>
      <c r="V202" s="2248"/>
      <c r="W202" s="2248"/>
    </row>
    <row r="203" spans="1:23">
      <c r="A203" s="2248"/>
      <c r="B203" s="2251"/>
      <c r="C203" s="2252"/>
      <c r="D203" s="2252" t="s">
        <v>2282</v>
      </c>
      <c r="E203" s="2252"/>
      <c r="F203" s="2252"/>
      <c r="G203" s="2252"/>
      <c r="H203" s="2252"/>
      <c r="I203" s="2252"/>
      <c r="J203" s="2252"/>
      <c r="K203" s="2252"/>
      <c r="L203" s="2252"/>
      <c r="M203" s="2253"/>
      <c r="N203" s="2248"/>
      <c r="O203" s="2248"/>
      <c r="P203" s="2248"/>
      <c r="Q203" s="2248"/>
      <c r="R203" s="2248"/>
      <c r="S203" s="2248"/>
      <c r="T203" s="2248"/>
      <c r="U203" s="2248"/>
      <c r="V203" s="2248"/>
      <c r="W203" s="2248"/>
    </row>
    <row r="204" spans="1:23">
      <c r="A204" s="2248"/>
      <c r="B204" s="2251"/>
      <c r="C204" s="2256">
        <f>1+C198</f>
        <v>59</v>
      </c>
      <c r="D204" s="2252" t="s">
        <v>2283</v>
      </c>
      <c r="E204" s="2252"/>
      <c r="F204" s="2252"/>
      <c r="G204" s="2252"/>
      <c r="H204" s="2252"/>
      <c r="I204" s="2252"/>
      <c r="J204" s="2252"/>
      <c r="K204" s="2252"/>
      <c r="L204" s="2252"/>
      <c r="M204" s="2253"/>
      <c r="N204" s="2248"/>
      <c r="O204" s="2248"/>
      <c r="P204" s="2248"/>
      <c r="Q204" s="2248"/>
      <c r="R204" s="2248"/>
      <c r="S204" s="2248"/>
      <c r="T204" s="2248"/>
      <c r="U204" s="2248"/>
      <c r="V204" s="2248"/>
      <c r="W204" s="2248"/>
    </row>
    <row r="205" spans="1:23">
      <c r="A205" s="2248"/>
      <c r="B205" s="2251"/>
      <c r="C205" s="2252"/>
      <c r="D205" s="2252" t="s">
        <v>2284</v>
      </c>
      <c r="E205" s="2252"/>
      <c r="F205" s="2252"/>
      <c r="G205" s="2252"/>
      <c r="H205" s="2252"/>
      <c r="I205" s="2252"/>
      <c r="J205" s="2252"/>
      <c r="K205" s="2252"/>
      <c r="L205" s="2252"/>
      <c r="M205" s="2253"/>
      <c r="N205" s="2248"/>
      <c r="O205" s="2248"/>
      <c r="P205" s="2248"/>
      <c r="Q205" s="2248"/>
      <c r="R205" s="2248"/>
      <c r="S205" s="2248"/>
      <c r="T205" s="2248"/>
      <c r="U205" s="2248"/>
      <c r="V205" s="2248"/>
      <c r="W205" s="2248"/>
    </row>
    <row r="206" spans="1:23">
      <c r="A206" s="2248"/>
      <c r="B206" s="2251"/>
      <c r="C206" s="2252"/>
      <c r="D206" s="2252" t="s">
        <v>2285</v>
      </c>
      <c r="E206" s="2252"/>
      <c r="F206" s="2252"/>
      <c r="G206" s="2252"/>
      <c r="H206" s="2252"/>
      <c r="I206" s="2252"/>
      <c r="J206" s="2252"/>
      <c r="K206" s="2252"/>
      <c r="L206" s="2252"/>
      <c r="M206" s="2253"/>
      <c r="N206" s="2248"/>
      <c r="O206" s="2248"/>
      <c r="P206" s="2248"/>
      <c r="Q206" s="2248"/>
      <c r="R206" s="2248"/>
      <c r="S206" s="2248"/>
      <c r="T206" s="2248"/>
      <c r="U206" s="2248"/>
      <c r="V206" s="2248"/>
      <c r="W206" s="2248"/>
    </row>
    <row r="207" spans="1:23">
      <c r="A207" s="2248"/>
      <c r="B207" s="2251"/>
      <c r="C207" s="2256">
        <f>1+C204</f>
        <v>60</v>
      </c>
      <c r="D207" s="2252" t="s">
        <v>2146</v>
      </c>
      <c r="E207" s="2252"/>
      <c r="F207" s="2252"/>
      <c r="G207" s="2252"/>
      <c r="H207" s="2252"/>
      <c r="I207" s="2252"/>
      <c r="J207" s="2252"/>
      <c r="K207" s="2252"/>
      <c r="L207" s="2252"/>
      <c r="M207" s="2253"/>
      <c r="N207" s="2248"/>
      <c r="O207" s="2248"/>
      <c r="P207" s="2248"/>
      <c r="Q207" s="2248"/>
      <c r="R207" s="2248"/>
      <c r="S207" s="2248"/>
      <c r="T207" s="2248"/>
      <c r="U207" s="2248"/>
      <c r="V207" s="2248"/>
      <c r="W207" s="2248"/>
    </row>
    <row r="208" spans="1:23">
      <c r="A208" s="2248"/>
      <c r="B208" s="2251"/>
      <c r="C208" s="2252"/>
      <c r="D208" s="2252" t="s">
        <v>2286</v>
      </c>
      <c r="E208" s="2252"/>
      <c r="F208" s="2252"/>
      <c r="G208" s="2252"/>
      <c r="H208" s="2252"/>
      <c r="I208" s="2252"/>
      <c r="J208" s="2252"/>
      <c r="K208" s="2252"/>
      <c r="L208" s="2252"/>
      <c r="M208" s="2253"/>
      <c r="N208" s="2248"/>
      <c r="O208" s="2248"/>
      <c r="P208" s="2248"/>
      <c r="Q208" s="2248"/>
      <c r="R208" s="2248"/>
      <c r="S208" s="2248"/>
      <c r="T208" s="2248"/>
      <c r="U208" s="2248"/>
      <c r="V208" s="2248"/>
      <c r="W208" s="2248"/>
    </row>
    <row r="209" spans="1:23">
      <c r="A209" s="2248"/>
      <c r="B209" s="2251"/>
      <c r="C209" s="2252"/>
      <c r="D209" s="2252" t="s">
        <v>2088</v>
      </c>
      <c r="E209" s="2252"/>
      <c r="F209" s="2252"/>
      <c r="G209" s="2252"/>
      <c r="H209" s="2252"/>
      <c r="I209" s="2252"/>
      <c r="J209" s="2252"/>
      <c r="K209" s="2252"/>
      <c r="L209" s="2252"/>
      <c r="M209" s="2253"/>
      <c r="N209" s="2248"/>
      <c r="O209" s="2248"/>
      <c r="P209" s="2248"/>
      <c r="Q209" s="2248"/>
      <c r="R209" s="2248"/>
      <c r="S209" s="2248"/>
      <c r="T209" s="2248"/>
      <c r="U209" s="2248"/>
      <c r="V209" s="2248"/>
      <c r="W209" s="2248"/>
    </row>
    <row r="210" spans="1:23">
      <c r="A210" s="2248"/>
      <c r="B210" s="2251"/>
      <c r="C210" s="2252"/>
      <c r="D210" s="2259" t="s">
        <v>2287</v>
      </c>
      <c r="E210" s="2260"/>
      <c r="F210" s="2260"/>
      <c r="G210" s="2260"/>
      <c r="H210" s="2260"/>
      <c r="I210" s="2252"/>
      <c r="J210" s="2252"/>
      <c r="K210" s="2252"/>
      <c r="L210" s="2252"/>
      <c r="M210" s="2253"/>
      <c r="N210" s="2248"/>
      <c r="O210" s="2248"/>
      <c r="P210" s="2248"/>
      <c r="Q210" s="2248"/>
      <c r="R210" s="2248"/>
      <c r="S210" s="2248"/>
      <c r="T210" s="2248"/>
      <c r="U210" s="2248"/>
      <c r="V210" s="2248"/>
      <c r="W210" s="2248"/>
    </row>
    <row r="211" spans="1:23">
      <c r="A211" s="2248"/>
      <c r="B211" s="2251"/>
      <c r="C211" s="2256">
        <f>1+C207</f>
        <v>61</v>
      </c>
      <c r="D211" s="2252" t="s">
        <v>2007</v>
      </c>
      <c r="E211" s="2252"/>
      <c r="F211" s="2252"/>
      <c r="G211" s="2252"/>
      <c r="H211" s="2252"/>
      <c r="I211" s="2252"/>
      <c r="J211" s="2252"/>
      <c r="K211" s="2252"/>
      <c r="L211" s="2252"/>
      <c r="M211" s="2253"/>
      <c r="N211" s="2248"/>
      <c r="O211" s="2248"/>
      <c r="P211" s="2248"/>
      <c r="Q211" s="2248"/>
      <c r="R211" s="2248"/>
      <c r="S211" s="2248"/>
      <c r="T211" s="2248"/>
      <c r="U211" s="2248"/>
      <c r="V211" s="2248"/>
      <c r="W211" s="2248"/>
    </row>
    <row r="212" spans="1:23">
      <c r="A212" s="2248"/>
      <c r="B212" s="2251"/>
      <c r="C212" s="2252"/>
      <c r="D212" s="2252" t="s">
        <v>2010</v>
      </c>
      <c r="E212" s="2252"/>
      <c r="F212" s="2252"/>
      <c r="G212" s="2252"/>
      <c r="H212" s="2252"/>
      <c r="I212" s="2252"/>
      <c r="J212" s="2252"/>
      <c r="K212" s="2252"/>
      <c r="L212" s="2252"/>
      <c r="M212" s="2253"/>
      <c r="N212" s="2248"/>
      <c r="O212" s="2248"/>
      <c r="P212" s="2248"/>
      <c r="Q212" s="2248"/>
      <c r="R212" s="2248"/>
      <c r="S212" s="2248"/>
      <c r="T212" s="2248"/>
      <c r="U212" s="2248"/>
      <c r="V212" s="2248"/>
      <c r="W212" s="2248"/>
    </row>
    <row r="213" spans="1:23">
      <c r="A213" s="2248"/>
      <c r="B213" s="2251"/>
      <c r="C213" s="2252"/>
      <c r="D213" s="2252" t="s">
        <v>2009</v>
      </c>
      <c r="E213" s="2252"/>
      <c r="F213" s="2252"/>
      <c r="G213" s="2252"/>
      <c r="H213" s="2252"/>
      <c r="I213" s="2252"/>
      <c r="J213" s="2252"/>
      <c r="K213" s="2252"/>
      <c r="L213" s="2252"/>
      <c r="M213" s="2253"/>
      <c r="N213" s="2248"/>
      <c r="O213" s="2248"/>
      <c r="P213" s="2248"/>
      <c r="Q213" s="2248"/>
      <c r="R213" s="2248"/>
      <c r="S213" s="2248"/>
      <c r="T213" s="2248"/>
      <c r="U213" s="2248"/>
      <c r="V213" s="2248"/>
      <c r="W213" s="2248"/>
    </row>
    <row r="214" spans="1:23">
      <c r="A214" s="2248"/>
      <c r="B214" s="2251"/>
      <c r="C214" s="2252"/>
      <c r="D214" s="2252" t="s">
        <v>2288</v>
      </c>
      <c r="E214" s="2252"/>
      <c r="F214" s="2252"/>
      <c r="G214" s="2252"/>
      <c r="H214" s="2252"/>
      <c r="I214" s="2252"/>
      <c r="J214" s="2252"/>
      <c r="K214" s="2252"/>
      <c r="L214" s="2252"/>
      <c r="M214" s="2253"/>
      <c r="N214" s="2248"/>
      <c r="O214" s="2248"/>
      <c r="P214" s="2248"/>
      <c r="Q214" s="2248"/>
      <c r="R214" s="2248"/>
      <c r="S214" s="2248"/>
      <c r="T214" s="2248"/>
      <c r="U214" s="2248"/>
      <c r="V214" s="2248"/>
      <c r="W214" s="2248"/>
    </row>
    <row r="215" spans="1:23">
      <c r="A215" s="2248"/>
      <c r="B215" s="2251"/>
      <c r="C215" s="2252"/>
      <c r="D215" s="2252" t="s">
        <v>2289</v>
      </c>
      <c r="E215" s="2252"/>
      <c r="F215" s="2252"/>
      <c r="G215" s="2252"/>
      <c r="H215" s="2252"/>
      <c r="I215" s="2252"/>
      <c r="J215" s="2252"/>
      <c r="K215" s="2252"/>
      <c r="L215" s="2252"/>
      <c r="M215" s="2253"/>
      <c r="N215" s="2248"/>
      <c r="O215" s="2248"/>
      <c r="P215" s="2248"/>
      <c r="Q215" s="2248"/>
      <c r="R215" s="2248"/>
      <c r="S215" s="2248"/>
      <c r="T215" s="2248"/>
      <c r="U215" s="2248"/>
      <c r="V215" s="2248"/>
      <c r="W215" s="2248"/>
    </row>
    <row r="216" spans="1:23">
      <c r="A216" s="2248"/>
      <c r="B216" s="2251"/>
      <c r="C216" s="2256">
        <f>1+C211</f>
        <v>62</v>
      </c>
      <c r="D216" s="2252" t="s">
        <v>2014</v>
      </c>
      <c r="E216" s="2252"/>
      <c r="F216" s="2252"/>
      <c r="G216" s="2252"/>
      <c r="H216" s="2252"/>
      <c r="I216" s="2252"/>
      <c r="J216" s="2252"/>
      <c r="K216" s="2252"/>
      <c r="L216" s="2252"/>
      <c r="M216" s="2253"/>
      <c r="N216" s="2248"/>
      <c r="O216" s="2248"/>
      <c r="P216" s="2248"/>
      <c r="Q216" s="2248"/>
      <c r="R216" s="2248"/>
      <c r="S216" s="2248"/>
      <c r="T216" s="2248"/>
      <c r="U216" s="2248"/>
      <c r="V216" s="2248"/>
      <c r="W216" s="2248"/>
    </row>
    <row r="217" spans="1:23">
      <c r="A217" s="2248"/>
      <c r="B217" s="2251"/>
      <c r="C217" s="2252"/>
      <c r="D217" s="2252" t="s">
        <v>2290</v>
      </c>
      <c r="E217" s="2252"/>
      <c r="F217" s="2252"/>
      <c r="G217" s="2252"/>
      <c r="H217" s="2252"/>
      <c r="I217" s="2252"/>
      <c r="J217" s="2252"/>
      <c r="K217" s="2252"/>
      <c r="L217" s="2252"/>
      <c r="M217" s="2253"/>
      <c r="N217" s="2248"/>
      <c r="O217" s="2248"/>
      <c r="P217" s="2248"/>
      <c r="Q217" s="2248"/>
      <c r="R217" s="2248"/>
      <c r="S217" s="2248"/>
      <c r="T217" s="2248"/>
      <c r="U217" s="2248"/>
      <c r="V217" s="2248"/>
      <c r="W217" s="2248"/>
    </row>
    <row r="218" spans="1:23">
      <c r="A218" s="2248"/>
      <c r="B218" s="2251"/>
      <c r="C218" s="2252"/>
      <c r="D218" s="2252" t="s">
        <v>2291</v>
      </c>
      <c r="E218" s="2252"/>
      <c r="F218" s="2252"/>
      <c r="G218" s="2252"/>
      <c r="H218" s="2252"/>
      <c r="I218" s="2252"/>
      <c r="J218" s="2252"/>
      <c r="K218" s="2252"/>
      <c r="L218" s="2252"/>
      <c r="M218" s="2253"/>
      <c r="N218" s="2248"/>
      <c r="O218" s="2248"/>
      <c r="P218" s="2248"/>
      <c r="Q218" s="2248"/>
      <c r="R218" s="2248"/>
      <c r="S218" s="2248"/>
      <c r="T218" s="2248"/>
      <c r="U218" s="2248"/>
      <c r="V218" s="2248"/>
      <c r="W218" s="2248"/>
    </row>
    <row r="219" spans="1:23">
      <c r="A219" s="2248"/>
      <c r="B219" s="2251"/>
      <c r="C219" s="2256">
        <f>1+C216</f>
        <v>63</v>
      </c>
      <c r="D219" s="2252" t="s">
        <v>2013</v>
      </c>
      <c r="E219" s="2252"/>
      <c r="F219" s="2252"/>
      <c r="G219" s="2252"/>
      <c r="H219" s="2252"/>
      <c r="I219" s="2252"/>
      <c r="J219" s="2252"/>
      <c r="K219" s="2252"/>
      <c r="L219" s="2252"/>
      <c r="M219" s="2253"/>
      <c r="N219" s="2248"/>
      <c r="O219" s="2248"/>
      <c r="P219" s="2248"/>
      <c r="Q219" s="2248"/>
      <c r="R219" s="2248"/>
      <c r="S219" s="2248"/>
      <c r="T219" s="2248"/>
      <c r="U219" s="2248"/>
      <c r="V219" s="2248"/>
      <c r="W219" s="2248"/>
    </row>
    <row r="220" spans="1:23">
      <c r="A220" s="2248"/>
      <c r="B220" s="2251"/>
      <c r="C220" s="2252"/>
      <c r="D220" s="2252" t="s">
        <v>2011</v>
      </c>
      <c r="E220" s="2252"/>
      <c r="F220" s="2252"/>
      <c r="G220" s="2252"/>
      <c r="H220" s="2252"/>
      <c r="I220" s="2252"/>
      <c r="J220" s="2252"/>
      <c r="K220" s="2252"/>
      <c r="L220" s="2252"/>
      <c r="M220" s="2253"/>
      <c r="N220" s="2248"/>
      <c r="O220" s="2248"/>
      <c r="P220" s="2248"/>
      <c r="Q220" s="2248"/>
      <c r="R220" s="2248"/>
      <c r="S220" s="2248"/>
      <c r="T220" s="2248"/>
      <c r="U220" s="2248"/>
      <c r="V220" s="2248"/>
      <c r="W220" s="2248"/>
    </row>
    <row r="221" spans="1:23">
      <c r="A221" s="2248"/>
      <c r="B221" s="2251"/>
      <c r="C221" s="2252"/>
      <c r="D221" s="2252" t="s">
        <v>2292</v>
      </c>
      <c r="E221" s="2252"/>
      <c r="F221" s="2252"/>
      <c r="G221" s="2252"/>
      <c r="H221" s="2252"/>
      <c r="I221" s="2252"/>
      <c r="J221" s="2252"/>
      <c r="K221" s="2252"/>
      <c r="L221" s="2252"/>
      <c r="M221" s="2253"/>
      <c r="N221" s="2248"/>
      <c r="O221" s="2248"/>
      <c r="P221" s="2248"/>
      <c r="Q221" s="2248"/>
      <c r="R221" s="2248"/>
      <c r="S221" s="2248"/>
      <c r="T221" s="2248"/>
      <c r="U221" s="2248"/>
      <c r="V221" s="2248"/>
      <c r="W221" s="2248"/>
    </row>
    <row r="222" spans="1:23">
      <c r="A222" s="2248"/>
      <c r="B222" s="2251"/>
      <c r="C222" s="2252"/>
      <c r="D222" s="2252" t="s">
        <v>2012</v>
      </c>
      <c r="E222" s="2252"/>
      <c r="F222" s="2252"/>
      <c r="G222" s="2252"/>
      <c r="H222" s="2252"/>
      <c r="I222" s="2252"/>
      <c r="J222" s="2252"/>
      <c r="K222" s="2252"/>
      <c r="L222" s="2252"/>
      <c r="M222" s="2253"/>
      <c r="N222" s="2248"/>
      <c r="O222" s="2248"/>
      <c r="P222" s="2248"/>
      <c r="Q222" s="2248"/>
      <c r="R222" s="2248"/>
      <c r="S222" s="2248"/>
      <c r="T222" s="2248"/>
      <c r="U222" s="2248"/>
      <c r="V222" s="2248"/>
      <c r="W222" s="2248"/>
    </row>
    <row r="223" spans="1:23" ht="6" customHeight="1">
      <c r="A223" s="2248"/>
      <c r="B223" s="2251"/>
      <c r="C223" s="2256"/>
      <c r="D223" s="2252"/>
      <c r="E223" s="2252"/>
      <c r="F223" s="2252"/>
      <c r="G223" s="2252"/>
      <c r="H223" s="2252"/>
      <c r="I223" s="2252"/>
      <c r="J223" s="2252"/>
      <c r="K223" s="2252"/>
      <c r="L223" s="2252"/>
      <c r="M223" s="2253"/>
      <c r="N223" s="2248"/>
      <c r="O223" s="2248"/>
      <c r="P223" s="2248"/>
      <c r="Q223" s="2248"/>
      <c r="R223" s="2248"/>
      <c r="S223" s="2248"/>
      <c r="T223" s="2248"/>
      <c r="U223" s="2248"/>
      <c r="V223" s="2248"/>
      <c r="W223" s="2248"/>
    </row>
    <row r="224" spans="1:23">
      <c r="A224" s="2248"/>
      <c r="B224" s="2254" t="s">
        <v>1430</v>
      </c>
      <c r="C224" s="2258" t="s">
        <v>1905</v>
      </c>
      <c r="D224" s="2252"/>
      <c r="E224" s="2252"/>
      <c r="F224" s="2370">
        <f>+'TRIAL-BALANCE'!E8</f>
        <v>2021</v>
      </c>
      <c r="G224" s="2370"/>
      <c r="H224" s="2370"/>
      <c r="I224" s="2370"/>
      <c r="J224" s="2371">
        <f>+'TRIAL-BALANCE'!E8</f>
        <v>2021</v>
      </c>
      <c r="K224" s="2371"/>
      <c r="L224" s="2252"/>
      <c r="M224" s="2253"/>
      <c r="N224" s="2248"/>
      <c r="O224" s="2248"/>
      <c r="P224" s="2248"/>
      <c r="Q224" s="2248"/>
      <c r="R224" s="2248"/>
      <c r="S224" s="2248"/>
      <c r="T224" s="2248"/>
      <c r="U224" s="2248"/>
      <c r="V224" s="2248"/>
      <c r="W224" s="2248"/>
    </row>
    <row r="225" spans="1:23" ht="15" customHeight="1">
      <c r="A225" s="2248"/>
      <c r="B225" s="2254"/>
      <c r="C225" s="2372">
        <f>+'TRIAL-BALANCE'!E8</f>
        <v>2021</v>
      </c>
      <c r="D225" s="2372"/>
      <c r="E225" s="2372"/>
      <c r="F225" s="2372"/>
      <c r="G225" s="2373">
        <f>+'TRIAL-BALANCE'!E8</f>
        <v>2021</v>
      </c>
      <c r="H225" s="2373"/>
      <c r="I225" s="2373"/>
      <c r="J225" s="2252"/>
      <c r="K225" s="2252"/>
      <c r="L225" s="2252"/>
      <c r="M225" s="2253"/>
      <c r="N225" s="2248"/>
      <c r="O225" s="2248"/>
      <c r="P225" s="2248"/>
      <c r="Q225" s="2248"/>
      <c r="R225" s="2248"/>
      <c r="S225" s="2248"/>
      <c r="T225" s="2248"/>
      <c r="U225" s="2248"/>
      <c r="V225" s="2248"/>
      <c r="W225" s="2248"/>
    </row>
    <row r="226" spans="1:23" ht="18" customHeight="1">
      <c r="A226" s="2248"/>
      <c r="B226" s="2251"/>
      <c r="C226" s="2256">
        <f>1+C219</f>
        <v>64</v>
      </c>
      <c r="D226" s="2252" t="s">
        <v>2293</v>
      </c>
      <c r="E226" s="2374">
        <f>+'TRIAL-BALANCE'!E8</f>
        <v>2021</v>
      </c>
      <c r="F226" s="2374"/>
      <c r="G226" s="2374"/>
      <c r="H226" s="2374"/>
      <c r="I226" s="2252" t="s">
        <v>1921</v>
      </c>
      <c r="J226" s="2252"/>
      <c r="K226" s="2252"/>
      <c r="L226" s="2252"/>
      <c r="M226" s="2253"/>
      <c r="N226" s="2248"/>
      <c r="O226" s="2248"/>
      <c r="P226" s="2248"/>
      <c r="Q226" s="2248"/>
      <c r="R226" s="2248"/>
      <c r="S226" s="2248"/>
      <c r="T226" s="2248"/>
      <c r="U226" s="2248"/>
      <c r="V226" s="2248"/>
      <c r="W226" s="2248"/>
    </row>
    <row r="227" spans="1:23">
      <c r="A227" s="2248"/>
      <c r="B227" s="2251"/>
      <c r="C227" s="2256"/>
      <c r="D227" s="2252" t="s">
        <v>1997</v>
      </c>
      <c r="E227" s="2252"/>
      <c r="F227" s="2252"/>
      <c r="G227" s="2252"/>
      <c r="H227" s="2252"/>
      <c r="I227" s="2252"/>
      <c r="J227" s="2252"/>
      <c r="K227" s="2252"/>
      <c r="L227" s="2252"/>
      <c r="M227" s="2253"/>
      <c r="N227" s="2248"/>
      <c r="O227" s="2248"/>
      <c r="P227" s="2248"/>
      <c r="Q227" s="2248"/>
      <c r="R227" s="2248"/>
      <c r="S227" s="2248"/>
      <c r="T227" s="2248"/>
      <c r="U227" s="2248"/>
      <c r="V227" s="2248"/>
      <c r="W227" s="2248"/>
    </row>
    <row r="228" spans="1:23">
      <c r="A228" s="2248"/>
      <c r="B228" s="2251"/>
      <c r="C228" s="2252"/>
      <c r="D228" s="2252" t="s">
        <v>2294</v>
      </c>
      <c r="E228" s="2252"/>
      <c r="F228" s="2252"/>
      <c r="G228" s="2252"/>
      <c r="H228" s="2252"/>
      <c r="I228" s="2252"/>
      <c r="J228" s="2252"/>
      <c r="K228" s="2252"/>
      <c r="L228" s="2375">
        <f>+'TRIAL-BALANCE'!E8</f>
        <v>2021</v>
      </c>
      <c r="M228" s="2376"/>
      <c r="N228" s="2248"/>
      <c r="O228" s="2248"/>
      <c r="P228" s="2248"/>
      <c r="Q228" s="2248"/>
      <c r="R228" s="2248"/>
      <c r="S228" s="2248"/>
      <c r="T228" s="2248"/>
      <c r="U228" s="2248"/>
      <c r="V228" s="2248"/>
      <c r="W228" s="2248"/>
    </row>
    <row r="229" spans="1:23">
      <c r="A229" s="2248"/>
      <c r="B229" s="2251"/>
      <c r="C229" s="2256">
        <f>1+C226</f>
        <v>65</v>
      </c>
      <c r="D229" s="2252" t="s">
        <v>2295</v>
      </c>
      <c r="E229" s="2377">
        <f>+'TRIAL-BALANCE'!E8</f>
        <v>2021</v>
      </c>
      <c r="F229" s="2377"/>
      <c r="G229" s="2377"/>
      <c r="H229" s="2377"/>
      <c r="I229" s="2252" t="s">
        <v>1922</v>
      </c>
      <c r="J229" s="2252"/>
      <c r="K229" s="2252"/>
      <c r="L229" s="2252"/>
      <c r="M229" s="2253"/>
      <c r="N229" s="2248"/>
      <c r="O229" s="2248"/>
      <c r="P229" s="2248"/>
      <c r="Q229" s="2248"/>
      <c r="R229" s="2248"/>
      <c r="S229" s="2248"/>
      <c r="T229" s="2248"/>
      <c r="U229" s="2248"/>
      <c r="V229" s="2248"/>
      <c r="W229" s="2248"/>
    </row>
    <row r="230" spans="1:23">
      <c r="A230" s="2248"/>
      <c r="B230" s="2251"/>
      <c r="C230" s="2256"/>
      <c r="D230" s="2252" t="s">
        <v>1431</v>
      </c>
      <c r="E230" s="2252"/>
      <c r="F230" s="2252"/>
      <c r="G230" s="2252"/>
      <c r="H230" s="2252"/>
      <c r="I230" s="2252"/>
      <c r="J230" s="2252"/>
      <c r="K230" s="2252"/>
      <c r="L230" s="2252"/>
      <c r="M230" s="2253"/>
      <c r="N230" s="2248"/>
      <c r="O230" s="2248"/>
      <c r="P230" s="2248"/>
      <c r="Q230" s="2248"/>
      <c r="R230" s="2248"/>
      <c r="S230" s="2248"/>
      <c r="T230" s="2248"/>
      <c r="U230" s="2248"/>
      <c r="V230" s="2248"/>
      <c r="W230" s="2248"/>
    </row>
    <row r="231" spans="1:23">
      <c r="A231" s="2248"/>
      <c r="B231" s="2251"/>
      <c r="C231" s="2252"/>
      <c r="D231" s="2252" t="s">
        <v>2296</v>
      </c>
      <c r="E231" s="2252"/>
      <c r="F231" s="2252"/>
      <c r="G231" s="2252"/>
      <c r="H231" s="2252"/>
      <c r="I231" s="2252"/>
      <c r="J231" s="2252"/>
      <c r="K231" s="2252"/>
      <c r="L231" s="2375">
        <f>+'TRIAL-BALANCE'!E8</f>
        <v>2021</v>
      </c>
      <c r="M231" s="2376"/>
      <c r="N231" s="2248"/>
      <c r="O231" s="2248"/>
      <c r="P231" s="2248"/>
      <c r="Q231" s="2248"/>
      <c r="R231" s="2248"/>
      <c r="S231" s="2248"/>
      <c r="T231" s="2248"/>
      <c r="U231" s="2248"/>
      <c r="V231" s="2248"/>
      <c r="W231" s="2248"/>
    </row>
    <row r="232" spans="1:23">
      <c r="A232" s="2248"/>
      <c r="B232" s="2251"/>
      <c r="C232" s="2256">
        <f>1+C229</f>
        <v>66</v>
      </c>
      <c r="D232" s="2252" t="s">
        <v>1924</v>
      </c>
      <c r="E232" s="2374">
        <f>+'TRIAL-BALANCE'!E8</f>
        <v>2021</v>
      </c>
      <c r="F232" s="2374"/>
      <c r="G232" s="2374"/>
      <c r="H232" s="2374"/>
      <c r="I232" s="2252" t="s">
        <v>1923</v>
      </c>
      <c r="J232" s="2252"/>
      <c r="K232" s="2252"/>
      <c r="L232" s="2252"/>
      <c r="M232" s="2253"/>
      <c r="N232" s="2248"/>
      <c r="O232" s="2248"/>
      <c r="P232" s="2248"/>
      <c r="Q232" s="2248"/>
      <c r="R232" s="2248"/>
      <c r="S232" s="2248"/>
      <c r="T232" s="2248"/>
      <c r="U232" s="2248"/>
      <c r="V232" s="2248"/>
      <c r="W232" s="2248"/>
    </row>
    <row r="233" spans="1:23">
      <c r="A233" s="2248"/>
      <c r="B233" s="2251"/>
      <c r="C233" s="2256"/>
      <c r="D233" s="2265" t="s">
        <v>2297</v>
      </c>
      <c r="E233" s="2252"/>
      <c r="F233" s="2252"/>
      <c r="G233" s="2252"/>
      <c r="H233" s="2252"/>
      <c r="I233" s="2252"/>
      <c r="J233" s="2252"/>
      <c r="K233" s="2252"/>
      <c r="L233" s="2252"/>
      <c r="M233" s="2253"/>
      <c r="N233" s="2248"/>
      <c r="O233" s="2248"/>
      <c r="P233" s="2248"/>
      <c r="Q233" s="2248"/>
      <c r="R233" s="2248"/>
      <c r="S233" s="2248"/>
      <c r="T233" s="2248"/>
      <c r="U233" s="2248"/>
      <c r="V233" s="2248"/>
      <c r="W233" s="2248"/>
    </row>
    <row r="234" spans="1:23">
      <c r="A234" s="2248"/>
      <c r="B234" s="2251"/>
      <c r="C234" s="2256"/>
      <c r="D234" s="2262" t="s">
        <v>2298</v>
      </c>
      <c r="E234" s="2262"/>
      <c r="F234" s="2262"/>
      <c r="G234" s="2262"/>
      <c r="H234" s="2262"/>
      <c r="I234" s="2262"/>
      <c r="J234" s="2262"/>
      <c r="K234" s="2275">
        <f>+'TRIAL-BALANCE'!E8</f>
        <v>2021</v>
      </c>
      <c r="L234" s="2263" t="s">
        <v>1998</v>
      </c>
      <c r="M234" s="2266"/>
      <c r="N234" s="2248"/>
      <c r="O234" s="2248"/>
      <c r="P234" s="2248"/>
      <c r="Q234" s="2248"/>
      <c r="R234" s="2248"/>
      <c r="S234" s="2248"/>
      <c r="T234" s="2248"/>
      <c r="U234" s="2248"/>
      <c r="V234" s="2248"/>
      <c r="W234" s="2248"/>
    </row>
    <row r="235" spans="1:23">
      <c r="A235" s="2248"/>
      <c r="B235" s="2251"/>
      <c r="C235" s="2256"/>
      <c r="D235" s="2252" t="s">
        <v>2299</v>
      </c>
      <c r="E235" s="2378">
        <f>+'TRIAL-BALANCE'!E8</f>
        <v>2021</v>
      </c>
      <c r="F235" s="2378"/>
      <c r="G235" s="2378"/>
      <c r="H235" s="2378"/>
      <c r="I235" s="2379">
        <f>+'TRIAL-BALANCE'!E8</f>
        <v>2021</v>
      </c>
      <c r="J235" s="2379"/>
      <c r="K235" s="2379"/>
      <c r="L235" s="2284" t="s">
        <v>2043</v>
      </c>
      <c r="M235" s="2266"/>
      <c r="N235" s="2248"/>
      <c r="O235" s="2248"/>
      <c r="P235" s="2248"/>
      <c r="Q235" s="2248"/>
      <c r="R235" s="2248"/>
      <c r="S235" s="2248"/>
      <c r="T235" s="2248"/>
      <c r="U235" s="2248"/>
      <c r="V235" s="2248"/>
      <c r="W235" s="2248"/>
    </row>
    <row r="236" spans="1:23">
      <c r="A236" s="2248"/>
      <c r="B236" s="2251"/>
      <c r="C236" s="2256">
        <f>1+C232</f>
        <v>67</v>
      </c>
      <c r="D236" s="2330" t="s">
        <v>1924</v>
      </c>
      <c r="E236" s="2383">
        <f>+'TRIAL-BALANCE'!E8</f>
        <v>2021</v>
      </c>
      <c r="F236" s="2383"/>
      <c r="G236" s="2383"/>
      <c r="H236" s="2383"/>
      <c r="I236" s="2252" t="s">
        <v>1935</v>
      </c>
      <c r="J236" s="2252"/>
      <c r="K236" s="2252"/>
      <c r="L236" s="2262"/>
      <c r="M236" s="2266"/>
      <c r="N236" s="2248"/>
      <c r="O236" s="2248"/>
      <c r="P236" s="2248"/>
      <c r="Q236" s="2248"/>
      <c r="R236" s="2248"/>
      <c r="S236" s="2248"/>
      <c r="T236" s="2248"/>
      <c r="U236" s="2248"/>
      <c r="V236" s="2248"/>
      <c r="W236" s="2248"/>
    </row>
    <row r="237" spans="1:23">
      <c r="A237" s="2248"/>
      <c r="B237" s="2251"/>
      <c r="C237" s="2256"/>
      <c r="D237" s="2252" t="s">
        <v>1936</v>
      </c>
      <c r="E237" s="2252"/>
      <c r="F237" s="2252"/>
      <c r="G237" s="2252"/>
      <c r="H237" s="2252"/>
      <c r="I237" s="2252"/>
      <c r="J237" s="2252"/>
      <c r="K237" s="2252"/>
      <c r="L237" s="2262"/>
      <c r="M237" s="2266"/>
      <c r="N237" s="2248"/>
      <c r="O237" s="2248"/>
      <c r="P237" s="2248"/>
      <c r="Q237" s="2248"/>
      <c r="R237" s="2248"/>
      <c r="S237" s="2248"/>
      <c r="T237" s="2248"/>
      <c r="U237" s="2248"/>
      <c r="V237" s="2248"/>
      <c r="W237" s="2248"/>
    </row>
    <row r="238" spans="1:23">
      <c r="A238" s="2248"/>
      <c r="B238" s="2251"/>
      <c r="C238" s="2252"/>
      <c r="D238" s="2331" t="s">
        <v>2300</v>
      </c>
      <c r="E238" s="2252"/>
      <c r="F238" s="2252"/>
      <c r="G238" s="2252"/>
      <c r="H238" s="2252"/>
      <c r="I238" s="2252"/>
      <c r="J238" s="2252"/>
      <c r="K238" s="2252"/>
      <c r="L238" s="2262"/>
      <c r="M238" s="2266"/>
      <c r="N238" s="2248"/>
      <c r="O238" s="2248"/>
      <c r="P238" s="2248"/>
      <c r="Q238" s="2248"/>
      <c r="R238" s="2248"/>
      <c r="S238" s="2248"/>
      <c r="T238" s="2248"/>
      <c r="U238" s="2248"/>
      <c r="V238" s="2248"/>
      <c r="W238" s="2248"/>
    </row>
    <row r="239" spans="1:23">
      <c r="A239" s="2248"/>
      <c r="B239" s="2251"/>
      <c r="C239" s="2256">
        <f>1+C236</f>
        <v>68</v>
      </c>
      <c r="D239" s="2330" t="s">
        <v>2301</v>
      </c>
      <c r="E239" s="2384">
        <f>+'TRIAL-BALANCE'!E8</f>
        <v>2021</v>
      </c>
      <c r="F239" s="2384"/>
      <c r="G239" s="2384"/>
      <c r="H239" s="2384"/>
      <c r="I239" s="2252" t="s">
        <v>1934</v>
      </c>
      <c r="J239" s="2252"/>
      <c r="K239" s="2252"/>
      <c r="L239" s="2262"/>
      <c r="M239" s="2266"/>
      <c r="N239" s="2248"/>
      <c r="O239" s="2248"/>
      <c r="P239" s="2248"/>
      <c r="Q239" s="2248"/>
      <c r="R239" s="2248"/>
      <c r="S239" s="2248"/>
      <c r="T239" s="2248"/>
      <c r="U239" s="2248"/>
      <c r="V239" s="2248"/>
      <c r="W239" s="2248"/>
    </row>
    <row r="240" spans="1:23">
      <c r="A240" s="2248"/>
      <c r="B240" s="2251"/>
      <c r="C240" s="2256"/>
      <c r="D240" s="2262" t="s">
        <v>2302</v>
      </c>
      <c r="E240" s="2262"/>
      <c r="F240" s="2262"/>
      <c r="G240" s="2262"/>
      <c r="H240" s="2385">
        <f>+'TRIAL-BALANCE'!E8</f>
        <v>2021</v>
      </c>
      <c r="I240" s="2385"/>
      <c r="J240" s="2262"/>
      <c r="K240" s="2262"/>
      <c r="L240" s="2263"/>
      <c r="M240" s="2264"/>
      <c r="N240" s="2248"/>
      <c r="O240" s="2248"/>
      <c r="P240" s="2248"/>
      <c r="Q240" s="2248"/>
      <c r="R240" s="2248"/>
      <c r="S240" s="2248"/>
      <c r="T240" s="2248"/>
      <c r="U240" s="2248"/>
      <c r="V240" s="2248"/>
      <c r="W240" s="2248"/>
    </row>
    <row r="241" spans="1:23">
      <c r="A241" s="2248"/>
      <c r="B241" s="2251"/>
      <c r="C241" s="2256">
        <f>1+C239</f>
        <v>69</v>
      </c>
      <c r="D241" s="2330" t="s">
        <v>1925</v>
      </c>
      <c r="E241" s="2379">
        <f>+'TRIAL-BALANCE'!E8</f>
        <v>2021</v>
      </c>
      <c r="F241" s="2379"/>
      <c r="G241" s="2379"/>
      <c r="H241" s="2379"/>
      <c r="I241" s="2252" t="s">
        <v>1926</v>
      </c>
      <c r="J241" s="2252"/>
      <c r="K241" s="2252"/>
      <c r="L241" s="2262"/>
      <c r="M241" s="2266"/>
      <c r="N241" s="2248"/>
      <c r="O241" s="2248"/>
      <c r="P241" s="2248"/>
      <c r="Q241" s="2248"/>
      <c r="R241" s="2248"/>
      <c r="S241" s="2248"/>
      <c r="T241" s="2248"/>
      <c r="U241" s="2248"/>
      <c r="V241" s="2248"/>
      <c r="W241" s="2248"/>
    </row>
    <row r="242" spans="1:23">
      <c r="A242" s="2248"/>
      <c r="B242" s="2251"/>
      <c r="C242" s="2256"/>
      <c r="D242" s="2252" t="s">
        <v>2303</v>
      </c>
      <c r="E242" s="2252"/>
      <c r="F242" s="2262"/>
      <c r="G242" s="2262"/>
      <c r="H242" s="2262"/>
      <c r="I242" s="2385">
        <f>+'TRIAL-BALANCE'!E8</f>
        <v>2021</v>
      </c>
      <c r="J242" s="2385"/>
      <c r="K242" s="2262"/>
      <c r="L242" s="2263"/>
      <c r="M242" s="2264"/>
      <c r="N242" s="2248"/>
      <c r="O242" s="2248"/>
      <c r="P242" s="2248"/>
      <c r="Q242" s="2248"/>
      <c r="R242" s="2248"/>
      <c r="S242" s="2248"/>
      <c r="T242" s="2248"/>
      <c r="U242" s="2248"/>
      <c r="V242" s="2248"/>
      <c r="W242" s="2248"/>
    </row>
    <row r="243" spans="1:23">
      <c r="A243" s="2248"/>
      <c r="B243" s="2251"/>
      <c r="C243" s="2256">
        <f>1+C241</f>
        <v>70</v>
      </c>
      <c r="D243" s="2257" t="s">
        <v>1927</v>
      </c>
      <c r="E243" s="2252"/>
      <c r="F243" s="2252"/>
      <c r="G243" s="2386">
        <f>+'TRIAL-BALANCE'!E8</f>
        <v>2021</v>
      </c>
      <c r="H243" s="2386"/>
      <c r="I243" s="2386"/>
      <c r="J243" s="2387">
        <f>+'TRIAL-BALANCE'!E8</f>
        <v>2021</v>
      </c>
      <c r="K243" s="2387"/>
      <c r="L243" s="2380">
        <f>+'TRIAL-BALANCE'!E8</f>
        <v>2021</v>
      </c>
      <c r="M243" s="2381"/>
      <c r="N243" s="2248"/>
      <c r="O243" s="2248"/>
      <c r="P243" s="2248"/>
      <c r="Q243" s="2248"/>
      <c r="R243" s="2248"/>
      <c r="S243" s="2248"/>
      <c r="T243" s="2248"/>
      <c r="U243" s="2248"/>
      <c r="V243" s="2248"/>
      <c r="W243" s="2248"/>
    </row>
    <row r="244" spans="1:23">
      <c r="A244" s="2248"/>
      <c r="B244" s="2251"/>
      <c r="C244" s="2256"/>
      <c r="D244" s="2382">
        <f>+'TRIAL-BALANCE'!E8</f>
        <v>2021</v>
      </c>
      <c r="E244" s="2382"/>
      <c r="F244" s="2382"/>
      <c r="G244" s="2252" t="s">
        <v>2304</v>
      </c>
      <c r="H244" s="2252"/>
      <c r="I244" s="2252"/>
      <c r="J244" s="2252"/>
      <c r="K244" s="2252"/>
      <c r="L244" s="2285"/>
      <c r="M244" s="2266"/>
      <c r="N244" s="2248"/>
      <c r="O244" s="2248"/>
      <c r="P244" s="2248"/>
      <c r="Q244" s="2248"/>
      <c r="R244" s="2248"/>
      <c r="S244" s="2248"/>
      <c r="T244" s="2248"/>
      <c r="U244" s="2248"/>
      <c r="V244" s="2248"/>
      <c r="W244" s="2248"/>
    </row>
    <row r="245" spans="1:23">
      <c r="A245" s="2248"/>
      <c r="B245" s="2251"/>
      <c r="C245" s="2256">
        <f>1+C243</f>
        <v>71</v>
      </c>
      <c r="D245" s="2325" t="s">
        <v>2042</v>
      </c>
      <c r="E245" s="2252"/>
      <c r="F245" s="2252"/>
      <c r="G245" s="2252"/>
      <c r="H245" s="2252"/>
      <c r="I245" s="2252"/>
      <c r="J245" s="2252"/>
      <c r="K245" s="2252"/>
      <c r="L245" s="2262"/>
      <c r="M245" s="2266"/>
      <c r="N245" s="2248"/>
      <c r="O245" s="2248"/>
      <c r="P245" s="2248"/>
      <c r="Q245" s="2248"/>
      <c r="R245" s="2248"/>
      <c r="S245" s="2248"/>
      <c r="T245" s="2248"/>
      <c r="U245" s="2248"/>
      <c r="V245" s="2248"/>
      <c r="W245" s="2248"/>
    </row>
    <row r="246" spans="1:23">
      <c r="A246" s="2248"/>
      <c r="B246" s="2251"/>
      <c r="C246" s="2256"/>
      <c r="D246" s="2252" t="s">
        <v>2305</v>
      </c>
      <c r="E246" s="2252"/>
      <c r="F246" s="2252"/>
      <c r="G246" s="2252"/>
      <c r="H246" s="2252"/>
      <c r="I246" s="2252"/>
      <c r="J246" s="2252"/>
      <c r="K246" s="2252"/>
      <c r="L246" s="2262"/>
      <c r="M246" s="2266"/>
      <c r="N246" s="2248"/>
      <c r="O246" s="2248"/>
      <c r="P246" s="2248"/>
      <c r="Q246" s="2248"/>
      <c r="R246" s="2248"/>
      <c r="S246" s="2248"/>
      <c r="T246" s="2248"/>
      <c r="U246" s="2248"/>
      <c r="V246" s="2248"/>
      <c r="W246" s="2248"/>
    </row>
    <row r="247" spans="1:23">
      <c r="A247" s="2248"/>
      <c r="B247" s="2251"/>
      <c r="C247" s="2256">
        <f>1+C245</f>
        <v>72</v>
      </c>
      <c r="D247" s="2325" t="s">
        <v>2306</v>
      </c>
      <c r="E247" s="2252"/>
      <c r="F247" s="2252"/>
      <c r="G247" s="2252"/>
      <c r="H247" s="2252"/>
      <c r="I247" s="2252"/>
      <c r="J247" s="2252"/>
      <c r="K247" s="2252"/>
      <c r="L247" s="2262"/>
      <c r="M247" s="2266"/>
      <c r="N247" s="2248"/>
      <c r="O247" s="2248"/>
      <c r="P247" s="2248"/>
      <c r="Q247" s="2248"/>
      <c r="R247" s="2248"/>
      <c r="S247" s="2248"/>
      <c r="T247" s="2248"/>
      <c r="U247" s="2248"/>
      <c r="V247" s="2248"/>
      <c r="W247" s="2248"/>
    </row>
    <row r="248" spans="1:23" ht="6" customHeight="1">
      <c r="A248" s="2248"/>
      <c r="B248" s="2251"/>
      <c r="C248" s="2256"/>
      <c r="D248" s="2252"/>
      <c r="E248" s="2252"/>
      <c r="F248" s="2252"/>
      <c r="G248" s="2252"/>
      <c r="H248" s="2252"/>
      <c r="I248" s="2252"/>
      <c r="J248" s="2252"/>
      <c r="K248" s="2252"/>
      <c r="L248" s="2262"/>
      <c r="M248" s="2266"/>
      <c r="N248" s="2248"/>
      <c r="O248" s="2248"/>
      <c r="P248" s="2248"/>
      <c r="Q248" s="2248"/>
      <c r="R248" s="2248"/>
      <c r="S248" s="2248"/>
      <c r="T248" s="2248"/>
      <c r="U248" s="2248"/>
      <c r="V248" s="2248"/>
      <c r="W248" s="2248"/>
    </row>
    <row r="249" spans="1:23">
      <c r="A249" s="2248"/>
      <c r="B249" s="2254" t="s">
        <v>1430</v>
      </c>
      <c r="C249" s="2255" t="s">
        <v>1432</v>
      </c>
      <c r="D249" s="2252"/>
      <c r="E249" s="2252"/>
      <c r="F249" s="2252"/>
      <c r="G249" s="2252"/>
      <c r="H249" s="2252"/>
      <c r="I249" s="2252"/>
      <c r="J249" s="2252"/>
      <c r="K249" s="2252"/>
      <c r="L249" s="2262"/>
      <c r="M249" s="2266"/>
      <c r="N249" s="2248"/>
      <c r="O249" s="2248"/>
      <c r="P249" s="2248"/>
      <c r="Q249" s="2248"/>
      <c r="R249" s="2248"/>
      <c r="S249" s="2248"/>
      <c r="T249" s="2248"/>
      <c r="U249" s="2248"/>
      <c r="V249" s="2248"/>
      <c r="W249" s="2248"/>
    </row>
    <row r="250" spans="1:23">
      <c r="A250" s="2248"/>
      <c r="B250" s="2251"/>
      <c r="C250" s="2256">
        <f>1+C247</f>
        <v>73</v>
      </c>
      <c r="D250" s="2276" t="s">
        <v>1433</v>
      </c>
      <c r="E250" s="2276"/>
      <c r="F250" s="2276"/>
      <c r="G250" s="2276"/>
      <c r="H250" s="2276"/>
      <c r="I250" s="2276"/>
      <c r="J250" s="2276"/>
      <c r="K250" s="2276"/>
      <c r="L250" s="2277"/>
      <c r="M250" s="2278"/>
      <c r="N250" s="2248"/>
      <c r="O250" s="2248"/>
      <c r="P250" s="2248"/>
      <c r="Q250" s="2248"/>
      <c r="R250" s="2248"/>
      <c r="S250" s="2248"/>
      <c r="T250" s="2248"/>
      <c r="U250" s="2248"/>
      <c r="V250" s="2248"/>
      <c r="W250" s="2248"/>
    </row>
    <row r="251" spans="1:23">
      <c r="A251" s="2248"/>
      <c r="B251" s="2251"/>
      <c r="C251" s="2256">
        <f>1+C250</f>
        <v>74</v>
      </c>
      <c r="D251" s="2276" t="s">
        <v>1434</v>
      </c>
      <c r="E251" s="2276"/>
      <c r="F251" s="2276"/>
      <c r="G251" s="2276"/>
      <c r="H251" s="2276"/>
      <c r="I251" s="2276"/>
      <c r="J251" s="2276"/>
      <c r="K251" s="2276"/>
      <c r="L251" s="2277"/>
      <c r="M251" s="2278"/>
      <c r="N251" s="2248"/>
      <c r="O251" s="2248"/>
      <c r="P251" s="2248"/>
      <c r="Q251" s="2248"/>
      <c r="R251" s="2248"/>
      <c r="S251" s="2248"/>
      <c r="T251" s="2248"/>
      <c r="U251" s="2248"/>
      <c r="V251" s="2248"/>
      <c r="W251" s="2248"/>
    </row>
    <row r="252" spans="1:23">
      <c r="A252" s="2248"/>
      <c r="B252" s="2251"/>
      <c r="C252" s="2252"/>
      <c r="D252" s="2276" t="s">
        <v>1435</v>
      </c>
      <c r="E252" s="2276"/>
      <c r="F252" s="2276"/>
      <c r="G252" s="2276"/>
      <c r="H252" s="2276"/>
      <c r="I252" s="2276"/>
      <c r="J252" s="2276"/>
      <c r="K252" s="2276"/>
      <c r="L252" s="2276"/>
      <c r="M252" s="2278"/>
      <c r="N252" s="2248"/>
      <c r="O252" s="2248"/>
      <c r="P252" s="2248"/>
      <c r="Q252" s="2248"/>
      <c r="R252" s="2248"/>
      <c r="S252" s="2248"/>
      <c r="T252" s="2248"/>
      <c r="U252" s="2248"/>
      <c r="V252" s="2248"/>
      <c r="W252" s="2248"/>
    </row>
    <row r="253" spans="1:23">
      <c r="A253" s="2248"/>
      <c r="B253" s="2251"/>
      <c r="C253" s="2252"/>
      <c r="D253" s="2276" t="s">
        <v>1436</v>
      </c>
      <c r="E253" s="2276"/>
      <c r="F253" s="2276"/>
      <c r="G253" s="2276"/>
      <c r="H253" s="2276"/>
      <c r="I253" s="2276"/>
      <c r="J253" s="2276"/>
      <c r="K253" s="2276"/>
      <c r="L253" s="2276"/>
      <c r="M253" s="2278"/>
      <c r="N253" s="2248"/>
      <c r="O253" s="2248"/>
      <c r="P253" s="2248"/>
      <c r="Q253" s="2248"/>
      <c r="R253" s="2248"/>
      <c r="S253" s="2248"/>
      <c r="T253" s="2248"/>
      <c r="U253" s="2248"/>
      <c r="V253" s="2248"/>
      <c r="W253" s="2248"/>
    </row>
    <row r="254" spans="1:23">
      <c r="A254" s="2248"/>
      <c r="B254" s="2251"/>
      <c r="C254" s="2252"/>
      <c r="D254" s="2276" t="s">
        <v>1437</v>
      </c>
      <c r="E254" s="2276"/>
      <c r="F254" s="2276"/>
      <c r="G254" s="2276"/>
      <c r="H254" s="2276"/>
      <c r="I254" s="2276"/>
      <c r="J254" s="2276"/>
      <c r="K254" s="2276"/>
      <c r="L254" s="2276"/>
      <c r="M254" s="2278"/>
      <c r="N254" s="2248"/>
      <c r="O254" s="2248"/>
      <c r="P254" s="2248"/>
      <c r="Q254" s="2248"/>
      <c r="R254" s="2248"/>
      <c r="S254" s="2248"/>
      <c r="T254" s="2248"/>
      <c r="U254" s="2248"/>
      <c r="V254" s="2248"/>
      <c r="W254" s="2248"/>
    </row>
    <row r="255" spans="1:23">
      <c r="A255" s="2248"/>
      <c r="B255" s="2251"/>
      <c r="C255" s="2252"/>
      <c r="D255" s="2276" t="s">
        <v>1438</v>
      </c>
      <c r="E255" s="2276"/>
      <c r="F255" s="2276"/>
      <c r="G255" s="2276"/>
      <c r="H255" s="2276"/>
      <c r="I255" s="2276"/>
      <c r="J255" s="2276"/>
      <c r="K255" s="2276"/>
      <c r="L255" s="2276"/>
      <c r="M255" s="2278"/>
      <c r="N255" s="2248"/>
      <c r="O255" s="2248"/>
      <c r="P255" s="2248"/>
      <c r="Q255" s="2248"/>
      <c r="R255" s="2248"/>
      <c r="S255" s="2248"/>
      <c r="T255" s="2248"/>
      <c r="U255" s="2248"/>
      <c r="V255" s="2248"/>
      <c r="W255" s="2248"/>
    </row>
    <row r="256" spans="1:23">
      <c r="A256" s="2248"/>
      <c r="B256" s="2251"/>
      <c r="C256" s="2252"/>
      <c r="D256" s="2276" t="s">
        <v>1439</v>
      </c>
      <c r="E256" s="2276"/>
      <c r="F256" s="2276"/>
      <c r="G256" s="2276"/>
      <c r="H256" s="2276"/>
      <c r="I256" s="2276"/>
      <c r="J256" s="2276"/>
      <c r="K256" s="2276"/>
      <c r="L256" s="2276"/>
      <c r="M256" s="2278"/>
      <c r="N256" s="2248"/>
      <c r="O256" s="2248"/>
      <c r="P256" s="2248"/>
      <c r="Q256" s="2248"/>
      <c r="R256" s="2248"/>
      <c r="S256" s="2248"/>
      <c r="T256" s="2248"/>
      <c r="U256" s="2248"/>
      <c r="V256" s="2248"/>
      <c r="W256" s="2248"/>
    </row>
    <row r="257" spans="1:23">
      <c r="A257" s="2248"/>
      <c r="B257" s="2251"/>
      <c r="C257" s="2252"/>
      <c r="D257" s="2276" t="s">
        <v>1440</v>
      </c>
      <c r="E257" s="2276"/>
      <c r="F257" s="2276"/>
      <c r="G257" s="2276"/>
      <c r="H257" s="2276"/>
      <c r="I257" s="2276"/>
      <c r="J257" s="2276"/>
      <c r="K257" s="2276"/>
      <c r="L257" s="2276"/>
      <c r="M257" s="2278"/>
      <c r="N257" s="2248"/>
      <c r="O257" s="2248"/>
      <c r="P257" s="2248"/>
      <c r="Q257" s="2248"/>
      <c r="R257" s="2248"/>
      <c r="S257" s="2248"/>
      <c r="T257" s="2248"/>
      <c r="U257" s="2248"/>
      <c r="V257" s="2248"/>
      <c r="W257" s="2248"/>
    </row>
    <row r="258" spans="1:23" ht="6" customHeight="1" thickBot="1">
      <c r="A258" s="2248"/>
      <c r="B258" s="2279"/>
      <c r="C258" s="2280"/>
      <c r="D258" s="2281"/>
      <c r="E258" s="2280"/>
      <c r="F258" s="2280"/>
      <c r="G258" s="2280"/>
      <c r="H258" s="2280"/>
      <c r="I258" s="2280"/>
      <c r="J258" s="2280"/>
      <c r="K258" s="2280"/>
      <c r="L258" s="2280"/>
      <c r="M258" s="2282"/>
      <c r="N258" s="2248"/>
      <c r="O258" s="2248"/>
      <c r="P258" s="2248"/>
      <c r="Q258" s="2248"/>
      <c r="R258" s="2248"/>
      <c r="S258" s="2248"/>
      <c r="T258" s="2248"/>
      <c r="U258" s="2248"/>
      <c r="V258" s="2248"/>
      <c r="W258" s="2248"/>
    </row>
    <row r="259" spans="1:23" ht="16.5" thickTop="1">
      <c r="A259" s="2248"/>
      <c r="B259" s="2283"/>
      <c r="C259" s="2283"/>
      <c r="D259" s="2283"/>
      <c r="E259" s="2283"/>
      <c r="F259" s="2283"/>
      <c r="G259" s="2283"/>
      <c r="H259" s="2283"/>
      <c r="I259" s="2283"/>
      <c r="J259" s="2283"/>
      <c r="K259" s="2283"/>
      <c r="L259" s="2283"/>
      <c r="M259" s="2283"/>
      <c r="N259" s="2248"/>
      <c r="O259" s="2248"/>
      <c r="P259" s="2248"/>
      <c r="Q259" s="2248"/>
      <c r="R259" s="2248"/>
      <c r="S259" s="2248"/>
      <c r="T259" s="2248"/>
      <c r="U259" s="2248"/>
      <c r="V259" s="2248"/>
      <c r="W259" s="2248"/>
    </row>
    <row r="260" spans="1:23">
      <c r="A260" s="2248"/>
      <c r="B260" s="2283"/>
      <c r="C260" s="2283"/>
      <c r="D260" s="2283"/>
      <c r="E260" s="2283"/>
      <c r="F260" s="2283"/>
      <c r="G260" s="2283"/>
      <c r="H260" s="2283"/>
      <c r="I260" s="2283"/>
      <c r="J260" s="2283"/>
      <c r="K260" s="2283"/>
      <c r="L260" s="2283"/>
      <c r="M260" s="2283"/>
      <c r="N260" s="2248"/>
      <c r="O260" s="2248"/>
      <c r="P260" s="2248"/>
      <c r="Q260" s="2248"/>
      <c r="R260" s="2248"/>
      <c r="S260" s="2248"/>
      <c r="T260" s="2248"/>
      <c r="U260" s="2248"/>
      <c r="V260" s="2248"/>
      <c r="W260" s="2248"/>
    </row>
    <row r="261" spans="1:23">
      <c r="A261" s="2248"/>
      <c r="B261" s="2283"/>
      <c r="C261" s="2283"/>
      <c r="D261" s="2283"/>
      <c r="E261" s="2283"/>
      <c r="F261" s="2283"/>
      <c r="G261" s="2283"/>
      <c r="H261" s="2283"/>
      <c r="I261" s="2283"/>
      <c r="J261" s="2283"/>
      <c r="K261" s="2283"/>
      <c r="L261" s="2283"/>
      <c r="M261" s="2283"/>
      <c r="N261" s="2248"/>
      <c r="O261" s="2248"/>
      <c r="P261" s="2248"/>
      <c r="Q261" s="2248"/>
      <c r="R261" s="2248"/>
      <c r="S261" s="2248"/>
      <c r="T261" s="2248"/>
      <c r="U261" s="2248"/>
      <c r="V261" s="2248"/>
      <c r="W261" s="2248"/>
    </row>
    <row r="262" spans="1:23">
      <c r="A262" s="2248"/>
      <c r="B262" s="2283"/>
      <c r="C262" s="2283"/>
      <c r="D262" s="2283"/>
      <c r="E262" s="2283"/>
      <c r="F262" s="2283"/>
      <c r="G262" s="2283"/>
      <c r="H262" s="2283"/>
      <c r="I262" s="2283"/>
      <c r="J262" s="2283"/>
      <c r="K262" s="2283"/>
      <c r="L262" s="2283"/>
      <c r="M262" s="2283"/>
      <c r="N262" s="2248"/>
      <c r="O262" s="2248"/>
      <c r="P262" s="2248"/>
      <c r="Q262" s="2248"/>
      <c r="R262" s="2248"/>
      <c r="S262" s="2248"/>
      <c r="T262" s="2248"/>
      <c r="U262" s="2248"/>
      <c r="V262" s="2248"/>
      <c r="W262" s="2248"/>
    </row>
    <row r="263" spans="1:23">
      <c r="A263" s="2248"/>
      <c r="B263" s="2283"/>
      <c r="C263" s="2283"/>
      <c r="D263" s="2283"/>
      <c r="E263" s="2283"/>
      <c r="F263" s="2283"/>
      <c r="G263" s="2283"/>
      <c r="H263" s="2283"/>
      <c r="I263" s="2283"/>
      <c r="J263" s="2283"/>
      <c r="K263" s="2283"/>
      <c r="L263" s="2283"/>
      <c r="M263" s="2283"/>
      <c r="N263" s="2248"/>
      <c r="O263" s="2248"/>
      <c r="P263" s="2248"/>
      <c r="Q263" s="2248"/>
      <c r="R263" s="2248"/>
      <c r="S263" s="2248"/>
      <c r="T263" s="2248"/>
      <c r="U263" s="2248"/>
      <c r="V263" s="2248"/>
      <c r="W263" s="2248"/>
    </row>
    <row r="264" spans="1:23">
      <c r="A264" s="2248"/>
      <c r="B264" s="2283"/>
      <c r="C264" s="2283"/>
      <c r="D264" s="2283"/>
      <c r="E264" s="2283"/>
      <c r="F264" s="2283"/>
      <c r="G264" s="2283"/>
      <c r="H264" s="2283"/>
      <c r="I264" s="2283"/>
      <c r="J264" s="2283"/>
      <c r="K264" s="2283"/>
      <c r="L264" s="2283"/>
      <c r="M264" s="2283"/>
      <c r="N264" s="2248"/>
      <c r="O264" s="2248"/>
      <c r="P264" s="2248"/>
      <c r="Q264" s="2248"/>
      <c r="R264" s="2248"/>
      <c r="S264" s="2248"/>
      <c r="T264" s="2248"/>
      <c r="U264" s="2248"/>
      <c r="V264" s="2248"/>
      <c r="W264" s="2248"/>
    </row>
    <row r="265" spans="1:23">
      <c r="A265" s="2248"/>
      <c r="B265" s="2283"/>
      <c r="C265" s="2283"/>
      <c r="D265" s="2283"/>
      <c r="E265" s="2283"/>
      <c r="F265" s="2283"/>
      <c r="G265" s="2283"/>
      <c r="H265" s="2283"/>
      <c r="I265" s="2283"/>
      <c r="J265" s="2283"/>
      <c r="K265" s="2283"/>
      <c r="L265" s="2283"/>
      <c r="M265" s="2283"/>
      <c r="N265" s="2248"/>
      <c r="O265" s="2248"/>
      <c r="P265" s="2248"/>
      <c r="Q265" s="2248"/>
      <c r="R265" s="2248"/>
      <c r="S265" s="2248"/>
      <c r="T265" s="2248"/>
      <c r="U265" s="2248"/>
      <c r="V265" s="2248"/>
      <c r="W265" s="2248"/>
    </row>
    <row r="266" spans="1:23">
      <c r="A266" s="2248"/>
      <c r="B266" s="2283"/>
      <c r="C266" s="2283"/>
      <c r="D266" s="2283"/>
      <c r="E266" s="2283"/>
      <c r="F266" s="2283"/>
      <c r="G266" s="2283"/>
      <c r="H266" s="2283"/>
      <c r="I266" s="2283"/>
      <c r="J266" s="2283"/>
      <c r="K266" s="2283"/>
      <c r="L266" s="2283"/>
      <c r="M266" s="2283"/>
      <c r="N266" s="2248"/>
      <c r="O266" s="2248"/>
      <c r="P266" s="2248"/>
      <c r="Q266" s="2248"/>
      <c r="R266" s="2248"/>
      <c r="S266" s="2248"/>
      <c r="T266" s="2248"/>
      <c r="U266" s="2248"/>
      <c r="V266" s="2248"/>
      <c r="W266" s="2248"/>
    </row>
    <row r="267" spans="1:23">
      <c r="A267" s="2248"/>
      <c r="B267" s="2283"/>
      <c r="C267" s="2283"/>
      <c r="D267" s="2283"/>
      <c r="E267" s="2283"/>
      <c r="F267" s="2283"/>
      <c r="G267" s="2283"/>
      <c r="H267" s="2283"/>
      <c r="I267" s="2283"/>
      <c r="J267" s="2283"/>
      <c r="K267" s="2283"/>
      <c r="L267" s="2283"/>
      <c r="M267" s="2283"/>
      <c r="N267" s="2248"/>
      <c r="O267" s="2248"/>
      <c r="P267" s="2248"/>
      <c r="Q267" s="2248"/>
      <c r="R267" s="2248"/>
      <c r="S267" s="2248"/>
      <c r="T267" s="2248"/>
      <c r="U267" s="2248"/>
      <c r="V267" s="2248"/>
      <c r="W267" s="2248"/>
    </row>
    <row r="268" spans="1:23">
      <c r="A268" s="2248"/>
      <c r="B268" s="2283"/>
      <c r="C268" s="2283"/>
      <c r="D268" s="2283"/>
      <c r="E268" s="2283"/>
      <c r="F268" s="2283"/>
      <c r="G268" s="2283"/>
      <c r="H268" s="2283"/>
      <c r="I268" s="2283"/>
      <c r="J268" s="2283"/>
      <c r="K268" s="2283"/>
      <c r="L268" s="2283"/>
      <c r="M268" s="2283"/>
      <c r="N268" s="2248"/>
      <c r="O268" s="2248"/>
      <c r="P268" s="2248"/>
      <c r="Q268" s="2248"/>
      <c r="R268" s="2248"/>
      <c r="S268" s="2248"/>
      <c r="T268" s="2248"/>
      <c r="U268" s="2248"/>
      <c r="V268" s="2248"/>
      <c r="W268" s="2248"/>
    </row>
    <row r="269" spans="1:23">
      <c r="A269" s="2248"/>
      <c r="B269" s="2283"/>
      <c r="C269" s="2283"/>
      <c r="D269" s="2283"/>
      <c r="E269" s="2283"/>
      <c r="F269" s="2283"/>
      <c r="G269" s="2283"/>
      <c r="H269" s="2283"/>
      <c r="I269" s="2283"/>
      <c r="J269" s="2283"/>
      <c r="K269" s="2283"/>
      <c r="L269" s="2283"/>
      <c r="M269" s="2283"/>
      <c r="N269" s="2248"/>
      <c r="O269" s="2248"/>
      <c r="P269" s="2248"/>
      <c r="Q269" s="2248"/>
      <c r="R269" s="2248"/>
      <c r="S269" s="2248"/>
      <c r="T269" s="2248"/>
      <c r="U269" s="2248"/>
      <c r="V269" s="2248"/>
      <c r="W269" s="2248"/>
    </row>
    <row r="270" spans="1:23">
      <c r="A270" s="2248"/>
      <c r="B270" s="2283"/>
      <c r="C270" s="2283"/>
      <c r="D270" s="2283"/>
      <c r="E270" s="2283"/>
      <c r="F270" s="2283"/>
      <c r="G270" s="2283"/>
      <c r="H270" s="2283"/>
      <c r="I270" s="2283"/>
      <c r="J270" s="2283"/>
      <c r="K270" s="2283"/>
      <c r="L270" s="2283"/>
      <c r="M270" s="2283"/>
      <c r="N270" s="2248"/>
      <c r="O270" s="2248"/>
      <c r="P270" s="2248"/>
      <c r="Q270" s="2248"/>
      <c r="R270" s="2248"/>
      <c r="S270" s="2248"/>
      <c r="T270" s="2248"/>
      <c r="U270" s="2248"/>
      <c r="V270" s="2248"/>
      <c r="W270" s="2248"/>
    </row>
    <row r="271" spans="1:23">
      <c r="A271" s="2248"/>
      <c r="B271" s="2283"/>
      <c r="C271" s="2283"/>
      <c r="D271" s="2283"/>
      <c r="E271" s="2283"/>
      <c r="F271" s="2283"/>
      <c r="G271" s="2283"/>
      <c r="H271" s="2283"/>
      <c r="I271" s="2283"/>
      <c r="J271" s="2283"/>
      <c r="K271" s="2283"/>
      <c r="L271" s="2283"/>
      <c r="M271" s="2283"/>
      <c r="N271" s="2248"/>
      <c r="O271" s="2248"/>
      <c r="P271" s="2248"/>
      <c r="Q271" s="2248"/>
      <c r="R271" s="2248"/>
      <c r="S271" s="2248"/>
      <c r="T271" s="2248"/>
      <c r="U271" s="2248"/>
      <c r="V271" s="2248"/>
      <c r="W271" s="2248"/>
    </row>
    <row r="272" spans="1:23">
      <c r="A272" s="2248"/>
      <c r="B272" s="2283"/>
      <c r="C272" s="2283"/>
      <c r="D272" s="2283"/>
      <c r="E272" s="2283"/>
      <c r="F272" s="2283"/>
      <c r="G272" s="2283"/>
      <c r="H272" s="2283"/>
      <c r="I272" s="2283"/>
      <c r="J272" s="2283"/>
      <c r="K272" s="2283"/>
      <c r="L272" s="2283"/>
      <c r="M272" s="2283"/>
      <c r="N272" s="2248"/>
      <c r="O272" s="2248"/>
      <c r="P272" s="2248"/>
      <c r="Q272" s="2248"/>
      <c r="R272" s="2248"/>
      <c r="S272" s="2248"/>
      <c r="T272" s="2248"/>
      <c r="U272" s="2248"/>
      <c r="V272" s="2248"/>
      <c r="W272" s="2248"/>
    </row>
    <row r="273" spans="1:23">
      <c r="A273" s="2248"/>
      <c r="B273" s="2283"/>
      <c r="C273" s="2283"/>
      <c r="D273" s="2283"/>
      <c r="E273" s="2283"/>
      <c r="F273" s="2283"/>
      <c r="G273" s="2283"/>
      <c r="H273" s="2283"/>
      <c r="I273" s="2283"/>
      <c r="J273" s="2283"/>
      <c r="K273" s="2283"/>
      <c r="L273" s="2283"/>
      <c r="M273" s="2283"/>
      <c r="N273" s="2248"/>
      <c r="O273" s="2248"/>
      <c r="P273" s="2248"/>
      <c r="Q273" s="2248"/>
      <c r="R273" s="2248"/>
      <c r="S273" s="2248"/>
      <c r="T273" s="2248"/>
      <c r="U273" s="2248"/>
      <c r="V273" s="2248"/>
      <c r="W273" s="2248"/>
    </row>
    <row r="274" spans="1:23" ht="15" customHeight="1">
      <c r="A274" s="2248"/>
      <c r="B274" s="2283"/>
      <c r="C274" s="2283"/>
      <c r="D274" s="2283"/>
      <c r="E274" s="2283"/>
      <c r="F274" s="2283"/>
      <c r="G274" s="2283"/>
      <c r="H274" s="2283"/>
      <c r="I274" s="2283"/>
      <c r="J274" s="2283"/>
      <c r="K274" s="2283"/>
      <c r="L274" s="2283"/>
      <c r="M274" s="2283"/>
      <c r="N274" s="2248"/>
      <c r="O274" s="2248"/>
      <c r="P274" s="2248"/>
      <c r="Q274" s="2248"/>
      <c r="R274" s="2248"/>
      <c r="S274" s="2248"/>
      <c r="T274" s="2248"/>
      <c r="U274" s="2248"/>
      <c r="V274" s="2248"/>
      <c r="W274" s="2248"/>
    </row>
    <row r="275" spans="1:23" ht="15" customHeight="1">
      <c r="A275" s="2248"/>
      <c r="B275" s="2283"/>
      <c r="C275" s="2283"/>
      <c r="D275" s="2283"/>
      <c r="E275" s="2283"/>
      <c r="F275" s="2283"/>
      <c r="G275" s="2283"/>
      <c r="H275" s="2283"/>
      <c r="I275" s="2283"/>
      <c r="J275" s="2283"/>
      <c r="K275" s="2283"/>
      <c r="L275" s="2283"/>
      <c r="M275" s="2283"/>
      <c r="N275" s="2248"/>
      <c r="O275" s="2248"/>
      <c r="P275" s="2248"/>
      <c r="Q275" s="2248"/>
      <c r="R275" s="2248"/>
      <c r="S275" s="2248"/>
      <c r="T275" s="2248"/>
      <c r="U275" s="2248"/>
      <c r="V275" s="2248"/>
      <c r="W275" s="2248"/>
    </row>
    <row r="276" spans="1:23" ht="15" customHeight="1">
      <c r="A276" s="2248"/>
      <c r="B276" s="2283"/>
      <c r="C276" s="2283"/>
      <c r="D276" s="2283"/>
      <c r="E276" s="2283"/>
      <c r="F276" s="2283"/>
      <c r="G276" s="2283"/>
      <c r="H276" s="2283"/>
      <c r="I276" s="2283"/>
      <c r="J276" s="2283"/>
      <c r="K276" s="2283"/>
      <c r="L276" s="2283"/>
      <c r="M276" s="2283"/>
      <c r="N276" s="2248"/>
      <c r="O276" s="2248"/>
      <c r="P276" s="2248"/>
      <c r="Q276" s="2248"/>
      <c r="R276" s="2248"/>
      <c r="S276" s="2248"/>
      <c r="T276" s="2248"/>
      <c r="U276" s="2248"/>
      <c r="V276" s="2248"/>
      <c r="W276" s="2248"/>
    </row>
    <row r="277" spans="1:23" ht="15" customHeight="1">
      <c r="A277" s="2248"/>
      <c r="B277" s="2283"/>
      <c r="C277" s="2283"/>
      <c r="D277" s="2283"/>
      <c r="E277" s="2283"/>
      <c r="F277" s="2283"/>
      <c r="G277" s="2283"/>
      <c r="H277" s="2283"/>
      <c r="I277" s="2283"/>
      <c r="J277" s="2283"/>
      <c r="K277" s="2283"/>
      <c r="L277" s="2283"/>
      <c r="M277" s="2283"/>
      <c r="N277" s="2248"/>
      <c r="O277" s="2248"/>
      <c r="P277" s="2248"/>
      <c r="Q277" s="2248"/>
      <c r="R277" s="2248"/>
      <c r="S277" s="2248"/>
      <c r="T277" s="2248"/>
      <c r="U277" s="2248"/>
      <c r="V277" s="2248"/>
      <c r="W277" s="2248"/>
    </row>
    <row r="278" spans="1:23">
      <c r="A278" s="2248"/>
      <c r="B278" s="2283"/>
      <c r="C278" s="2283"/>
      <c r="D278" s="2283"/>
      <c r="E278" s="2283"/>
      <c r="F278" s="2283"/>
      <c r="G278" s="2283"/>
      <c r="H278" s="2283"/>
      <c r="I278" s="2283"/>
      <c r="J278" s="2283"/>
      <c r="K278" s="2283"/>
      <c r="L278" s="2283"/>
      <c r="M278" s="2283"/>
      <c r="N278" s="2248"/>
      <c r="O278" s="2248"/>
      <c r="P278" s="2248"/>
      <c r="Q278" s="2248"/>
      <c r="R278" s="2248"/>
      <c r="S278" s="2248"/>
      <c r="T278" s="2248"/>
      <c r="U278" s="2248"/>
      <c r="V278" s="2248"/>
      <c r="W278" s="2248"/>
    </row>
  </sheetData>
  <sheetProtection password="889B" sheet="1"/>
  <mergeCells count="53">
    <mergeCell ref="E235:H235"/>
    <mergeCell ref="I235:K235"/>
    <mergeCell ref="L243:M243"/>
    <mergeCell ref="D244:F244"/>
    <mergeCell ref="E236:H236"/>
    <mergeCell ref="E239:H239"/>
    <mergeCell ref="H240:I240"/>
    <mergeCell ref="E241:H241"/>
    <mergeCell ref="I242:J242"/>
    <mergeCell ref="G243:I243"/>
    <mergeCell ref="J243:K243"/>
    <mergeCell ref="E226:H226"/>
    <mergeCell ref="L228:M228"/>
    <mergeCell ref="E229:H229"/>
    <mergeCell ref="L231:M231"/>
    <mergeCell ref="E232:H232"/>
    <mergeCell ref="D188:E188"/>
    <mergeCell ref="F192:H192"/>
    <mergeCell ref="F224:I224"/>
    <mergeCell ref="J224:K224"/>
    <mergeCell ref="C225:F225"/>
    <mergeCell ref="G225:I225"/>
    <mergeCell ref="D167:F167"/>
    <mergeCell ref="F171:H171"/>
    <mergeCell ref="I171:J171"/>
    <mergeCell ref="F175:H175"/>
    <mergeCell ref="E180:H180"/>
    <mergeCell ref="F146:I146"/>
    <mergeCell ref="K146:L146"/>
    <mergeCell ref="J149:K149"/>
    <mergeCell ref="F150:H150"/>
    <mergeCell ref="E162:G162"/>
    <mergeCell ref="F122:H122"/>
    <mergeCell ref="F130:H130"/>
    <mergeCell ref="H134:J134"/>
    <mergeCell ref="F139:H139"/>
    <mergeCell ref="D144:G144"/>
    <mergeCell ref="J144:K144"/>
    <mergeCell ref="K66:L66"/>
    <mergeCell ref="D67:F67"/>
    <mergeCell ref="G67:I67"/>
    <mergeCell ref="F101:H101"/>
    <mergeCell ref="F111:H111"/>
    <mergeCell ref="D56:G56"/>
    <mergeCell ref="H56:J56"/>
    <mergeCell ref="D57:E57"/>
    <mergeCell ref="G57:H57"/>
    <mergeCell ref="H66:J66"/>
    <mergeCell ref="L2:M2"/>
    <mergeCell ref="D32:G32"/>
    <mergeCell ref="H32:J32"/>
    <mergeCell ref="D50:G50"/>
    <mergeCell ref="H50:J50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4.5703125" style="1398" customWidth="1"/>
    <col min="2" max="2" width="7.28515625" style="1398" customWidth="1"/>
    <col min="3" max="3" width="1" style="1398" customWidth="1"/>
    <col min="4" max="5" width="17" style="1398" customWidth="1"/>
    <col min="6" max="6" width="1" style="1398" customWidth="1"/>
    <col min="7" max="8" width="17" style="1398" customWidth="1"/>
    <col min="9" max="9" width="1" style="1398" customWidth="1"/>
    <col min="10" max="11" width="17" style="1398" customWidth="1"/>
    <col min="12" max="12" width="1" style="1398" customWidth="1"/>
    <col min="13" max="14" width="17" style="1398" customWidth="1"/>
    <col min="15" max="15" width="3.42578125" style="1398" customWidth="1"/>
    <col min="16" max="17" width="26.5703125" style="1398" customWidth="1"/>
    <col min="18" max="18" width="1" style="1398" customWidth="1"/>
    <col min="19" max="20" width="16.140625" style="1398" customWidth="1"/>
    <col min="21" max="21" width="1" style="1398" customWidth="1"/>
    <col min="22" max="23" width="16.140625" style="1398" customWidth="1"/>
    <col min="24" max="24" width="1" style="1398" customWidth="1"/>
    <col min="25" max="26" width="15.7109375" style="1398" customWidth="1"/>
    <col min="27" max="16384" width="9.140625" style="1398"/>
  </cols>
  <sheetData>
    <row r="1" spans="1:26" ht="16.5" customHeight="1">
      <c r="A1" s="2577">
        <f>+'TRIAL-BALANCE'!E2</f>
        <v>0</v>
      </c>
      <c r="B1" s="2578"/>
      <c r="C1" s="2578"/>
      <c r="D1" s="2579"/>
      <c r="E1" s="301" t="s">
        <v>792</v>
      </c>
      <c r="F1" s="300"/>
      <c r="G1" s="2575">
        <f>+'TRIAL-BALANCE'!C6</f>
        <v>0</v>
      </c>
      <c r="H1" s="2576"/>
      <c r="I1" s="300"/>
      <c r="J1" s="301" t="s">
        <v>1212</v>
      </c>
      <c r="K1" s="1937">
        <f>+'TRIAL-BALANCE'!C8</f>
        <v>0</v>
      </c>
      <c r="L1" s="300"/>
      <c r="M1" s="1270" t="s">
        <v>1208</v>
      </c>
      <c r="N1" s="2214">
        <f>+'TRIAL-BALANCE'!H8</f>
        <v>0</v>
      </c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ht="14.25" customHeight="1">
      <c r="A2" s="2581" t="str">
        <f>+'BALANCE-SHEET-2021-leva'!A2:D2</f>
        <v>(бюджетна организация, предприятие по чл. 165, ал. 1 от ЗПФ, поделение)</v>
      </c>
      <c r="B2" s="2582"/>
      <c r="C2" s="2582"/>
      <c r="D2" s="2583"/>
      <c r="E2" s="2586">
        <f>+'BALANCE-SHEET-2021-leva'!E2</f>
        <v>0</v>
      </c>
      <c r="F2" s="2586"/>
      <c r="G2" s="2586"/>
      <c r="H2" s="2586"/>
      <c r="I2" s="300"/>
      <c r="J2" s="2589">
        <f>+'BALANCE-SHEET-2021-leva'!J2:K2</f>
        <v>0</v>
      </c>
      <c r="K2" s="2589"/>
      <c r="L2" s="300"/>
      <c r="M2" s="2589">
        <f>+'BALANCE-SHEET-2021-leva'!M2:N2</f>
        <v>0</v>
      </c>
      <c r="N2" s="2589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</row>
    <row r="3" spans="1:26" ht="18" customHeight="1">
      <c r="A3" s="2481">
        <f>+'TRIAL-BALANCE'!G4</f>
        <v>0</v>
      </c>
      <c r="B3" s="2482"/>
      <c r="C3" s="2482"/>
      <c r="D3" s="2483"/>
      <c r="E3" s="304" t="s">
        <v>1205</v>
      </c>
      <c r="F3" s="302"/>
      <c r="G3" s="2584">
        <f>+'TRIAL-BALANCE'!J8</f>
        <v>0</v>
      </c>
      <c r="H3" s="2585"/>
      <c r="I3" s="300"/>
      <c r="J3" s="2212" t="s">
        <v>2108</v>
      </c>
      <c r="K3" s="2486">
        <f>+'TRIAL-BALANCE'!G6</f>
        <v>0</v>
      </c>
      <c r="L3" s="2502"/>
      <c r="M3" s="2502"/>
      <c r="N3" s="2487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</row>
    <row r="4" spans="1:26" ht="2.25" customHeight="1">
      <c r="A4" s="300"/>
      <c r="B4" s="300"/>
      <c r="C4" s="300"/>
      <c r="D4" s="300"/>
      <c r="E4" s="154"/>
      <c r="F4" s="300"/>
      <c r="G4" s="154"/>
      <c r="H4" s="155"/>
      <c r="I4" s="300"/>
      <c r="J4" s="302"/>
      <c r="K4" s="302"/>
      <c r="L4" s="300"/>
      <c r="M4" s="302"/>
      <c r="N4" s="302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17.25" customHeight="1">
      <c r="A5" s="305" t="s">
        <v>1006</v>
      </c>
      <c r="B5" s="2580">
        <f>+A1</f>
        <v>0</v>
      </c>
      <c r="C5" s="2580"/>
      <c r="D5" s="2580"/>
      <c r="E5" s="2580"/>
      <c r="F5" s="2580"/>
      <c r="G5" s="2580"/>
      <c r="H5" s="1261" t="str">
        <f>+'BALANCE-SHEET-2021-leva'!H5</f>
        <v xml:space="preserve">  към</v>
      </c>
      <c r="I5" s="158"/>
      <c r="J5" s="1266" t="str">
        <f>+'BALANCE-SHEET-2021-leva'!J5</f>
        <v>30 септември 2021 г.</v>
      </c>
      <c r="K5" s="1262"/>
      <c r="L5" s="1262" t="str">
        <f>+'TRIAL-BALANCE'!D10</f>
        <v xml:space="preserve"> Обор. ведомост</v>
      </c>
      <c r="M5" s="1262" t="str">
        <f>+'TRIAL-BALANCE'!C10</f>
        <v>/с б о р е н/</v>
      </c>
      <c r="N5" s="1263" t="s">
        <v>201</v>
      </c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4.25" customHeight="1" thickBot="1">
      <c r="A6" s="160" t="s">
        <v>255</v>
      </c>
      <c r="B6" s="161"/>
      <c r="C6" s="154"/>
      <c r="D6" s="2587">
        <f>+'BALANCE-SHEET-2021-leva'!D6:E6</f>
        <v>0</v>
      </c>
      <c r="E6" s="2587"/>
      <c r="F6" s="164"/>
      <c r="G6" s="2587">
        <f>+'BALANCE-SHEET-2021-leva'!G6:H6</f>
        <v>0</v>
      </c>
      <c r="H6" s="2588"/>
      <c r="I6" s="154"/>
      <c r="J6" s="302"/>
      <c r="K6" s="302"/>
      <c r="L6" s="154"/>
      <c r="M6" s="160" t="s">
        <v>810</v>
      </c>
      <c r="N6" s="302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2.75" customHeight="1" thickTop="1">
      <c r="A7" s="1061"/>
      <c r="B7" s="2493" t="s">
        <v>2181</v>
      </c>
      <c r="C7" s="164"/>
      <c r="D7" s="638" t="s">
        <v>1287</v>
      </c>
      <c r="E7" s="644"/>
      <c r="F7" s="164"/>
      <c r="G7" s="634" t="s">
        <v>1288</v>
      </c>
      <c r="H7" s="635"/>
      <c r="I7" s="164" t="s">
        <v>265</v>
      </c>
      <c r="J7" s="669" t="s">
        <v>1272</v>
      </c>
      <c r="K7" s="670"/>
      <c r="L7" s="164"/>
      <c r="M7" s="2591" t="s">
        <v>398</v>
      </c>
      <c r="N7" s="2592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4.25" customHeight="1" thickBot="1">
      <c r="A8" s="1448" t="s">
        <v>399</v>
      </c>
      <c r="B8" s="2494"/>
      <c r="C8" s="164"/>
      <c r="D8" s="438" t="s">
        <v>1286</v>
      </c>
      <c r="E8" s="646"/>
      <c r="F8" s="164"/>
      <c r="G8" s="1580" t="s">
        <v>1100</v>
      </c>
      <c r="H8" s="637"/>
      <c r="I8" s="164"/>
      <c r="J8" s="1581" t="s">
        <v>1271</v>
      </c>
      <c r="K8" s="1406"/>
      <c r="L8" s="164"/>
      <c r="M8" s="2593"/>
      <c r="N8" s="2594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30.75" customHeight="1" thickBot="1">
      <c r="A9" s="1912" t="str">
        <f>+'BALANCE-SHEET-2021-leva'!A9</f>
        <v>Непопълнен ред в таблица 'Cash-deficit'!</v>
      </c>
      <c r="B9" s="2495"/>
      <c r="C9" s="154"/>
      <c r="D9" s="1449" t="s">
        <v>1012</v>
      </c>
      <c r="E9" s="1468" t="s">
        <v>1117</v>
      </c>
      <c r="F9" s="233"/>
      <c r="G9" s="1449" t="str">
        <f>+D9</f>
        <v>Текуща година</v>
      </c>
      <c r="H9" s="1468" t="str">
        <f>+E9</f>
        <v>Предходна година (към 31 декември)</v>
      </c>
      <c r="I9" s="233"/>
      <c r="J9" s="1449" t="str">
        <f>+G9</f>
        <v>Текуща година</v>
      </c>
      <c r="K9" s="1468" t="str">
        <f>+H9</f>
        <v>Предходна година (към 31 декември)</v>
      </c>
      <c r="L9" s="233"/>
      <c r="M9" s="1449" t="str">
        <f>+J9</f>
        <v>Текуща година</v>
      </c>
      <c r="N9" s="1468" t="str">
        <f>+K9</f>
        <v>Предходна година (към 31 декември)</v>
      </c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6.5" thickBot="1">
      <c r="A10" s="1062" t="s">
        <v>150</v>
      </c>
      <c r="B10" s="1063" t="s">
        <v>151</v>
      </c>
      <c r="C10" s="154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5.75">
      <c r="A11" s="170" t="s">
        <v>152</v>
      </c>
      <c r="B11" s="171"/>
      <c r="C11" s="164"/>
      <c r="D11" s="616"/>
      <c r="E11" s="617"/>
      <c r="F11" s="164"/>
      <c r="G11" s="616"/>
      <c r="H11" s="617"/>
      <c r="I11" s="164"/>
      <c r="J11" s="616"/>
      <c r="K11" s="617"/>
      <c r="L11" s="164"/>
      <c r="M11" s="616"/>
      <c r="N11" s="617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5.75">
      <c r="A12" s="172" t="s">
        <v>153</v>
      </c>
      <c r="B12" s="173"/>
      <c r="C12" s="154"/>
      <c r="D12" s="255" t="str">
        <f>+IF(+OR(D13&lt;0,D14&lt;0,D15&lt;0,D16&lt;0,D22&lt;0),"НЕРАВНЕНИЕ !"," ")</f>
        <v xml:space="preserve"> </v>
      </c>
      <c r="E12" s="322" t="str">
        <f>+IF(+OR(E13&lt;0,E14&lt;0,E15&lt;0,E16&lt;0,E22&lt;0),"НЕРАВНЕНИЕ !"," ")</f>
        <v xml:space="preserve"> </v>
      </c>
      <c r="F12" s="154"/>
      <c r="G12" s="255" t="str">
        <f>+IF(+OR(G13&lt;0,G14&lt;0,G15&lt;0,G16&lt;0,G22&lt;0),"НЕРАВНЕНИЕ !"," ")</f>
        <v xml:space="preserve"> </v>
      </c>
      <c r="H12" s="322" t="str">
        <f>+IF(+OR(H13&lt;0,H14&lt;0,H15&lt;0,H16&lt;0,H22&lt;0),"НЕРАВНЕНИЕ !"," ")</f>
        <v xml:space="preserve"> </v>
      </c>
      <c r="I12" s="154"/>
      <c r="J12" s="255" t="str">
        <f>+IF(+OR(J13&lt;0,J14&lt;0,J15&lt;0,J16&lt;0,J22&lt;0),"НЕРАВНЕНИЕ !"," ")</f>
        <v xml:space="preserve"> </v>
      </c>
      <c r="K12" s="322" t="str">
        <f>+IF(+OR(K13&lt;0,K14&lt;0,K15&lt;0,K16&lt;0,K22&lt;0),"НЕРАВНЕНИЕ !"," ")</f>
        <v xml:space="preserve"> </v>
      </c>
      <c r="L12" s="154"/>
      <c r="M12" s="255" t="str">
        <f>+IF(+OR(M13&lt;0,M14&lt;0,M15&lt;0,M16&lt;0,M22&lt;0),"НЕРАВНЕНИЕ !"," ")</f>
        <v xml:space="preserve"> </v>
      </c>
      <c r="N12" s="322" t="str">
        <f>+IF(+OR(N13&lt;0,N14&lt;0,N15&lt;0,N16&lt;0,N22&lt;0),"НЕРАВНЕНИЕ !"," ")</f>
        <v xml:space="preserve"> </v>
      </c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5.75">
      <c r="A13" s="334" t="s">
        <v>154</v>
      </c>
      <c r="B13" s="335">
        <v>11</v>
      </c>
      <c r="C13" s="154"/>
      <c r="D13" s="659">
        <f>+'BALANCE-SHEET-2021-leva'!D13/1000+IF(+Rounding!$C$6=$B13,+Rounding!D$6,0)+IF(+Rounding!$C$7=$B13,+Rounding!D$7,0)</f>
        <v>4777.63346</v>
      </c>
      <c r="E13" s="660">
        <f>+'BALANCE-SHEET-2021-leva'!E13/1000+IF(+Rounding!$C$6=$B13,+Rounding!E$6,0)+IF(+Rounding!$C$7=$B13,+Rounding!E$7,0)</f>
        <v>4814.2712300000003</v>
      </c>
      <c r="F13" s="154"/>
      <c r="G13" s="659">
        <f>+'BALANCE-SHEET-2021-leva'!G13/1000+IF(+Rounding!$G$6=$B13,+Rounding!H$6,0)+IF(+Rounding!$G$7=$B13,+Rounding!H$7,0)</f>
        <v>1630.6606899999999</v>
      </c>
      <c r="H13" s="660">
        <f>+'BALANCE-SHEET-2021-leva'!H13/1000+IF(+Rounding!$G$6=$B13,+Rounding!I$6,0)+IF(+Rounding!$G$7=$B13,+Rounding!I$7,0)</f>
        <v>1630.6606899999999</v>
      </c>
      <c r="I13" s="154"/>
      <c r="J13" s="659">
        <f>+'BALANCE-SHEET-2021-leva'!J13/1000+IF(+Rounding!$K$6=$B13,+Rounding!L$6,0)+IF(+Rounding!$K$7=$B13,+Rounding!L$7,0)</f>
        <v>0</v>
      </c>
      <c r="K13" s="660">
        <f>+'BALANCE-SHEET-2021-leva'!K13/1000+IF(+Rounding!$K$6=$B13,+Rounding!M$6,0)+IF(+Rounding!$K$7=$B13,+Rounding!M$7,0)</f>
        <v>0</v>
      </c>
      <c r="L13" s="154"/>
      <c r="M13" s="659">
        <f>+D13+G13+J13+IF(+Rounding!$O$6=$B13,+Rounding!P$6,0)+IF(+Rounding!$O$7=$B13,+Rounding!P$7,0)</f>
        <v>6408.2941499999997</v>
      </c>
      <c r="N13" s="660">
        <f>+E13+H13+K13+IF(+Rounding!$O$6=$B13,+Rounding!Q$6,0)+IF(+Rounding!$O$7=$B13,+Rounding!Q$7,0)</f>
        <v>6444.93192</v>
      </c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5.75">
      <c r="A14" s="334" t="s">
        <v>256</v>
      </c>
      <c r="B14" s="335">
        <v>12</v>
      </c>
      <c r="C14" s="154"/>
      <c r="D14" s="659">
        <f>+'BALANCE-SHEET-2021-leva'!D14/1000+IF(+Rounding!$C$6=$B14,+Rounding!D$6,0)+IF(+Rounding!$C$7=$B14,+Rounding!D$7,0)</f>
        <v>5815.3334999999997</v>
      </c>
      <c r="E14" s="660">
        <f>+'BALANCE-SHEET-2021-leva'!E14/1000+IF(+Rounding!$C$6=$B14,+Rounding!E$6,0)+IF(+Rounding!$C$7=$B14,+Rounding!E$7,0)</f>
        <v>6069.97372</v>
      </c>
      <c r="F14" s="154"/>
      <c r="G14" s="659">
        <f>+'BALANCE-SHEET-2021-leva'!G14/1000+IF(+Rounding!$G$6=$B14,+Rounding!H$6,0)+IF(+Rounding!$G$7=$B14,+Rounding!H$7,0)</f>
        <v>159.09942999999998</v>
      </c>
      <c r="H14" s="660">
        <f>+'BALANCE-SHEET-2021-leva'!H14/1000+IF(+Rounding!$G$6=$B14,+Rounding!I$6,0)+IF(+Rounding!$G$7=$B14,+Rounding!I$7,0)</f>
        <v>164.36543</v>
      </c>
      <c r="I14" s="154"/>
      <c r="J14" s="659">
        <f>+'BALANCE-SHEET-2021-leva'!J14/1000+IF(+Rounding!$K$6=$B14,+Rounding!L$6,0)+IF(+Rounding!$K$7=$B14,+Rounding!L$7,0)</f>
        <v>0</v>
      </c>
      <c r="K14" s="660">
        <f>+'BALANCE-SHEET-2021-leva'!K14/1000+IF(+Rounding!$K$6=$B14,+Rounding!M$6,0)+IF(+Rounding!$K$7=$B14,+Rounding!M$7,0)</f>
        <v>0</v>
      </c>
      <c r="L14" s="154"/>
      <c r="M14" s="659">
        <f>+D14+G14+J14+IF(+Rounding!$O$6=$B14,+Rounding!P$6,0)+IF(+Rounding!$O$7=$B14,+Rounding!P$7,0)</f>
        <v>5974.4329299999999</v>
      </c>
      <c r="N14" s="660">
        <f>+E14+H14+K14+IF(+Rounding!$O$6=$B14,+Rounding!Q$6,0)+IF(+Rounding!$O$7=$B14,+Rounding!Q$7,0)</f>
        <v>6234.3391499999998</v>
      </c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5.75">
      <c r="A15" s="334" t="s">
        <v>155</v>
      </c>
      <c r="B15" s="335">
        <v>13</v>
      </c>
      <c r="C15" s="154"/>
      <c r="D15" s="659">
        <f>+'BALANCE-SHEET-2021-leva'!D15/1000+IF(+Rounding!$C$6=$B15,+Rounding!D$6,0)+IF(+Rounding!$C$7=$B15,+Rounding!D$7,0)</f>
        <v>167.83780999999999</v>
      </c>
      <c r="E15" s="660">
        <f>+'BALANCE-SHEET-2021-leva'!E15/1000+IF(+Rounding!$C$6=$B15,+Rounding!E$6,0)+IF(+Rounding!$C$7=$B15,+Rounding!E$7,0)</f>
        <v>171.97588000000002</v>
      </c>
      <c r="F15" s="154"/>
      <c r="G15" s="659">
        <f>+'BALANCE-SHEET-2021-leva'!G15/1000+IF(+Rounding!$G$6=$B15,+Rounding!H$6,0)+IF(+Rounding!$G$7=$B15,+Rounding!H$7,0)</f>
        <v>1.3080000000000001</v>
      </c>
      <c r="H15" s="660">
        <f>+'BALANCE-SHEET-2021-leva'!H15/1000+IF(+Rounding!$G$6=$B15,+Rounding!I$6,0)+IF(+Rounding!$G$7=$B15,+Rounding!I$7,0)</f>
        <v>1.3080000000000001</v>
      </c>
      <c r="I15" s="154"/>
      <c r="J15" s="659">
        <f>+'BALANCE-SHEET-2021-leva'!J15/1000+IF(+Rounding!$K$6=$B15,+Rounding!L$6,0)+IF(+Rounding!$K$7=$B15,+Rounding!L$7,0)</f>
        <v>0</v>
      </c>
      <c r="K15" s="660">
        <f>+'BALANCE-SHEET-2021-leva'!K15/1000+IF(+Rounding!$K$6=$B15,+Rounding!M$6,0)+IF(+Rounding!$K$7=$B15,+Rounding!M$7,0)</f>
        <v>0</v>
      </c>
      <c r="L15" s="154"/>
      <c r="M15" s="659">
        <f>+D15+G15+J15+IF(+Rounding!$O$6=$B15,+Rounding!P$6,0)+IF(+Rounding!$O$7=$B15,+Rounding!P$7,0)</f>
        <v>169.14580999999998</v>
      </c>
      <c r="N15" s="660">
        <f>+E15+H15+K15+IF(+Rounding!$O$6=$B15,+Rounding!Q$6,0)+IF(+Rounding!$O$7=$B15,+Rounding!Q$7,0)</f>
        <v>173.28388000000001</v>
      </c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5.75">
      <c r="A16" s="334" t="s">
        <v>156</v>
      </c>
      <c r="B16" s="335">
        <v>14</v>
      </c>
      <c r="C16" s="154"/>
      <c r="D16" s="659">
        <f>+'BALANCE-SHEET-2021-leva'!D16/1000+IF(+Rounding!$C$6=$B16,+Rounding!D$6,0)+IF(+Rounding!$C$7=$B16,+Rounding!D$7,0)</f>
        <v>6.6</v>
      </c>
      <c r="E16" s="660">
        <f>+'BALANCE-SHEET-2021-leva'!E16/1000+IF(+Rounding!$C$6=$B16,+Rounding!E$6,0)+IF(+Rounding!$C$7=$B16,+Rounding!E$7,0)</f>
        <v>6.6</v>
      </c>
      <c r="F16" s="154"/>
      <c r="G16" s="659">
        <f>+'BALANCE-SHEET-2021-leva'!G16/1000+IF(+Rounding!$G$6=$B16,+Rounding!H$6,0)+IF(+Rounding!$G$7=$B16,+Rounding!H$7,0)</f>
        <v>0</v>
      </c>
      <c r="H16" s="660">
        <f>+'BALANCE-SHEET-2021-leva'!H16/1000+IF(+Rounding!$G$6=$B16,+Rounding!I$6,0)+IF(+Rounding!$G$7=$B16,+Rounding!I$7,0)</f>
        <v>0</v>
      </c>
      <c r="I16" s="154"/>
      <c r="J16" s="659">
        <f>+'BALANCE-SHEET-2021-leva'!J16/1000+IF(+Rounding!$K$6=$B16,+Rounding!L$6,0)+IF(+Rounding!$K$7=$B16,+Rounding!L$7,0)</f>
        <v>2819.7056899999998</v>
      </c>
      <c r="K16" s="660">
        <f>+'BALANCE-SHEET-2021-leva'!K16/1000+IF(+Rounding!$K$6=$B16,+Rounding!M$6,0)+IF(+Rounding!$K$7=$B16,+Rounding!M$7,0)</f>
        <v>2819.7056899999998</v>
      </c>
      <c r="L16" s="154"/>
      <c r="M16" s="659">
        <f>+D16+G16+J16+IF(+Rounding!$O$6=$B16,+Rounding!P$6,0)+IF(+Rounding!$O$7=$B16,+Rounding!P$7,0)</f>
        <v>2826.3056899999997</v>
      </c>
      <c r="N16" s="660">
        <f>+E16+H16+K16+IF(+Rounding!$O$6=$B16,+Rounding!Q$6,0)+IF(+Rounding!$O$7=$B16,+Rounding!Q$7,0)</f>
        <v>2826.3056899999997</v>
      </c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s="1397" customFormat="1" ht="15.75">
      <c r="A17" s="334" t="s">
        <v>790</v>
      </c>
      <c r="B17" s="335">
        <v>15</v>
      </c>
      <c r="C17" s="154"/>
      <c r="D17" s="659">
        <f>+'BALANCE-SHEET-2021-leva'!D17/1000+IF(+Rounding!$C$6=$B17,+Rounding!D$6,0)+IF(+Rounding!$C$7=$B17,+Rounding!D$7,0)</f>
        <v>0</v>
      </c>
      <c r="E17" s="660">
        <f>+'BALANCE-SHEET-2021-leva'!E17/1000+IF(+Rounding!$C$6=$B17,+Rounding!E$6,0)+IF(+Rounding!$C$7=$B17,+Rounding!E$7,0)</f>
        <v>0</v>
      </c>
      <c r="F17" s="154"/>
      <c r="G17" s="659">
        <f>+'BALANCE-SHEET-2021-leva'!G17/1000+IF(+Rounding!$G$6=$B17,+Rounding!H$6,0)+IF(+Rounding!$G$7=$B17,+Rounding!H$7,0)</f>
        <v>0</v>
      </c>
      <c r="H17" s="660">
        <f>+'BALANCE-SHEET-2021-leva'!H17/1000+IF(+Rounding!$G$6=$B17,+Rounding!I$6,0)+IF(+Rounding!$G$7=$B17,+Rounding!I$7,0)</f>
        <v>0</v>
      </c>
      <c r="I17" s="154"/>
      <c r="J17" s="659">
        <f>+'BALANCE-SHEET-2021-leva'!J17/1000+IF(+Rounding!$K$6=$B17,+Rounding!L$6,0)+IF(+Rounding!$K$7=$B17,+Rounding!L$7,0)</f>
        <v>23935.963920000002</v>
      </c>
      <c r="K17" s="660">
        <f>+'BALANCE-SHEET-2021-leva'!K17/1000+IF(+Rounding!$K$6=$B17,+Rounding!M$6,0)+IF(+Rounding!$K$7=$B17,+Rounding!M$7,0)</f>
        <v>24678.136770000001</v>
      </c>
      <c r="L17" s="154"/>
      <c r="M17" s="659">
        <f>+D17+G17+J17+IF(+Rounding!$O$6=$B17,+Rounding!P$6,0)+IF(+Rounding!$O$7=$B17,+Rounding!P$7,0)</f>
        <v>23935.963920000002</v>
      </c>
      <c r="N17" s="660">
        <f>+E17+H17+K17+IF(+Rounding!$O$6=$B17,+Rounding!Q$6,0)+IF(+Rounding!$O$7=$B17,+Rounding!Q$7,0)</f>
        <v>24678.136770000001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97" customFormat="1" ht="15.75">
      <c r="A18" s="334" t="s">
        <v>793</v>
      </c>
      <c r="B18" s="335">
        <v>16</v>
      </c>
      <c r="C18" s="154"/>
      <c r="D18" s="659">
        <f>+'BALANCE-SHEET-2021-leva'!D18/1000+IF(+Rounding!$C$6=$B18,+Rounding!D$6,0)+IF(+Rounding!$C$7=$B18,+Rounding!D$7,0)</f>
        <v>0</v>
      </c>
      <c r="E18" s="660">
        <f>+'BALANCE-SHEET-2021-leva'!E18/1000+IF(+Rounding!$C$6=$B18,+Rounding!E$6,0)+IF(+Rounding!$C$7=$B18,+Rounding!E$7,0)</f>
        <v>0</v>
      </c>
      <c r="F18" s="154"/>
      <c r="G18" s="659">
        <f>+'BALANCE-SHEET-2021-leva'!G18/1000+IF(+Rounding!$G$6=$B18,+Rounding!H$6,0)+IF(+Rounding!$G$7=$B18,+Rounding!H$7,0)</f>
        <v>0</v>
      </c>
      <c r="H18" s="660">
        <f>+'BALANCE-SHEET-2021-leva'!H18/1000+IF(+Rounding!$G$6=$B18,+Rounding!I$6,0)+IF(+Rounding!$G$7=$B18,+Rounding!I$7,0)</f>
        <v>0</v>
      </c>
      <c r="I18" s="154"/>
      <c r="J18" s="659">
        <f>+'BALANCE-SHEET-2021-leva'!J18/1000+IF(+Rounding!$K$6=$B18,+Rounding!L$6,0)+IF(+Rounding!$K$7=$B18,+Rounding!L$7,0)</f>
        <v>0</v>
      </c>
      <c r="K18" s="660">
        <f>+'BALANCE-SHEET-2021-leva'!K18/1000+IF(+Rounding!$K$6=$B18,+Rounding!M$6,0)+IF(+Rounding!$K$7=$B18,+Rounding!M$7,0)</f>
        <v>0</v>
      </c>
      <c r="L18" s="154"/>
      <c r="M18" s="659">
        <f>+D18+G18+J18+IF(+Rounding!$O$6=$B18,+Rounding!P$6,0)+IF(+Rounding!$O$7=$B18,+Rounding!P$7,0)</f>
        <v>0</v>
      </c>
      <c r="N18" s="660">
        <f>+E18+H18+K18+IF(+Rounding!$O$6=$B18,+Rounding!Q$6,0)+IF(+Rounding!$O$7=$B18,+Rounding!Q$7,0)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97" customFormat="1" ht="15.75">
      <c r="A19" s="336" t="s">
        <v>794</v>
      </c>
      <c r="B19" s="337">
        <v>17</v>
      </c>
      <c r="C19" s="154"/>
      <c r="D19" s="661">
        <f>+'BALANCE-SHEET-2021-leva'!D19/1000+IF(+Rounding!$C$6=$B19,+Rounding!D$6,0)+IF(+Rounding!$C$7=$B19,+Rounding!D$7,0)</f>
        <v>736.83339000000001</v>
      </c>
      <c r="E19" s="662">
        <f>+'BALANCE-SHEET-2021-leva'!E19/1000+IF(+Rounding!$C$6=$B19,+Rounding!E$6,0)+IF(+Rounding!$C$7=$B19,+Rounding!E$7,0)</f>
        <v>736.83339000000001</v>
      </c>
      <c r="F19" s="154"/>
      <c r="G19" s="661">
        <f>+'BALANCE-SHEET-2021-leva'!G19/1000+IF(+Rounding!$G$6=$B19,+Rounding!H$6,0)+IF(+Rounding!$G$7=$B19,+Rounding!H$7,0)</f>
        <v>0</v>
      </c>
      <c r="H19" s="662">
        <f>+'BALANCE-SHEET-2021-leva'!H19/1000+IF(+Rounding!$G$6=$B19,+Rounding!I$6,0)+IF(+Rounding!$G$7=$B19,+Rounding!I$7,0)</f>
        <v>0</v>
      </c>
      <c r="I19" s="154"/>
      <c r="J19" s="659">
        <f>+'BALANCE-SHEET-2021-leva'!J19/1000+IF(+Rounding!$K$6=$B19,+Rounding!L$6,0)+IF(+Rounding!$K$7=$B19,+Rounding!L$7,0)</f>
        <v>30734.795109999999</v>
      </c>
      <c r="K19" s="660">
        <f>+'BALANCE-SHEET-2021-leva'!K19/1000+IF(+Rounding!$K$6=$B19,+Rounding!M$6,0)+IF(+Rounding!$K$7=$B19,+Rounding!M$7,0)</f>
        <v>30727.061109999999</v>
      </c>
      <c r="L19" s="154"/>
      <c r="M19" s="659">
        <f>+D19+G19+J19+IF(+Rounding!$O$6=$B19,+Rounding!P$6,0)+IF(+Rounding!$O$7=$B19,+Rounding!P$7,0)</f>
        <v>31471.628499999999</v>
      </c>
      <c r="N19" s="660">
        <f>+E19+H19+K19+IF(+Rounding!$O$6=$B19,+Rounding!Q$6,0)+IF(+Rounding!$O$7=$B19,+Rounding!Q$7,0)</f>
        <v>31463.894499999999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154"/>
      <c r="D20" s="663">
        <f>+D13+D14+D15+D16+D17+D18+D19</f>
        <v>11504.238159999999</v>
      </c>
      <c r="E20" s="664">
        <f>+E13+E14+E15+E16+E17+E18+E19</f>
        <v>11799.65422</v>
      </c>
      <c r="F20" s="154"/>
      <c r="G20" s="663">
        <f>+G13+G14+G15+G16+G17+G18+G19</f>
        <v>1791.0681199999999</v>
      </c>
      <c r="H20" s="664">
        <f>+H13+H14+H15+H16+H17+H18+H19</f>
        <v>1796.33412</v>
      </c>
      <c r="I20" s="154"/>
      <c r="J20" s="663">
        <f>+J13+J14+J15+J16+J17+J18+J19</f>
        <v>57490.464720000004</v>
      </c>
      <c r="K20" s="664">
        <f>+K13+K14+K15+K16+K17+K18+K19</f>
        <v>58224.903569999995</v>
      </c>
      <c r="L20" s="154"/>
      <c r="M20" s="663">
        <f>+M13+M14+M15+M16+M17+M18+M19</f>
        <v>70785.771000000008</v>
      </c>
      <c r="N20" s="664">
        <f>+N13+N14+N15+N16+N17+N18+N19</f>
        <v>71820.891909999991</v>
      </c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6" customHeight="1">
      <c r="A21" s="172"/>
      <c r="B21" s="173"/>
      <c r="C21" s="154"/>
      <c r="D21" s="665"/>
      <c r="E21" s="666"/>
      <c r="F21" s="154"/>
      <c r="G21" s="665"/>
      <c r="H21" s="666"/>
      <c r="I21" s="154"/>
      <c r="J21" s="665"/>
      <c r="K21" s="666"/>
      <c r="L21" s="154"/>
      <c r="M21" s="665"/>
      <c r="N21" s="666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5.75">
      <c r="A22" s="177" t="s">
        <v>157</v>
      </c>
      <c r="B22" s="178">
        <v>20</v>
      </c>
      <c r="C22" s="154"/>
      <c r="D22" s="663">
        <f>+'BALANCE-SHEET-2021-leva'!D22/1000+IF(+Rounding!$C$6=$B22,+Rounding!D$6,0)+IF(+Rounding!$C$7=$B22,+Rounding!D$7,0)</f>
        <v>154.90116</v>
      </c>
      <c r="E22" s="664">
        <f>+'BALANCE-SHEET-2021-leva'!E22/1000+IF(+Rounding!$C$6=$B22,+Rounding!E$6,0)+IF(+Rounding!$C$7=$B22,+Rounding!E$7,0)</f>
        <v>164.82585999999998</v>
      </c>
      <c r="F22" s="154"/>
      <c r="G22" s="663">
        <f>+'BALANCE-SHEET-2021-leva'!G22/1000+IF(+Rounding!$G$6=$B22,+Rounding!H$6,0)+IF(+Rounding!$G$7=$B22,+Rounding!H$7,0)</f>
        <v>0</v>
      </c>
      <c r="H22" s="664">
        <f>+'BALANCE-SHEET-2021-leva'!H22/1000+IF(+Rounding!$G$6=$B22,+Rounding!I$6,0)+IF(+Rounding!$G$7=$B22,+Rounding!I$7,0)</f>
        <v>6.968</v>
      </c>
      <c r="I22" s="154"/>
      <c r="J22" s="663">
        <f>+'BALANCE-SHEET-2021-leva'!J22/1000+IF(+Rounding!$K$6=$B22,+Rounding!L$6,0)+IF(+Rounding!$K$7=$B22,+Rounding!L$7,0)</f>
        <v>0</v>
      </c>
      <c r="K22" s="664">
        <f>+'BALANCE-SHEET-2021-leva'!K22/1000+IF(+Rounding!$K$6=$B22,+Rounding!M$6,0)+IF(+Rounding!$K$7=$B22,+Rounding!M$7,0)</f>
        <v>0</v>
      </c>
      <c r="L22" s="154"/>
      <c r="M22" s="663">
        <f>+D22+G22+J22+IF(+Rounding!$O$6=$B22,+Rounding!P$6,0)+IF(+Rounding!$O$7=$B22,+Rounding!P$7,0)</f>
        <v>154.90116</v>
      </c>
      <c r="N22" s="664">
        <f>+E22+H22+K22+IF(+Rounding!$O$6=$B22,+Rounding!Q$6,0)+IF(+Rounding!$O$7=$B22,+Rounding!Q$7,0)</f>
        <v>171.79385999999997</v>
      </c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5.75">
      <c r="A23" s="172" t="s">
        <v>158</v>
      </c>
      <c r="B23" s="173"/>
      <c r="C23" s="154"/>
      <c r="D23" s="255" t="str">
        <f>+IF(+OR(D24&lt;0,D25&lt;0),"НЕРАВНЕНИЕ !"," ")</f>
        <v xml:space="preserve"> </v>
      </c>
      <c r="E23" s="322" t="str">
        <f>+IF(+OR(E24&lt;0,E25&lt;0),"НЕРАВНЕНИЕ !"," ")</f>
        <v xml:space="preserve"> </v>
      </c>
      <c r="F23" s="154"/>
      <c r="G23" s="255" t="str">
        <f>+IF(+OR(G24&lt;0,G25&lt;0),"НЕРАВНЕНИЕ !"," ")</f>
        <v xml:space="preserve"> </v>
      </c>
      <c r="H23" s="322" t="str">
        <f>+IF(+OR(H24&lt;0,H25&lt;0),"НЕРАВНЕНИЕ !"," ")</f>
        <v xml:space="preserve"> </v>
      </c>
      <c r="I23" s="154"/>
      <c r="J23" s="255" t="str">
        <f>+IF(+OR(J24&lt;0,J25&lt;0),"НЕРАВНЕНИЕ !"," ")</f>
        <v xml:space="preserve"> </v>
      </c>
      <c r="K23" s="322" t="str">
        <f>+IF(+OR(K24&lt;0,K25&lt;0),"НЕРАВНЕНИЕ !"," ")</f>
        <v xml:space="preserve"> </v>
      </c>
      <c r="L23" s="154"/>
      <c r="M23" s="255" t="str">
        <f>+IF(+OR(M24&lt;0,M25&lt;0),"НЕРАВНЕНИЕ !"," ")</f>
        <v xml:space="preserve"> </v>
      </c>
      <c r="N23" s="322" t="str">
        <f>+IF(+OR(N24&lt;0,N25&lt;0),"НЕРАВНЕНИЕ !"," ")</f>
        <v xml:space="preserve"> </v>
      </c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5.75">
      <c r="A24" s="334" t="s">
        <v>364</v>
      </c>
      <c r="B24" s="335">
        <v>31</v>
      </c>
      <c r="C24" s="154"/>
      <c r="D24" s="659">
        <f>+'BALANCE-SHEET-2021-leva'!D24/1000+IF(+Rounding!$C$6=$B24,+Rounding!D$6,0)+IF(+Rounding!$C$7=$B24,+Rounding!D$7,0)</f>
        <v>371.41020000000003</v>
      </c>
      <c r="E24" s="660">
        <f>+'BALANCE-SHEET-2021-leva'!E24/1000+IF(+Rounding!$C$6=$B24,+Rounding!E$6,0)+IF(+Rounding!$C$7=$B24,+Rounding!E$7,0)</f>
        <v>346.22796</v>
      </c>
      <c r="F24" s="154"/>
      <c r="G24" s="659">
        <f>+'BALANCE-SHEET-2021-leva'!G24/1000+IF(+Rounding!$G$6=$B24,+Rounding!H$6,0)+IF(+Rounding!$G$7=$B24,+Rounding!H$7,0)</f>
        <v>134.59720999999999</v>
      </c>
      <c r="H24" s="660">
        <f>+'BALANCE-SHEET-2021-leva'!H24/1000+IF(+Rounding!$G$6=$B24,+Rounding!I$6,0)+IF(+Rounding!$G$7=$B24,+Rounding!I$7,0)</f>
        <v>126.80822000000001</v>
      </c>
      <c r="I24" s="154"/>
      <c r="J24" s="659">
        <f>+'BALANCE-SHEET-2021-leva'!J24/1000+IF(+Rounding!$K$6=$B24,+Rounding!L$6,0)+IF(+Rounding!$K$7=$B24,+Rounding!L$7,0)</f>
        <v>0</v>
      </c>
      <c r="K24" s="660">
        <f>+'BALANCE-SHEET-2021-leva'!K24/1000+IF(+Rounding!$K$6=$B24,+Rounding!M$6,0)+IF(+Rounding!$K$7=$B24,+Rounding!M$7,0)</f>
        <v>0</v>
      </c>
      <c r="L24" s="154"/>
      <c r="M24" s="659">
        <f>+D24+G24+J24+IF(+Rounding!$O$6=$B24,+Rounding!P$6,0)+IF(+Rounding!$O$7=$B24,+Rounding!P$7,0)</f>
        <v>506.00741000000005</v>
      </c>
      <c r="N24" s="660">
        <f>+E24+H24+K24+IF(+Rounding!$O$6=$B24,+Rounding!Q$6,0)+IF(+Rounding!$O$7=$B24,+Rounding!Q$7,0)</f>
        <v>473.03618</v>
      </c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5.75">
      <c r="A25" s="336" t="s">
        <v>163</v>
      </c>
      <c r="B25" s="337">
        <v>32</v>
      </c>
      <c r="C25" s="154"/>
      <c r="D25" s="661">
        <f>+'BALANCE-SHEET-2021-leva'!D25/1000+IF(+Rounding!$C$6=$B25,+Rounding!D$6,0)+IF(+Rounding!$C$7=$B25,+Rounding!D$7,0)</f>
        <v>0</v>
      </c>
      <c r="E25" s="662">
        <f>+'BALANCE-SHEET-2021-leva'!E25/1000+IF(+Rounding!$C$6=$B25,+Rounding!E$6,0)+IF(+Rounding!$C$7=$B25,+Rounding!E$7,0)</f>
        <v>0</v>
      </c>
      <c r="F25" s="154"/>
      <c r="G25" s="661">
        <f>+'BALANCE-SHEET-2021-leva'!G25/1000+IF(+Rounding!$G$6=$B25,+Rounding!H$6,0)+IF(+Rounding!$G$7=$B25,+Rounding!H$7,0)</f>
        <v>0</v>
      </c>
      <c r="H25" s="662">
        <f>+'BALANCE-SHEET-2021-leva'!H25/1000+IF(+Rounding!$G$6=$B25,+Rounding!I$6,0)+IF(+Rounding!$G$7=$B25,+Rounding!I$7,0)</f>
        <v>0</v>
      </c>
      <c r="I25" s="154"/>
      <c r="J25" s="661">
        <f>+'BALANCE-SHEET-2021-leva'!J25/1000+IF(+Rounding!$K$6=$B25,+Rounding!L$6,0)+IF(+Rounding!$K$7=$B25,+Rounding!L$7,0)</f>
        <v>0</v>
      </c>
      <c r="K25" s="662">
        <f>+'BALANCE-SHEET-2021-leva'!K25/1000+IF(+Rounding!$K$6=$B25,+Rounding!M$6,0)+IF(+Rounding!$K$7=$B25,+Rounding!M$7,0)</f>
        <v>0</v>
      </c>
      <c r="L25" s="154"/>
      <c r="M25" s="661">
        <f>+D25+G25+J25+IF(+Rounding!$O$6=$B25,+Rounding!P$6,0)+IF(+Rounding!$O$7=$B25,+Rounding!P$7,0)</f>
        <v>0</v>
      </c>
      <c r="N25" s="662">
        <f>+E25+H25+K25+IF(+Rounding!$O$6=$B25,+Rounding!Q$6,0)+IF(+Rounding!$O$7=$B25,+Rounding!Q$7,0)</f>
        <v>0</v>
      </c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5.75">
      <c r="A26" s="177" t="s">
        <v>1026</v>
      </c>
      <c r="B26" s="178">
        <v>30</v>
      </c>
      <c r="C26" s="154"/>
      <c r="D26" s="663">
        <f>+D24+D25</f>
        <v>371.41020000000003</v>
      </c>
      <c r="E26" s="664">
        <f>++E24+E25</f>
        <v>346.22796</v>
      </c>
      <c r="F26" s="154"/>
      <c r="G26" s="663">
        <f>+G24+G25</f>
        <v>134.59720999999999</v>
      </c>
      <c r="H26" s="664">
        <f>++H24+H25</f>
        <v>126.80822000000001</v>
      </c>
      <c r="I26" s="154"/>
      <c r="J26" s="663">
        <f>+J24+J25</f>
        <v>0</v>
      </c>
      <c r="K26" s="664">
        <f>++K24+K25</f>
        <v>0</v>
      </c>
      <c r="L26" s="154"/>
      <c r="M26" s="663">
        <f>+M24+M25</f>
        <v>506.00741000000005</v>
      </c>
      <c r="N26" s="664">
        <f>++N24+N25</f>
        <v>473.03618</v>
      </c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6" customHeight="1">
      <c r="A27" s="172"/>
      <c r="B27" s="173"/>
      <c r="C27" s="154"/>
      <c r="D27" s="665"/>
      <c r="E27" s="666"/>
      <c r="F27" s="154"/>
      <c r="G27" s="665"/>
      <c r="H27" s="666"/>
      <c r="I27" s="154"/>
      <c r="J27" s="665"/>
      <c r="K27" s="666"/>
      <c r="L27" s="154"/>
      <c r="M27" s="665"/>
      <c r="N27" s="666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9.5" thickBot="1">
      <c r="A28" s="679" t="s">
        <v>1030</v>
      </c>
      <c r="B28" s="680">
        <v>100</v>
      </c>
      <c r="C28" s="154"/>
      <c r="D28" s="677">
        <f>++D20+D22+D26</f>
        <v>12030.549519999999</v>
      </c>
      <c r="E28" s="678">
        <f>++E20+E22+E26</f>
        <v>12310.708040000001</v>
      </c>
      <c r="F28" s="154"/>
      <c r="G28" s="677">
        <f>++G20+G22+G26</f>
        <v>1925.6653299999998</v>
      </c>
      <c r="H28" s="678">
        <f>++H20+H22+H26</f>
        <v>1930.1103400000002</v>
      </c>
      <c r="I28" s="154"/>
      <c r="J28" s="677">
        <f>++J20+J22+J26</f>
        <v>57490.464720000004</v>
      </c>
      <c r="K28" s="678">
        <f>++K20+K22+K26</f>
        <v>58224.903569999995</v>
      </c>
      <c r="L28" s="154"/>
      <c r="M28" s="677">
        <f>++M20+M22+M26</f>
        <v>71446.679570000008</v>
      </c>
      <c r="N28" s="678">
        <f>++N20+N22+N26</f>
        <v>72465.721949999992</v>
      </c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5.75">
      <c r="A29" s="170" t="s">
        <v>164</v>
      </c>
      <c r="B29" s="171"/>
      <c r="C29" s="154"/>
      <c r="D29" s="616"/>
      <c r="E29" s="617"/>
      <c r="F29" s="154"/>
      <c r="G29" s="616"/>
      <c r="H29" s="617"/>
      <c r="I29" s="154"/>
      <c r="J29" s="616"/>
      <c r="K29" s="617"/>
      <c r="L29" s="154"/>
      <c r="M29" s="616"/>
      <c r="N29" s="617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5.75">
      <c r="A30" s="172" t="s">
        <v>165</v>
      </c>
      <c r="B30" s="173"/>
      <c r="C30" s="154"/>
      <c r="D30" s="255" t="str">
        <f>+IF(+OR(D31&lt;0,D32&lt;0,D33&lt;0),"НЕРАВНЕНИЕ !"," ")</f>
        <v xml:space="preserve"> </v>
      </c>
      <c r="E30" s="322" t="str">
        <f>+IF(+OR(E31&lt;0,E32&lt;0,E33&lt;0),"НЕРАВНЕНИЕ !"," ")</f>
        <v xml:space="preserve"> </v>
      </c>
      <c r="F30" s="154"/>
      <c r="G30" s="255" t="str">
        <f>+IF(+OR(G31&lt;0,G32&lt;0,G33&lt;0),"НЕРАВНЕНИЕ !"," ")</f>
        <v xml:space="preserve"> </v>
      </c>
      <c r="H30" s="322" t="str">
        <f>+IF(+OR(H31&lt;0,H32&lt;0,H33&lt;0),"НЕРАВНЕНИЕ !"," ")</f>
        <v xml:space="preserve"> </v>
      </c>
      <c r="I30" s="154"/>
      <c r="J30" s="255" t="str">
        <f>+IF(+OR(J31&lt;0,J32&lt;0,J33&lt;0),"НЕРАВНЕНИЕ !"," ")</f>
        <v xml:space="preserve"> </v>
      </c>
      <c r="K30" s="322" t="str">
        <f>+IF(+OR(K31&lt;0,K32&lt;0,K33&lt;0),"НЕРАВНЕНИЕ !"," ")</f>
        <v xml:space="preserve"> </v>
      </c>
      <c r="L30" s="154"/>
      <c r="M30" s="255" t="str">
        <f>+IF(+OR(M31&lt;0,M32&lt;0,M33&lt;0),"НЕРАВНЕНИЕ !"," ")</f>
        <v xml:space="preserve"> </v>
      </c>
      <c r="N30" s="322" t="str">
        <f>+IF(+OR(N31&lt;0,N32&lt;0,N33&lt;0),"НЕРАВНЕНИЕ !"," ")</f>
        <v xml:space="preserve"> </v>
      </c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5.75">
      <c r="A31" s="334" t="s">
        <v>166</v>
      </c>
      <c r="B31" s="335">
        <v>51</v>
      </c>
      <c r="C31" s="154"/>
      <c r="D31" s="659">
        <f>+'BALANCE-SHEET-2021-leva'!D31/1000+IF(+Rounding!$C$6=$B31,+Rounding!D$6,0)+IF(+Rounding!$C$7=$B31,+Rounding!D$7,0)</f>
        <v>963.77787000000001</v>
      </c>
      <c r="E31" s="660">
        <f>+'BALANCE-SHEET-2021-leva'!E31/1000+IF(+Rounding!$C$6=$B31,+Rounding!E$6,0)+IF(+Rounding!$C$7=$B31,+Rounding!E$7,0)</f>
        <v>964.91704000000004</v>
      </c>
      <c r="F31" s="154"/>
      <c r="G31" s="659">
        <f>+'BALANCE-SHEET-2021-leva'!G31/1000+IF(+Rounding!$G$6=$B31,+Rounding!H$6,0)+IF(+Rounding!$G$7=$B31,+Rounding!H$7,0)</f>
        <v>0</v>
      </c>
      <c r="H31" s="660">
        <f>+'BALANCE-SHEET-2021-leva'!H31/1000+IF(+Rounding!$G$6=$B31,+Rounding!I$6,0)+IF(+Rounding!$G$7=$B31,+Rounding!I$7,0)</f>
        <v>0</v>
      </c>
      <c r="I31" s="154"/>
      <c r="J31" s="659">
        <f>+'BALANCE-SHEET-2021-leva'!J31/1000+IF(+Rounding!$K$6=$B31,+Rounding!L$6,0)+IF(+Rounding!$K$7=$B31,+Rounding!L$7,0)</f>
        <v>0</v>
      </c>
      <c r="K31" s="660">
        <f>+'BALANCE-SHEET-2021-leva'!K31/1000+IF(+Rounding!$K$6=$B31,+Rounding!M$6,0)+IF(+Rounding!$K$7=$B31,+Rounding!M$7,0)</f>
        <v>0</v>
      </c>
      <c r="L31" s="154"/>
      <c r="M31" s="659">
        <f>+D31+G31+J31+IF(+Rounding!$O$6=$B31,+Rounding!P$6,0)+IF(+Rounding!$O$7=$B31,+Rounding!P$7,0)</f>
        <v>963.77787000000001</v>
      </c>
      <c r="N31" s="660">
        <f>+E31+H31+K31+IF(+Rounding!$O$6=$B31,+Rounding!Q$6,0)+IF(+Rounding!$O$7=$B31,+Rounding!Q$7,0)</f>
        <v>964.91704000000004</v>
      </c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5.75">
      <c r="A32" s="334" t="s">
        <v>167</v>
      </c>
      <c r="B32" s="335">
        <v>52</v>
      </c>
      <c r="C32" s="154"/>
      <c r="D32" s="659">
        <f>+'BALANCE-SHEET-2021-leva'!D32/1000+IF(+Rounding!$C$6=$B32,+Rounding!D$6,0)+IF(+Rounding!$C$7=$B32,+Rounding!D$7,0)</f>
        <v>0</v>
      </c>
      <c r="E32" s="660">
        <f>+'BALANCE-SHEET-2021-leva'!E32/1000+IF(+Rounding!$C$6=$B32,+Rounding!E$6,0)+IF(+Rounding!$C$7=$B32,+Rounding!E$7,0)</f>
        <v>0</v>
      </c>
      <c r="F32" s="154"/>
      <c r="G32" s="659">
        <f>+'BALANCE-SHEET-2021-leva'!G32/1000+IF(+Rounding!$G$6=$B32,+Rounding!H$6,0)+IF(+Rounding!$G$7=$B32,+Rounding!H$7,0)</f>
        <v>0</v>
      </c>
      <c r="H32" s="660">
        <f>+'BALANCE-SHEET-2021-leva'!H32/1000+IF(+Rounding!$G$6=$B32,+Rounding!I$6,0)+IF(+Rounding!$G$7=$B32,+Rounding!I$7,0)</f>
        <v>0</v>
      </c>
      <c r="I32" s="154"/>
      <c r="J32" s="659">
        <f>+'BALANCE-SHEET-2021-leva'!J32/1000+IF(+Rounding!$K$6=$B32,+Rounding!L$6,0)+IF(+Rounding!$K$7=$B32,+Rounding!L$7,0)</f>
        <v>0</v>
      </c>
      <c r="K32" s="660">
        <f>+'BALANCE-SHEET-2021-leva'!K32/1000+IF(+Rounding!$K$6=$B32,+Rounding!M$6,0)+IF(+Rounding!$K$7=$B32,+Rounding!M$7,0)</f>
        <v>0</v>
      </c>
      <c r="L32" s="154"/>
      <c r="M32" s="659">
        <f>+D32+G32+J32+IF(+Rounding!$O$6=$B32,+Rounding!P$6,0)+IF(+Rounding!$O$7=$B32,+Rounding!P$7,0)</f>
        <v>0</v>
      </c>
      <c r="N32" s="660">
        <f>+E32+H32+K32+IF(+Rounding!$O$6=$B32,+Rounding!Q$6,0)+IF(+Rounding!$O$7=$B32,+Rounding!Q$7,0)</f>
        <v>0</v>
      </c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5.75">
      <c r="A33" s="336" t="s">
        <v>168</v>
      </c>
      <c r="B33" s="337">
        <v>53</v>
      </c>
      <c r="C33" s="154"/>
      <c r="D33" s="661">
        <f>+'BALANCE-SHEET-2021-leva'!D33/1000+IF(+Rounding!$C$6=$B33,+Rounding!D$6,0)+IF(+Rounding!$C$7=$B33,+Rounding!D$7,0)</f>
        <v>0</v>
      </c>
      <c r="E33" s="662">
        <f>+'BALANCE-SHEET-2021-leva'!E33/1000+IF(+Rounding!$C$6=$B33,+Rounding!E$6,0)+IF(+Rounding!$C$7=$B33,+Rounding!E$7,0)</f>
        <v>0</v>
      </c>
      <c r="F33" s="154"/>
      <c r="G33" s="661">
        <f>+'BALANCE-SHEET-2021-leva'!G33/1000+IF(+Rounding!$G$6=$B33,+Rounding!H$6,0)+IF(+Rounding!$G$7=$B33,+Rounding!H$7,0)</f>
        <v>0</v>
      </c>
      <c r="H33" s="662">
        <f>+'BALANCE-SHEET-2021-leva'!H33/1000+IF(+Rounding!$G$6=$B33,+Rounding!I$6,0)+IF(+Rounding!$G$7=$B33,+Rounding!I$7,0)</f>
        <v>0</v>
      </c>
      <c r="I33" s="154"/>
      <c r="J33" s="661">
        <f>+'BALANCE-SHEET-2021-leva'!J33/1000+IF(+Rounding!$K$6=$B33,+Rounding!L$6,0)+IF(+Rounding!$K$7=$B33,+Rounding!L$7,0)</f>
        <v>0</v>
      </c>
      <c r="K33" s="662">
        <f>+'BALANCE-SHEET-2021-leva'!K33/1000+IF(+Rounding!$K$6=$B33,+Rounding!M$6,0)+IF(+Rounding!$K$7=$B33,+Rounding!M$7,0)</f>
        <v>0</v>
      </c>
      <c r="L33" s="154"/>
      <c r="M33" s="661">
        <f>+D33+G33+J33+IF(+Rounding!$O$6=$B33,+Rounding!P$6,0)+IF(+Rounding!$O$7=$B33,+Rounding!P$7,0)</f>
        <v>0</v>
      </c>
      <c r="N33" s="662">
        <f>+E33+H33+K33+IF(+Rounding!$O$6=$B33,+Rounding!Q$6,0)+IF(+Rounding!$O$7=$B33,+Rounding!Q$7,0)</f>
        <v>0</v>
      </c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5.75">
      <c r="A34" s="177" t="s">
        <v>1025</v>
      </c>
      <c r="B34" s="178">
        <v>50</v>
      </c>
      <c r="C34" s="154"/>
      <c r="D34" s="663">
        <f>+D31+D32+D33</f>
        <v>963.77787000000001</v>
      </c>
      <c r="E34" s="664">
        <f>+E31+E32+E33</f>
        <v>964.91704000000004</v>
      </c>
      <c r="F34" s="154"/>
      <c r="G34" s="663">
        <f>+G31+G32+G33</f>
        <v>0</v>
      </c>
      <c r="H34" s="664">
        <f>+H31+H32+H33</f>
        <v>0</v>
      </c>
      <c r="I34" s="154"/>
      <c r="J34" s="663">
        <f>+J31+J32+J33</f>
        <v>0</v>
      </c>
      <c r="K34" s="664">
        <f>+K31+K32+K33</f>
        <v>0</v>
      </c>
      <c r="L34" s="154"/>
      <c r="M34" s="663">
        <f>+M31+M32+M33</f>
        <v>963.77787000000001</v>
      </c>
      <c r="N34" s="664">
        <f>+N31+N32+N33</f>
        <v>964.91704000000004</v>
      </c>
      <c r="O34" s="303"/>
      <c r="P34" s="1883"/>
      <c r="Q34" s="1903" t="s">
        <v>1880</v>
      </c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5.75">
      <c r="A35" s="172" t="s">
        <v>169</v>
      </c>
      <c r="B35" s="173"/>
      <c r="C35" s="154"/>
      <c r="D35" s="255" t="str">
        <f>+IF(+OR(D36&lt;0,D37&lt;0),"НЕРАВНЕНИЕ !"," ")</f>
        <v xml:space="preserve"> </v>
      </c>
      <c r="E35" s="322" t="str">
        <f>+IF(+OR(E36&lt;0,E37&lt;0),"НЕРАВНЕНИЕ !"," ")</f>
        <v xml:space="preserve"> </v>
      </c>
      <c r="F35" s="154"/>
      <c r="G35" s="255" t="str">
        <f>+IF(+OR(G36&lt;0,G37&lt;0),"НЕРАВНЕНИЕ !"," ")</f>
        <v xml:space="preserve"> </v>
      </c>
      <c r="H35" s="322" t="str">
        <f>+IF(+OR(H36&lt;0,H37&lt;0),"НЕРАВНЕНИЕ !"," ")</f>
        <v xml:space="preserve"> </v>
      </c>
      <c r="I35" s="154"/>
      <c r="J35" s="255" t="str">
        <f>+IF(+OR(J36&lt;0,J37&lt;0),"НЕРАВНЕНИЕ !"," ")</f>
        <v xml:space="preserve"> </v>
      </c>
      <c r="K35" s="322" t="str">
        <f>+IF(+OR(K36&lt;0,K37&lt;0),"НЕРАВНЕНИЕ !"," ")</f>
        <v xml:space="preserve"> </v>
      </c>
      <c r="L35" s="154"/>
      <c r="M35" s="255" t="str">
        <f>+IF(+OR(M36&lt;0,M37&lt;0),"НЕРАВНЕНИЕ !"," ")</f>
        <v xml:space="preserve"> </v>
      </c>
      <c r="N35" s="322" t="str">
        <f>+IF(+OR(N36&lt;0,N37&lt;0),"НЕРАВНЕНИЕ !"," ")</f>
        <v xml:space="preserve"> </v>
      </c>
      <c r="O35" s="303"/>
      <c r="P35" s="1377" t="s">
        <v>1876</v>
      </c>
      <c r="Q35" s="1904" t="str">
        <f>+'BALANCE-SHEET-2021-leva'!Q35</f>
        <v xml:space="preserve">'Intra-Balances' </v>
      </c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5.75">
      <c r="A36" s="334" t="s">
        <v>170</v>
      </c>
      <c r="B36" s="335">
        <v>61</v>
      </c>
      <c r="C36" s="154"/>
      <c r="D36" s="659">
        <f>+'BALANCE-SHEET-2021-leva'!D36/1000+IF(+Rounding!$C$6=$B36,+Rounding!D$6,0)+IF(+Rounding!$C$7=$B36,+Rounding!D$7,0)</f>
        <v>0</v>
      </c>
      <c r="E36" s="660">
        <f>+'BALANCE-SHEET-2021-leva'!E36/1000+IF(+Rounding!$C$6=$B36,+Rounding!E$6,0)+IF(+Rounding!$C$7=$B36,+Rounding!E$7,0)</f>
        <v>0</v>
      </c>
      <c r="F36" s="154"/>
      <c r="G36" s="659">
        <f>+'BALANCE-SHEET-2021-leva'!G36/1000+IF(+Rounding!$G$6=$B36,+Rounding!H$6,0)+IF(+Rounding!$G$7=$B36,+Rounding!H$7,0)</f>
        <v>0</v>
      </c>
      <c r="H36" s="660">
        <f>+'BALANCE-SHEET-2021-leva'!H36/1000+IF(+Rounding!$G$6=$B36,+Rounding!I$6,0)+IF(+Rounding!$G$7=$B36,+Rounding!I$7,0)</f>
        <v>0</v>
      </c>
      <c r="I36" s="154"/>
      <c r="J36" s="659">
        <f>+'BALANCE-SHEET-2021-leva'!J36/1000+IF(+Rounding!$K$6=$B36,+Rounding!L$6,0)+IF(+Rounding!$K$7=$B36,+Rounding!L$7,0)</f>
        <v>0</v>
      </c>
      <c r="K36" s="660">
        <f>+'BALANCE-SHEET-2021-leva'!K36/1000+IF(+Rounding!$K$6=$B36,+Rounding!M$6,0)+IF(+Rounding!$K$7=$B36,+Rounding!M$7,0)</f>
        <v>0</v>
      </c>
      <c r="L36" s="154"/>
      <c r="M36" s="659">
        <f>+D36+G36+J36+IF(+Rounding!$O$6=$B36,+Rounding!P$6,0)+IF(+Rounding!$O$7=$B36,+Rounding!P$7,0)</f>
        <v>0</v>
      </c>
      <c r="N36" s="660">
        <f>+E36+H36+K36+IF(+Rounding!$O$6=$B36,+Rounding!Q$6,0)+IF(+Rounding!$O$7=$B36,+Rounding!Q$7,0)</f>
        <v>0</v>
      </c>
      <c r="O36" s="303"/>
      <c r="P36" s="1378" t="s">
        <v>1877</v>
      </c>
      <c r="Q36" s="1905" t="str">
        <f>+'BALANCE-SHEET-2021-leva'!Q36</f>
        <v>'Municipal-Bal'</v>
      </c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5.75">
      <c r="A37" s="336" t="s">
        <v>171</v>
      </c>
      <c r="B37" s="337">
        <v>62</v>
      </c>
      <c r="C37" s="154"/>
      <c r="D37" s="661">
        <f>+'BALANCE-SHEET-2021-leva'!D37/1000+IF(+Rounding!$C$6=$B37,+Rounding!D$6,0)+IF(+Rounding!$C$7=$B37,+Rounding!D$7,0)</f>
        <v>0</v>
      </c>
      <c r="E37" s="662">
        <f>+'BALANCE-SHEET-2021-leva'!E37/1000+IF(+Rounding!$C$6=$B37,+Rounding!E$6,0)+IF(+Rounding!$C$7=$B37,+Rounding!E$7,0)</f>
        <v>20</v>
      </c>
      <c r="F37" s="154"/>
      <c r="G37" s="661">
        <f>+'BALANCE-SHEET-2021-leva'!G37/1000+IF(+Rounding!$G$6=$B37,+Rounding!H$6,0)+IF(+Rounding!$G$7=$B37,+Rounding!H$7,0)</f>
        <v>0</v>
      </c>
      <c r="H37" s="662">
        <f>+'BALANCE-SHEET-2021-leva'!H37/1000+IF(+Rounding!$G$6=$B37,+Rounding!I$6,0)+IF(+Rounding!$G$7=$B37,+Rounding!I$7,0)</f>
        <v>0</v>
      </c>
      <c r="I37" s="154"/>
      <c r="J37" s="661">
        <f>+'BALANCE-SHEET-2021-leva'!J37/1000+IF(+Rounding!$K$6=$B37,+Rounding!L$6,0)+IF(+Rounding!$K$7=$B37,+Rounding!L$7,0)</f>
        <v>0</v>
      </c>
      <c r="K37" s="662">
        <f>+'BALANCE-SHEET-2021-leva'!K37/1000+IF(+Rounding!$K$6=$B37,+Rounding!M$6,0)+IF(+Rounding!$K$7=$B37,+Rounding!M$7,0)</f>
        <v>0</v>
      </c>
      <c r="L37" s="154"/>
      <c r="M37" s="661">
        <f>+D37+G37+J37+IF(+Rounding!$O$6=$B37,+Rounding!P$6,0)+IF(+Rounding!$O$7=$B37,+Rounding!P$7,0)</f>
        <v>0</v>
      </c>
      <c r="N37" s="662">
        <f>+E37+H37+K37+IF(+Rounding!$O$6=$B37,+Rounding!Q$6,0)+IF(+Rounding!$O$7=$B37,+Rounding!Q$7,0)</f>
        <v>20</v>
      </c>
      <c r="O37" s="303"/>
      <c r="P37" s="1240" t="s">
        <v>1252</v>
      </c>
      <c r="Q37" s="1241" t="s">
        <v>1253</v>
      </c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5.75">
      <c r="A38" s="177" t="s">
        <v>1024</v>
      </c>
      <c r="B38" s="178">
        <v>60</v>
      </c>
      <c r="C38" s="154"/>
      <c r="D38" s="663">
        <f>+D36+D37</f>
        <v>0</v>
      </c>
      <c r="E38" s="664">
        <f>+E36+E37</f>
        <v>20</v>
      </c>
      <c r="F38" s="154"/>
      <c r="G38" s="663">
        <f>+G36+G37</f>
        <v>0</v>
      </c>
      <c r="H38" s="664">
        <f>+H36+H37</f>
        <v>0</v>
      </c>
      <c r="I38" s="154"/>
      <c r="J38" s="663">
        <f>+J36+J37</f>
        <v>0</v>
      </c>
      <c r="K38" s="664">
        <f>+K36+K37</f>
        <v>0</v>
      </c>
      <c r="L38" s="154"/>
      <c r="M38" s="663">
        <f>+M36+M37</f>
        <v>0</v>
      </c>
      <c r="N38" s="664">
        <f>+N36+N37</f>
        <v>20</v>
      </c>
      <c r="O38" s="303"/>
      <c r="P38" s="1242" t="s">
        <v>1195</v>
      </c>
      <c r="Q38" s="1243" t="s">
        <v>1964</v>
      </c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5.75">
      <c r="A39" s="172" t="s">
        <v>172</v>
      </c>
      <c r="B39" s="173"/>
      <c r="C39" s="154"/>
      <c r="D39" s="255" t="str">
        <f>+IF(+OR(D40&lt;0,D41&lt;0,D42&lt;0,D43&lt;0,D44&lt;0,D45&lt;0),"НЕРАВНЕНИЕ !"," ")</f>
        <v xml:space="preserve"> </v>
      </c>
      <c r="E39" s="322" t="str">
        <f>+IF(+OR(E40&lt;0,E41&lt;0,E42&lt;0,E43&lt;0,E44&lt;0,E45&lt;0),"НЕРАВНЕНИЕ !"," ")</f>
        <v xml:space="preserve"> </v>
      </c>
      <c r="F39" s="154"/>
      <c r="G39" s="255" t="str">
        <f>+IF(+OR(G40&lt;0,G41&lt;0,G42&lt;0,G43&lt;0,G44&lt;0,G45&lt;0),"НЕРАВНЕНИЕ !"," ")</f>
        <v xml:space="preserve"> </v>
      </c>
      <c r="H39" s="322" t="str">
        <f>+IF(+OR(H40&lt;0,H41&lt;0,H42&lt;0,H43&lt;0,H44&lt;0,H45&lt;0),"НЕРАВНЕНИЕ !"," ")</f>
        <v xml:space="preserve"> </v>
      </c>
      <c r="I39" s="154"/>
      <c r="J39" s="255" t="str">
        <f>+IF(+OR(J40&lt;0,J41&lt;0,J42&lt;0,J43&lt;0,J44&lt;0,J45&lt;0),"НЕРАВНЕНИЕ !"," ")</f>
        <v xml:space="preserve"> </v>
      </c>
      <c r="K39" s="322" t="str">
        <f>+IF(+OR(K40&lt;0,K41&lt;0,K42&lt;0,K43&lt;0,K44&lt;0,K45&lt;0),"НЕРАВНЕНИЕ !"," ")</f>
        <v xml:space="preserve"> </v>
      </c>
      <c r="L39" s="154"/>
      <c r="M39" s="255" t="str">
        <f>+IF(+OR(M40&lt;0,M41&lt;0,M42&lt;0,M43&lt;0,M44&lt;0,M45&lt;0),"НЕРАВНЕНИЕ !"," ")</f>
        <v xml:space="preserve"> </v>
      </c>
      <c r="N39" s="322" t="str">
        <f>+IF(+OR(N40&lt;0,N41&lt;0,N42&lt;0,N43&lt;0,N44&lt;0,N45&lt;0),"НЕРАВНЕНИЕ !"," ")</f>
        <v xml:space="preserve"> </v>
      </c>
      <c r="O39" s="303"/>
      <c r="P39" s="1441"/>
      <c r="Q39" s="1441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5.75">
      <c r="A40" s="175" t="s">
        <v>1983</v>
      </c>
      <c r="B40" s="176">
        <v>71</v>
      </c>
      <c r="C40" s="154"/>
      <c r="D40" s="659">
        <f>+'BALANCE-SHEET-2021-leva'!D40/1000+IF(+Rounding!$C$6=$B40,+Rounding!D$6,0)+IF(+Rounding!$C$7=$B40,+Rounding!D$7,0)</f>
        <v>0</v>
      </c>
      <c r="E40" s="660">
        <f>+'BALANCE-SHEET-2021-leva'!E40/1000+IF(+Rounding!$C$6=$B40,+Rounding!E$6,0)+IF(+Rounding!$C$7=$B40,+Rounding!E$7,0)</f>
        <v>0</v>
      </c>
      <c r="F40" s="154"/>
      <c r="G40" s="659">
        <f>+'BALANCE-SHEET-2021-leva'!G40/1000+IF(+Rounding!$G$6=$B40,+Rounding!H$6,0)+IF(+Rounding!$G$7=$B40,+Rounding!H$7,0)</f>
        <v>0</v>
      </c>
      <c r="H40" s="660">
        <f>+'BALANCE-SHEET-2021-leva'!H40/1000+IF(+Rounding!$G$6=$B40,+Rounding!I$6,0)+IF(+Rounding!$G$7=$B40,+Rounding!I$7,0)</f>
        <v>0</v>
      </c>
      <c r="I40" s="154"/>
      <c r="J40" s="659">
        <f>+'BALANCE-SHEET-2021-leva'!J40/1000+IF(+Rounding!$K$6=$B40,+Rounding!L$6,0)+IF(+Rounding!$K$7=$B40,+Rounding!L$7,0)</f>
        <v>0</v>
      </c>
      <c r="K40" s="660">
        <f>+'BALANCE-SHEET-2021-leva'!K40/1000+IF(+Rounding!$K$6=$B40,+Rounding!M$6,0)+IF(+Rounding!$K$7=$B40,+Rounding!M$7,0)</f>
        <v>0</v>
      </c>
      <c r="L40" s="154"/>
      <c r="M40" s="659">
        <f>+D40+G40+J40+IF(+Rounding!$O$6=$B40,+Rounding!P$6,0)+IF(+Rounding!$O$7=$B40,+Rounding!P$7,0)-P40</f>
        <v>0</v>
      </c>
      <c r="N40" s="660">
        <f>+E40+H40+K40+IF(+Rounding!$O$6=$B40,+Rounding!Q$6,0)+IF(+Rounding!$O$7=$B40,+Rounding!Q$7,0)-Q40</f>
        <v>0</v>
      </c>
      <c r="O40" s="303"/>
      <c r="P40" s="1446">
        <f>+'BALANCE-SHEET-2021-leva'!P40/1000</f>
        <v>0</v>
      </c>
      <c r="Q40" s="1447">
        <f>+'BALANCE-SHEET-2021-leva'!Q40/1000</f>
        <v>0</v>
      </c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5.75">
      <c r="A41" s="175" t="s">
        <v>173</v>
      </c>
      <c r="B41" s="176">
        <v>72</v>
      </c>
      <c r="C41" s="154"/>
      <c r="D41" s="659">
        <f>+'BALANCE-SHEET-2021-leva'!D41/1000+IF(+Rounding!$C$6=$B41,+Rounding!D$6,0)+IF(+Rounding!$C$7=$B41,+Rounding!D$7,0)</f>
        <v>469.11446999999998</v>
      </c>
      <c r="E41" s="660">
        <f>+'BALANCE-SHEET-2021-leva'!E41/1000+IF(+Rounding!$C$6=$B41,+Rounding!E$6,0)+IF(+Rounding!$C$7=$B41,+Rounding!E$7,0)</f>
        <v>510.06921999999997</v>
      </c>
      <c r="F41" s="154"/>
      <c r="G41" s="659">
        <f>+'BALANCE-SHEET-2021-leva'!G41/1000+IF(+Rounding!$G$6=$B41,+Rounding!H$6,0)+IF(+Rounding!$G$7=$B41,+Rounding!H$7,0)</f>
        <v>0</v>
      </c>
      <c r="H41" s="660">
        <f>+'BALANCE-SHEET-2021-leva'!H41/1000+IF(+Rounding!$G$6=$B41,+Rounding!I$6,0)+IF(+Rounding!$G$7=$B41,+Rounding!I$7,0)</f>
        <v>0</v>
      </c>
      <c r="I41" s="154"/>
      <c r="J41" s="659">
        <f>+'BALANCE-SHEET-2021-leva'!J41/1000+IF(+Rounding!$K$6=$B41,+Rounding!L$6,0)+IF(+Rounding!$K$7=$B41,+Rounding!L$7,0)</f>
        <v>0</v>
      </c>
      <c r="K41" s="660">
        <f>+'BALANCE-SHEET-2021-leva'!K41/1000+IF(+Rounding!$K$6=$B41,+Rounding!M$6,0)+IF(+Rounding!$K$7=$B41,+Rounding!M$7,0)</f>
        <v>0</v>
      </c>
      <c r="L41" s="154"/>
      <c r="M41" s="659">
        <f>+D41+G41+J41+IF(+Rounding!$O$6=$B41,+Rounding!P$6,0)+IF(+Rounding!$O$7=$B41,+Rounding!P$7,0)</f>
        <v>469.11446999999998</v>
      </c>
      <c r="N41" s="660">
        <f>+E41+H41+K41+IF(+Rounding!$O$6=$B41,+Rounding!Q$6,0)+IF(+Rounding!$O$7=$B41,+Rounding!Q$7,0)</f>
        <v>510.06921999999997</v>
      </c>
      <c r="O41" s="303"/>
      <c r="P41" s="1438"/>
      <c r="Q41" s="1438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5.75">
      <c r="A42" s="175" t="s">
        <v>408</v>
      </c>
      <c r="B42" s="176">
        <v>73</v>
      </c>
      <c r="C42" s="154"/>
      <c r="D42" s="659">
        <f>+'BALANCE-SHEET-2021-leva'!D42/1000+IF(+Rounding!$C$6=$B42,+Rounding!D$6,0)+IF(+Rounding!$C$7=$B42,+Rounding!D$7,0)</f>
        <v>152.65319</v>
      </c>
      <c r="E42" s="660">
        <f>+'BALANCE-SHEET-2021-leva'!E42/1000+IF(+Rounding!$C$6=$B42,+Rounding!E$6,0)+IF(+Rounding!$C$7=$B42,+Rounding!E$7,0)</f>
        <v>31.513390000000001</v>
      </c>
      <c r="F42" s="154"/>
      <c r="G42" s="659">
        <f>+'BALANCE-SHEET-2021-leva'!G42/1000+IF(+Rounding!$G$6=$B42,+Rounding!H$6,0)+IF(+Rounding!$G$7=$B42,+Rounding!H$7,0)</f>
        <v>22.2273</v>
      </c>
      <c r="H42" s="660">
        <f>+'BALANCE-SHEET-2021-leva'!H42/1000+IF(+Rounding!$G$6=$B42,+Rounding!I$6,0)+IF(+Rounding!$G$7=$B42,+Rounding!I$7,0)</f>
        <v>477.04480999999998</v>
      </c>
      <c r="I42" s="154"/>
      <c r="J42" s="659">
        <f>+'BALANCE-SHEET-2021-leva'!J42/1000+IF(+Rounding!$K$6=$B42,+Rounding!L$6,0)+IF(+Rounding!$K$7=$B42,+Rounding!L$7,0)</f>
        <v>0</v>
      </c>
      <c r="K42" s="660">
        <f>+'BALANCE-SHEET-2021-leva'!K42/1000+IF(+Rounding!$K$6=$B42,+Rounding!M$6,0)+IF(+Rounding!$K$7=$B42,+Rounding!M$7,0)</f>
        <v>0</v>
      </c>
      <c r="L42" s="154"/>
      <c r="M42" s="659">
        <f>+D42+G42+J42+IF(+Rounding!$O$6=$B42,+Rounding!P$6,0)+IF(+Rounding!$O$7=$B42,+Rounding!P$7,0)</f>
        <v>174.88049000000001</v>
      </c>
      <c r="N42" s="660">
        <f>+E42+H42+K42+IF(+Rounding!$O$6=$B42,+Rounding!Q$6,0)+IF(+Rounding!$O$7=$B42,+Rounding!Q$7,0)</f>
        <v>508.5582</v>
      </c>
      <c r="O42" s="303"/>
      <c r="P42" s="1438"/>
      <c r="Q42" s="1438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5.75">
      <c r="A43" s="175" t="s">
        <v>409</v>
      </c>
      <c r="B43" s="176">
        <v>74</v>
      </c>
      <c r="C43" s="154"/>
      <c r="D43" s="659">
        <f>+'BALANCE-SHEET-2021-leva'!D43/1000+IF(+Rounding!$C$6=$B43,+Rounding!D$6,0)+IF(+Rounding!$C$7=$B43,+Rounding!D$7,0)</f>
        <v>2.0209999999999999</v>
      </c>
      <c r="E43" s="660">
        <f>+'BALANCE-SHEET-2021-leva'!E43/1000+IF(+Rounding!$C$6=$B43,+Rounding!E$6,0)+IF(+Rounding!$C$7=$B43,+Rounding!E$7,0)</f>
        <v>2.0209999999999999</v>
      </c>
      <c r="F43" s="154"/>
      <c r="G43" s="659">
        <f>+'BALANCE-SHEET-2021-leva'!G43/1000+IF(+Rounding!$G$6=$B43,+Rounding!H$6,0)+IF(+Rounding!$G$7=$B43,+Rounding!H$7,0)</f>
        <v>0</v>
      </c>
      <c r="H43" s="660">
        <f>+'BALANCE-SHEET-2021-leva'!H43/1000+IF(+Rounding!$G$6=$B43,+Rounding!I$6,0)+IF(+Rounding!$G$7=$B43,+Rounding!I$7,0)</f>
        <v>0</v>
      </c>
      <c r="I43" s="154"/>
      <c r="J43" s="659">
        <f>+'BALANCE-SHEET-2021-leva'!J43/1000+IF(+Rounding!$K$6=$B43,+Rounding!L$6,0)+IF(+Rounding!$K$7=$B43,+Rounding!L$7,0)</f>
        <v>0</v>
      </c>
      <c r="K43" s="660">
        <f>+'BALANCE-SHEET-2021-leva'!K43/1000+IF(+Rounding!$K$6=$B43,+Rounding!M$6,0)+IF(+Rounding!$K$7=$B43,+Rounding!M$7,0)</f>
        <v>0</v>
      </c>
      <c r="L43" s="154"/>
      <c r="M43" s="659">
        <f>+D43+G43+J43+IF(+Rounding!$O$6=$B43,+Rounding!P$6,0)+IF(+Rounding!$O$7=$B43,+Rounding!P$7,0)</f>
        <v>2.0209999999999999</v>
      </c>
      <c r="N43" s="660">
        <f>+E43+H43+K43+IF(+Rounding!$O$6=$B43,+Rounding!Q$6,0)+IF(+Rounding!$O$7=$B43,+Rounding!Q$7,0)</f>
        <v>2.0209999999999999</v>
      </c>
      <c r="O43" s="303"/>
      <c r="P43" s="1438"/>
      <c r="Q43" s="1438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5.75">
      <c r="A44" s="687" t="s">
        <v>1049</v>
      </c>
      <c r="B44" s="176">
        <v>75</v>
      </c>
      <c r="C44" s="154"/>
      <c r="D44" s="659">
        <f>+'BALANCE-SHEET-2021-leva'!D44/1000+IF(+Rounding!$C$6=$B44,+Rounding!D$6,0)+IF(+Rounding!$C$7=$B44,+Rounding!D$7,0)</f>
        <v>384.08524999999997</v>
      </c>
      <c r="E44" s="660">
        <f>+'BALANCE-SHEET-2021-leva'!E44/1000+IF(+Rounding!$C$6=$B44,+Rounding!E$6,0)+IF(+Rounding!$C$7=$B44,+Rounding!E$7,0)</f>
        <v>76.497420000000005</v>
      </c>
      <c r="F44" s="154"/>
      <c r="G44" s="659">
        <f>+'BALANCE-SHEET-2021-leva'!G44/1000+IF(+Rounding!$G$6=$B44,+Rounding!H$6,0)+IF(+Rounding!$G$7=$B44,+Rounding!H$7,0)</f>
        <v>0</v>
      </c>
      <c r="H44" s="660">
        <f>+'BALANCE-SHEET-2021-leva'!H44/1000+IF(+Rounding!$G$6=$B44,+Rounding!I$6,0)+IF(+Rounding!$G$7=$B44,+Rounding!I$7,0)</f>
        <v>0</v>
      </c>
      <c r="I44" s="154"/>
      <c r="J44" s="659">
        <f>+'BALANCE-SHEET-2021-leva'!J44/1000+IF(+Rounding!$K$6=$B44,+Rounding!L$6,0)+IF(+Rounding!$K$7=$B44,+Rounding!L$7,0)</f>
        <v>230</v>
      </c>
      <c r="K44" s="660">
        <f>+'BALANCE-SHEET-2021-leva'!K44/1000+IF(+Rounding!$K$6=$B44,+Rounding!M$6,0)+IF(+Rounding!$K$7=$B44,+Rounding!M$7,0)</f>
        <v>20</v>
      </c>
      <c r="L44" s="154"/>
      <c r="M44" s="659">
        <f>+D44+G44+J44+IF(+Rounding!$O$6=$B44,+Rounding!P$6,0)+IF(+Rounding!$O$7=$B44,+Rounding!P$7,0)-P44</f>
        <v>614.08524999999997</v>
      </c>
      <c r="N44" s="660">
        <f>+E44+H44+K44+IF(+Rounding!$O$6=$B44,+Rounding!Q$6,0)+IF(+Rounding!$O$7=$B44,+Rounding!Q$7,0)-Q44</f>
        <v>96.497420000000005</v>
      </c>
      <c r="O44" s="303"/>
      <c r="P44" s="1446">
        <f>+'BALANCE-SHEET-2021-leva'!P44/1000</f>
        <v>0</v>
      </c>
      <c r="Q44" s="1447">
        <f>+'BALANCE-SHEET-2021-leva'!Q44/1000</f>
        <v>0</v>
      </c>
      <c r="R44" s="303"/>
      <c r="S44" s="303"/>
      <c r="T44" s="303"/>
      <c r="U44" s="303"/>
      <c r="V44" s="303"/>
      <c r="W44" s="303"/>
      <c r="X44" s="303"/>
      <c r="Y44" s="303"/>
      <c r="Z44" s="303"/>
    </row>
    <row r="45" spans="1:26" ht="15.75">
      <c r="A45" s="175" t="s">
        <v>411</v>
      </c>
      <c r="B45" s="176">
        <v>76</v>
      </c>
      <c r="C45" s="154"/>
      <c r="D45" s="661">
        <f>+'BALANCE-SHEET-2021-leva'!D45/1000+IF(+Rounding!$C$6=$B45,+Rounding!D$6,0)+IF(+Rounding!$C$7=$B45,+Rounding!D$7,0)</f>
        <v>71.39885000000001</v>
      </c>
      <c r="E45" s="662">
        <f>+'BALANCE-SHEET-2021-leva'!E45/1000+IF(+Rounding!$C$6=$B45,+Rounding!E$6,0)+IF(+Rounding!$C$7=$B45,+Rounding!E$7,0)</f>
        <v>90.849279999999993</v>
      </c>
      <c r="F45" s="154"/>
      <c r="G45" s="661">
        <f>+'BALANCE-SHEET-2021-leva'!G45/1000+IF(+Rounding!$G$6=$B45,+Rounding!H$6,0)+IF(+Rounding!$G$7=$B45,+Rounding!H$7,0)</f>
        <v>31.706589999999998</v>
      </c>
      <c r="H45" s="662">
        <f>+'BALANCE-SHEET-2021-leva'!H45/1000+IF(+Rounding!$G$6=$B45,+Rounding!I$6,0)+IF(+Rounding!$G$7=$B45,+Rounding!I$7,0)</f>
        <v>155.82414</v>
      </c>
      <c r="I45" s="154"/>
      <c r="J45" s="661">
        <f>+'BALANCE-SHEET-2021-leva'!J45/1000+IF(+Rounding!$K$6=$B45,+Rounding!L$6,0)+IF(+Rounding!$K$7=$B45,+Rounding!L$7,0)</f>
        <v>0</v>
      </c>
      <c r="K45" s="662">
        <f>+'BALANCE-SHEET-2021-leva'!K45/1000+IF(+Rounding!$K$6=$B45,+Rounding!M$6,0)+IF(+Rounding!$K$7=$B45,+Rounding!M$7,0)</f>
        <v>0</v>
      </c>
      <c r="L45" s="154"/>
      <c r="M45" s="661">
        <f>+D45+G45+J45+IF(+Rounding!$O$6=$B45,+Rounding!P$6,0)+IF(+Rounding!$O$7=$B45,+Rounding!P$7,0)-P45</f>
        <v>103.10544000000002</v>
      </c>
      <c r="N45" s="662">
        <f>+E45+H45+K45+IF(+Rounding!$O$6=$B45,+Rounding!Q$6,0)+IF(+Rounding!$O$7=$B45,+Rounding!Q$7,0)-Q45</f>
        <v>246.67341999999999</v>
      </c>
      <c r="O45" s="303"/>
      <c r="P45" s="1221">
        <f>+'BALANCE-SHEET-2021-leva'!P45/1000</f>
        <v>0</v>
      </c>
      <c r="Q45" s="1222">
        <f>+'BALANCE-SHEET-2021-leva'!Q45/1000</f>
        <v>0</v>
      </c>
      <c r="R45" s="303"/>
      <c r="S45" s="303"/>
      <c r="T45" s="303"/>
      <c r="U45" s="303"/>
      <c r="V45" s="303"/>
      <c r="W45" s="303"/>
      <c r="X45" s="303"/>
      <c r="Y45" s="303"/>
      <c r="Z45" s="303"/>
    </row>
    <row r="46" spans="1:26" ht="15.75">
      <c r="A46" s="177" t="s">
        <v>1026</v>
      </c>
      <c r="B46" s="178">
        <v>70</v>
      </c>
      <c r="C46" s="154"/>
      <c r="D46" s="663">
        <f>+D40+D41+D42+D43+D44+D45</f>
        <v>1079.2727599999998</v>
      </c>
      <c r="E46" s="664">
        <f>+E40+E41+E42+E43+E44+E45</f>
        <v>710.95030999999994</v>
      </c>
      <c r="F46" s="154"/>
      <c r="G46" s="663">
        <f>+G40+G41+G42+G43+G44+G45</f>
        <v>53.933889999999998</v>
      </c>
      <c r="H46" s="664">
        <f>+H40+H41+H42+H43+H44+H45</f>
        <v>632.86895000000004</v>
      </c>
      <c r="I46" s="154"/>
      <c r="J46" s="663">
        <f>+J40+J41+J42+J43+J44+J45</f>
        <v>230</v>
      </c>
      <c r="K46" s="664">
        <f>+K40+K41+K42+K43+K44+K45</f>
        <v>20</v>
      </c>
      <c r="L46" s="154"/>
      <c r="M46" s="663">
        <f>+M40+M41+M42+M43+M44+M45</f>
        <v>1363.2066499999999</v>
      </c>
      <c r="N46" s="664">
        <f>+N40+N41+N42+N43+N44+N45</f>
        <v>1363.81926</v>
      </c>
      <c r="O46" s="303"/>
      <c r="P46" s="1223">
        <f>+SUM(P39:P45)</f>
        <v>0</v>
      </c>
      <c r="Q46" s="1224">
        <f>+SUM(Q39:Q45)</f>
        <v>0</v>
      </c>
      <c r="R46" s="303"/>
      <c r="S46" s="303"/>
      <c r="T46" s="303"/>
      <c r="U46" s="303"/>
      <c r="V46" s="303"/>
      <c r="W46" s="303"/>
      <c r="X46" s="303"/>
      <c r="Y46" s="303"/>
      <c r="Z46" s="303"/>
    </row>
    <row r="47" spans="1:26" ht="15.75">
      <c r="A47" s="172" t="s">
        <v>412</v>
      </c>
      <c r="B47" s="173"/>
      <c r="C47" s="154"/>
      <c r="D47" s="255" t="str">
        <f>+IF(+OR(D48&lt;0,D49&lt;0),"НЕРАВНЕНИЕ !"," ")</f>
        <v xml:space="preserve"> </v>
      </c>
      <c r="E47" s="322" t="str">
        <f>+IF(+OR(E48&lt;0,E49&lt;0),"НЕРАВНЕНИЕ !"," ")</f>
        <v xml:space="preserve"> </v>
      </c>
      <c r="F47" s="154"/>
      <c r="G47" s="255" t="str">
        <f>+IF(+OR(G48&lt;0,G49&lt;0),"НЕРАВНЕНИЕ !"," ")</f>
        <v xml:space="preserve"> </v>
      </c>
      <c r="H47" s="322" t="str">
        <f>+IF(+OR(H48&lt;0,H49&lt;0),"НЕРАВНЕНИЕ !"," ")</f>
        <v xml:space="preserve"> </v>
      </c>
      <c r="I47" s="154"/>
      <c r="J47" s="255" t="str">
        <f>+IF(+OR(J48&lt;0,J49&lt;0),"НЕРАВНЕНИЕ !"," ")</f>
        <v xml:space="preserve"> </v>
      </c>
      <c r="K47" s="322" t="str">
        <f>+IF(+OR(K48&lt;0,K49&lt;0),"НЕРАВНЕНИЕ !"," ")</f>
        <v xml:space="preserve"> </v>
      </c>
      <c r="L47" s="154"/>
      <c r="M47" s="255" t="str">
        <f>+IF(+OR(M48&lt;0,M49&lt;0),"НЕРАВНЕНИЕ !"," ")</f>
        <v xml:space="preserve"> </v>
      </c>
      <c r="N47" s="322" t="str">
        <f>+IF(+OR(N48&lt;0,N49&lt;0),"НЕРАВНЕНИЕ !"," ")</f>
        <v xml:space="preserve"> </v>
      </c>
      <c r="O47" s="303"/>
      <c r="P47" s="1210" t="s">
        <v>1282</v>
      </c>
      <c r="Q47" s="1211" t="s">
        <v>1283</v>
      </c>
      <c r="R47" s="303"/>
      <c r="S47" s="303"/>
      <c r="T47" s="303"/>
      <c r="U47" s="303"/>
      <c r="V47" s="303"/>
      <c r="W47" s="303"/>
      <c r="X47" s="303"/>
      <c r="Y47" s="303"/>
      <c r="Z47" s="303"/>
    </row>
    <row r="48" spans="1:26" ht="15.75">
      <c r="A48" s="334" t="s">
        <v>413</v>
      </c>
      <c r="B48" s="335">
        <v>81</v>
      </c>
      <c r="C48" s="154"/>
      <c r="D48" s="659">
        <f>+'BALANCE-SHEET-2021-leva'!D48/1000+IF(+Rounding!$C$6=$B48,+Rounding!D$6,0)+IF(+Rounding!$C$7=$B48,+Rounding!D$7,0)</f>
        <v>8.8396699999999999</v>
      </c>
      <c r="E48" s="660">
        <f>+'BALANCE-SHEET-2021-leva'!E48/1000+IF(+Rounding!$C$6=$B48,+Rounding!E$6,0)+IF(+Rounding!$C$7=$B48,+Rounding!E$7,0)</f>
        <v>0</v>
      </c>
      <c r="F48" s="154"/>
      <c r="G48" s="659">
        <f>+'BALANCE-SHEET-2021-leva'!G48/1000+IF(+Rounding!$G$6=$B48,+Rounding!H$6,0)+IF(+Rounding!$G$7=$B48,+Rounding!H$7,0)</f>
        <v>0</v>
      </c>
      <c r="H48" s="660">
        <f>+'BALANCE-SHEET-2021-leva'!H48/1000+IF(+Rounding!$G$6=$B48,+Rounding!I$6,0)+IF(+Rounding!$G$7=$B48,+Rounding!I$7,0)</f>
        <v>0</v>
      </c>
      <c r="I48" s="154"/>
      <c r="J48" s="659">
        <f>+'BALANCE-SHEET-2021-leva'!J48/1000+IF(+Rounding!$K$6=$B48,+Rounding!L$6,0)+IF(+Rounding!$K$7=$B48,+Rounding!L$7,0)</f>
        <v>0</v>
      </c>
      <c r="K48" s="660">
        <f>+'BALANCE-SHEET-2021-leva'!K48/1000+IF(+Rounding!$K$6=$B48,+Rounding!M$6,0)+IF(+Rounding!$K$7=$B48,+Rounding!M$7,0)</f>
        <v>0</v>
      </c>
      <c r="L48" s="154"/>
      <c r="M48" s="659">
        <f>+D48+G48+J48+IF(+Rounding!$O$6=$B48,+Rounding!P$6,0)+IF(+Rounding!$O$7=$B48,+Rounding!P$7,0)</f>
        <v>8.8396699999999999</v>
      </c>
      <c r="N48" s="660">
        <f>+E48+H48+K48+IF(+Rounding!$O$6=$B48,+Rounding!Q$6,0)+IF(+Rounding!$O$7=$B48,+Rounding!Q$7,0)</f>
        <v>0</v>
      </c>
      <c r="O48" s="303"/>
      <c r="P48" s="1239" t="str">
        <f>+IF(+'Intra-Balances'!R2="O K","O K","ГРЕШКА - превишава ДТ с/до")</f>
        <v>O K</v>
      </c>
      <c r="Q48" s="1244" t="str">
        <f>+IF(+'Intra-Balances'!O2="O K","O K","ГРЕШКА - превишава ДТ с/до")</f>
        <v>O K</v>
      </c>
      <c r="R48" s="303"/>
      <c r="S48" s="303"/>
      <c r="T48" s="303"/>
      <c r="U48" s="303"/>
      <c r="V48" s="303"/>
      <c r="W48" s="303"/>
      <c r="X48" s="303"/>
      <c r="Y48" s="303"/>
      <c r="Z48" s="303"/>
    </row>
    <row r="49" spans="1:26" ht="15.75">
      <c r="A49" s="336" t="s">
        <v>414</v>
      </c>
      <c r="B49" s="337">
        <v>82</v>
      </c>
      <c r="C49" s="154"/>
      <c r="D49" s="661">
        <f>+'BALANCE-SHEET-2021-leva'!D49/1000+IF(+Rounding!$C$6=$B49,+Rounding!D$6,0)+IF(+Rounding!$C$7=$B49,+Rounding!D$7,0)</f>
        <v>2396.4618999999998</v>
      </c>
      <c r="E49" s="662">
        <f>+'BALANCE-SHEET-2021-leva'!E49/1000+IF(+Rounding!$C$6=$B49,+Rounding!E$6,0)+IF(+Rounding!$C$7=$B49,+Rounding!E$7,0)</f>
        <v>2699.4595399999998</v>
      </c>
      <c r="F49" s="154"/>
      <c r="G49" s="661">
        <f>+'BALANCE-SHEET-2021-leva'!G49/1000+IF(+Rounding!$G$6=$B49,+Rounding!H$6,0)+IF(+Rounding!$G$7=$B49,+Rounding!H$7,0)</f>
        <v>383.22833000000003</v>
      </c>
      <c r="H49" s="662">
        <f>+'BALANCE-SHEET-2021-leva'!H49/1000+IF(+Rounding!$G$6=$B49,+Rounding!I$6,0)+IF(+Rounding!$G$7=$B49,+Rounding!I$7,0)</f>
        <v>92.989670000000004</v>
      </c>
      <c r="I49" s="154"/>
      <c r="J49" s="661">
        <f>+'BALANCE-SHEET-2021-leva'!J49/1000+IF(+Rounding!$K$6=$B49,+Rounding!L$6,0)+IF(+Rounding!$K$7=$B49,+Rounding!L$7,0)</f>
        <v>385.76438000000002</v>
      </c>
      <c r="K49" s="662">
        <f>+'BALANCE-SHEET-2021-leva'!K49/1000+IF(+Rounding!$K$6=$B49,+Rounding!M$6,0)+IF(+Rounding!$K$7=$B49,+Rounding!M$7,0)</f>
        <v>593.06796999999995</v>
      </c>
      <c r="L49" s="154"/>
      <c r="M49" s="661">
        <f>+D49+G49+J49+IF(+Rounding!$O$6=$B49,+Rounding!P$6,0)+IF(+Rounding!$O$7=$B49,+Rounding!P$7,0)</f>
        <v>3165.4546099999998</v>
      </c>
      <c r="N49" s="662">
        <f>+E49+H49+K49+IF(+Rounding!$O$6=$B49,+Rounding!Q$6,0)+IF(+Rounding!$O$7=$B49,+Rounding!Q$7,0)</f>
        <v>3385.5171799999998</v>
      </c>
      <c r="O49" s="303"/>
      <c r="P49" s="2542" t="str">
        <f>+'BALANCE-SHEET-2021-leva'!P49:Q49</f>
        <v>O K</v>
      </c>
      <c r="Q49" s="2542"/>
      <c r="R49" s="303"/>
      <c r="S49" s="303"/>
      <c r="T49" s="303"/>
      <c r="U49" s="303"/>
      <c r="V49" s="303"/>
      <c r="W49" s="303"/>
      <c r="X49" s="303"/>
      <c r="Y49" s="303"/>
      <c r="Z49" s="303"/>
    </row>
    <row r="50" spans="1:26" ht="15.75">
      <c r="A50" s="177" t="s">
        <v>1027</v>
      </c>
      <c r="B50" s="178">
        <v>80</v>
      </c>
      <c r="C50" s="154"/>
      <c r="D50" s="663">
        <f>+D48+D49</f>
        <v>2405.3015699999996</v>
      </c>
      <c r="E50" s="664">
        <f>+E48+E49</f>
        <v>2699.4595399999998</v>
      </c>
      <c r="F50" s="154"/>
      <c r="G50" s="663">
        <f>+G48+G49</f>
        <v>383.22833000000003</v>
      </c>
      <c r="H50" s="664">
        <f>+H48+H49</f>
        <v>92.989670000000004</v>
      </c>
      <c r="I50" s="154"/>
      <c r="J50" s="663">
        <f>+J48+J49</f>
        <v>385.76438000000002</v>
      </c>
      <c r="K50" s="664">
        <f>+K48+K49</f>
        <v>593.06796999999995</v>
      </c>
      <c r="L50" s="154"/>
      <c r="M50" s="663">
        <f>+M48+M49</f>
        <v>3174.2942799999996</v>
      </c>
      <c r="N50" s="664">
        <f>+N48+N49</f>
        <v>3385.5171799999998</v>
      </c>
      <c r="O50" s="303"/>
      <c r="P50" s="2543" t="str">
        <f>+'BALANCE-SHEET-2021-leva'!P50:Q50</f>
        <v>O K</v>
      </c>
      <c r="Q50" s="2543"/>
      <c r="R50" s="303"/>
      <c r="S50" s="303"/>
      <c r="T50" s="303"/>
      <c r="U50" s="303"/>
      <c r="V50" s="303"/>
      <c r="W50" s="303"/>
      <c r="X50" s="303"/>
      <c r="Y50" s="303"/>
      <c r="Z50" s="303"/>
    </row>
    <row r="51" spans="1:26" ht="3" customHeight="1">
      <c r="A51" s="172"/>
      <c r="B51" s="173"/>
      <c r="C51" s="154"/>
      <c r="D51" s="665"/>
      <c r="E51" s="666"/>
      <c r="F51" s="154"/>
      <c r="G51" s="665"/>
      <c r="H51" s="666"/>
      <c r="I51" s="154"/>
      <c r="J51" s="665"/>
      <c r="K51" s="666"/>
      <c r="L51" s="154"/>
      <c r="M51" s="665"/>
      <c r="N51" s="666"/>
      <c r="O51" s="303"/>
      <c r="P51" s="152"/>
      <c r="Q51" s="152"/>
      <c r="R51" s="303"/>
      <c r="S51" s="303"/>
      <c r="T51" s="303"/>
      <c r="U51" s="303"/>
      <c r="V51" s="303"/>
      <c r="W51" s="303"/>
      <c r="X51" s="303"/>
      <c r="Y51" s="303"/>
      <c r="Z51" s="303"/>
    </row>
    <row r="52" spans="1:26" ht="19.5" thickBot="1">
      <c r="A52" s="679" t="s">
        <v>415</v>
      </c>
      <c r="B52" s="680">
        <v>200</v>
      </c>
      <c r="C52" s="154"/>
      <c r="D52" s="677">
        <f>+D34+D38+D46+D50</f>
        <v>4448.3521999999994</v>
      </c>
      <c r="E52" s="678">
        <f>+E34+E38+E46+E50</f>
        <v>4395.3268900000003</v>
      </c>
      <c r="F52" s="154"/>
      <c r="G52" s="677">
        <f>+G34+G38+G46+G50</f>
        <v>437.16222000000005</v>
      </c>
      <c r="H52" s="678">
        <f>+H34+H38+H46+H50</f>
        <v>725.85862000000009</v>
      </c>
      <c r="I52" s="154"/>
      <c r="J52" s="677">
        <f>+J34+J38+J46+J50</f>
        <v>615.76438000000007</v>
      </c>
      <c r="K52" s="678">
        <f>+K34+K38+K46+K50</f>
        <v>613.06796999999995</v>
      </c>
      <c r="L52" s="154"/>
      <c r="M52" s="677">
        <f>+M34+M38+M46+M50</f>
        <v>5501.2788</v>
      </c>
      <c r="N52" s="678">
        <f>+N34+N38+N46+N50</f>
        <v>5734.2534799999994</v>
      </c>
      <c r="O52" s="303"/>
      <c r="P52" s="152"/>
      <c r="Q52" s="152"/>
      <c r="R52" s="303"/>
      <c r="S52" s="303"/>
      <c r="T52" s="303"/>
      <c r="U52" s="303"/>
      <c r="V52" s="303"/>
      <c r="W52" s="303"/>
      <c r="X52" s="303"/>
      <c r="Y52" s="303"/>
      <c r="Z52" s="303"/>
    </row>
    <row r="53" spans="1:26" ht="4.5" customHeight="1">
      <c r="A53" s="172"/>
      <c r="B53" s="173"/>
      <c r="C53" s="154"/>
      <c r="D53" s="174"/>
      <c r="E53" s="666"/>
      <c r="F53" s="154"/>
      <c r="G53" s="174"/>
      <c r="H53" s="666"/>
      <c r="I53" s="154"/>
      <c r="J53" s="174"/>
      <c r="K53" s="666"/>
      <c r="L53" s="154"/>
      <c r="M53" s="174"/>
      <c r="N53" s="666"/>
      <c r="O53" s="303"/>
      <c r="P53" s="152"/>
      <c r="Q53" s="152"/>
      <c r="R53" s="303"/>
      <c r="S53" s="303"/>
      <c r="T53" s="303"/>
      <c r="U53" s="303"/>
      <c r="V53" s="303"/>
      <c r="W53" s="303"/>
      <c r="X53" s="303"/>
      <c r="Y53" s="303"/>
      <c r="Z53" s="303"/>
    </row>
    <row r="54" spans="1:26" ht="19.5" customHeight="1" thickBot="1">
      <c r="A54" s="1469" t="s">
        <v>416</v>
      </c>
      <c r="B54" s="1470">
        <v>300</v>
      </c>
      <c r="C54" s="154"/>
      <c r="D54" s="2038">
        <f>+ROUND(+D28+D52,0)</f>
        <v>16479</v>
      </c>
      <c r="E54" s="2039">
        <f>+ROUND(+E28+E52,0)</f>
        <v>16706</v>
      </c>
      <c r="F54" s="154"/>
      <c r="G54" s="2038">
        <f>+ROUND(+G28+G52,0)</f>
        <v>2363</v>
      </c>
      <c r="H54" s="2039">
        <f>+ROUND(+H28+H52,0)</f>
        <v>2656</v>
      </c>
      <c r="I54" s="154"/>
      <c r="J54" s="2038">
        <f>+ROUND(+J28+J52,0)</f>
        <v>58106</v>
      </c>
      <c r="K54" s="2039">
        <f>+ROUND(+K28+K52,0)</f>
        <v>58838</v>
      </c>
      <c r="L54" s="154"/>
      <c r="M54" s="2038">
        <f>+ROUND(+M28+M52,0)</f>
        <v>76948</v>
      </c>
      <c r="N54" s="2039">
        <f>+ROUND(+N28+N52,0)</f>
        <v>78200</v>
      </c>
      <c r="O54" s="303"/>
      <c r="P54" s="152"/>
      <c r="Q54" s="152"/>
      <c r="R54" s="303"/>
      <c r="S54" s="303"/>
      <c r="T54" s="303"/>
      <c r="U54" s="303"/>
      <c r="V54" s="303"/>
      <c r="W54" s="303"/>
      <c r="X54" s="303"/>
      <c r="Y54" s="303"/>
      <c r="Z54" s="303"/>
    </row>
    <row r="55" spans="1:26" ht="17.25" customHeight="1" thickTop="1" thickBot="1">
      <c r="A55" s="179" t="s">
        <v>417</v>
      </c>
      <c r="B55" s="180">
        <v>350</v>
      </c>
      <c r="C55" s="154"/>
      <c r="D55" s="667">
        <f>+ROUND('BALANCE-SHEET-2021-leva'!D55/1000,0)+Rounding!D62</f>
        <v>2382</v>
      </c>
      <c r="E55" s="668">
        <f>+ROUND('BALANCE-SHEET-2021-leva'!E55/1000,0)+Rounding!E62</f>
        <v>2451</v>
      </c>
      <c r="F55" s="154"/>
      <c r="G55" s="667">
        <f>+ROUND('BALANCE-SHEET-2021-leva'!G55/1000,0)+Rounding!H62</f>
        <v>481</v>
      </c>
      <c r="H55" s="668">
        <f>+ROUND('BALANCE-SHEET-2021-leva'!H55/1000,0)+Rounding!I62</f>
        <v>477</v>
      </c>
      <c r="I55" s="154"/>
      <c r="J55" s="667">
        <f>+ROUND('BALANCE-SHEET-2021-leva'!J55/1000,0)+Rounding!L62</f>
        <v>0</v>
      </c>
      <c r="K55" s="668">
        <f>+ROUND('BALANCE-SHEET-2021-leva'!K55/1000,0)+Rounding!M62</f>
        <v>0</v>
      </c>
      <c r="L55" s="154"/>
      <c r="M55" s="667">
        <f>+ROUND((D55+G55+J55),0)+Rounding!P62</f>
        <v>2863</v>
      </c>
      <c r="N55" s="668">
        <f>+ROUND((E55+H55+K55),0)+Rounding!Q62</f>
        <v>2928</v>
      </c>
      <c r="O55" s="303"/>
      <c r="P55" s="152"/>
      <c r="Q55" s="152"/>
      <c r="R55" s="303"/>
      <c r="S55" s="303"/>
      <c r="T55" s="303"/>
      <c r="U55" s="303"/>
      <c r="V55" s="303"/>
      <c r="W55" s="303"/>
      <c r="X55" s="303"/>
      <c r="Y55" s="303"/>
      <c r="Z55" s="303"/>
    </row>
    <row r="56" spans="1:26" ht="12.75" customHeight="1" thickTop="1">
      <c r="A56" s="306"/>
      <c r="B56" s="181"/>
      <c r="C56" s="154"/>
      <c r="D56" s="321" t="str">
        <f>+IF(+OR(D55&lt;0),"НЕРАВНЕНИЕ !"," ")</f>
        <v xml:space="preserve"> </v>
      </c>
      <c r="E56" s="321" t="str">
        <f>+IF(+OR(E55&lt;0),"НЕРАВНЕНИЕ !"," ")</f>
        <v xml:space="preserve"> </v>
      </c>
      <c r="F56" s="154"/>
      <c r="G56" s="321" t="str">
        <f>+IF(+OR(G55&lt;0),"НЕРАВНЕНИЕ !"," ")</f>
        <v xml:space="preserve"> </v>
      </c>
      <c r="H56" s="321" t="str">
        <f>+IF(+OR(H55&lt;0),"НЕРАВНЕНИЕ !"," ")</f>
        <v xml:space="preserve"> </v>
      </c>
      <c r="I56" s="154"/>
      <c r="J56" s="321" t="str">
        <f>+IF(+OR(J55&lt;0),"НЕРАВНЕНИЕ !"," ")</f>
        <v xml:space="preserve"> </v>
      </c>
      <c r="K56" s="321" t="str">
        <f>+IF(+OR(K55&lt;0),"НЕРАВНЕНИЕ !"," ")</f>
        <v xml:space="preserve"> </v>
      </c>
      <c r="L56" s="154"/>
      <c r="M56" s="321" t="str">
        <f>+IF(+OR(M55&lt;0),"НЕРАВНЕНИЕ !"," ")</f>
        <v xml:space="preserve"> </v>
      </c>
      <c r="N56" s="321" t="str">
        <f>+IF(+OR(N55&lt;0),"НЕРАВНЕНИЕ !"," ")</f>
        <v xml:space="preserve"> </v>
      </c>
      <c r="O56" s="303"/>
      <c r="P56" s="152"/>
      <c r="Q56" s="152"/>
      <c r="R56" s="303"/>
      <c r="S56" s="303"/>
      <c r="T56" s="303"/>
      <c r="U56" s="303"/>
      <c r="V56" s="303"/>
      <c r="W56" s="303"/>
      <c r="X56" s="303"/>
      <c r="Y56" s="303"/>
      <c r="Z56" s="303"/>
    </row>
    <row r="57" spans="1:26" ht="19.5" thickBot="1">
      <c r="A57" s="160" t="s">
        <v>365</v>
      </c>
      <c r="B57" s="302"/>
      <c r="C57" s="154"/>
      <c r="D57" s="302"/>
      <c r="E57" s="302"/>
      <c r="F57" s="154"/>
      <c r="G57" s="302"/>
      <c r="H57" s="302"/>
      <c r="I57" s="154"/>
      <c r="J57" s="302"/>
      <c r="K57" s="302"/>
      <c r="L57" s="154"/>
      <c r="M57" s="307" t="s">
        <v>809</v>
      </c>
      <c r="N57" s="307"/>
      <c r="O57" s="303"/>
      <c r="P57" s="152"/>
      <c r="Q57" s="152"/>
      <c r="R57" s="303"/>
      <c r="S57" s="303"/>
      <c r="T57" s="303"/>
      <c r="U57" s="303"/>
      <c r="V57" s="303"/>
      <c r="W57" s="303"/>
      <c r="X57" s="303"/>
      <c r="Y57" s="303"/>
      <c r="Z57" s="303"/>
    </row>
    <row r="58" spans="1:26" ht="13.5" customHeight="1" thickTop="1">
      <c r="A58" s="1454"/>
      <c r="B58" s="2557" t="s">
        <v>2181</v>
      </c>
      <c r="C58" s="164"/>
      <c r="D58" s="638" t="s">
        <v>982</v>
      </c>
      <c r="E58" s="644"/>
      <c r="F58" s="164"/>
      <c r="G58" s="634" t="s">
        <v>1269</v>
      </c>
      <c r="H58" s="635"/>
      <c r="I58" s="164" t="s">
        <v>265</v>
      </c>
      <c r="J58" s="669" t="s">
        <v>1272</v>
      </c>
      <c r="K58" s="670"/>
      <c r="L58" s="164"/>
      <c r="M58" s="2591" t="s">
        <v>398</v>
      </c>
      <c r="N58" s="2592"/>
      <c r="O58" s="303"/>
      <c r="P58" s="152"/>
      <c r="Q58" s="152"/>
      <c r="R58" s="303"/>
      <c r="S58" s="303"/>
      <c r="T58" s="303"/>
      <c r="U58" s="303"/>
      <c r="V58" s="303"/>
      <c r="W58" s="303"/>
      <c r="X58" s="303"/>
      <c r="Y58" s="303"/>
      <c r="Z58" s="303"/>
    </row>
    <row r="59" spans="1:26" ht="13.5" customHeight="1" thickBot="1">
      <c r="A59" s="1455" t="s">
        <v>399</v>
      </c>
      <c r="B59" s="2558"/>
      <c r="C59" s="164"/>
      <c r="D59" s="1403" t="s">
        <v>1270</v>
      </c>
      <c r="E59" s="646"/>
      <c r="F59" s="164"/>
      <c r="G59" s="1404" t="s">
        <v>983</v>
      </c>
      <c r="H59" s="637"/>
      <c r="I59" s="164"/>
      <c r="J59" s="1405" t="s">
        <v>1271</v>
      </c>
      <c r="K59" s="1406"/>
      <c r="L59" s="164"/>
      <c r="M59" s="2593"/>
      <c r="N59" s="2594"/>
      <c r="O59" s="303"/>
      <c r="P59" s="152"/>
      <c r="Q59" s="152"/>
      <c r="R59" s="303"/>
      <c r="S59" s="303"/>
      <c r="T59" s="303"/>
      <c r="U59" s="303"/>
      <c r="V59" s="303"/>
      <c r="W59" s="303"/>
      <c r="X59" s="303"/>
      <c r="Y59" s="303"/>
      <c r="Z59" s="303"/>
    </row>
    <row r="60" spans="1:26" ht="30.75" customHeight="1" thickBot="1">
      <c r="A60" s="1913" t="str">
        <f>+A9</f>
        <v>Непопълнен ред в таблица 'Cash-deficit'!</v>
      </c>
      <c r="B60" s="2559"/>
      <c r="C60" s="154"/>
      <c r="D60" s="1458" t="str">
        <f>+D9</f>
        <v>Текуща година</v>
      </c>
      <c r="E60" s="1471" t="str">
        <f>+E9</f>
        <v>Предходна година (към 31 декември)</v>
      </c>
      <c r="F60" s="154"/>
      <c r="G60" s="1462" t="str">
        <f>+G9</f>
        <v>Текуща година</v>
      </c>
      <c r="H60" s="1471" t="str">
        <f>+H9</f>
        <v>Предходна година (към 31 декември)</v>
      </c>
      <c r="I60" s="154"/>
      <c r="J60" s="1462" t="str">
        <f>+J9</f>
        <v>Текуща година</v>
      </c>
      <c r="K60" s="1471" t="str">
        <f>+K9</f>
        <v>Предходна година (към 31 декември)</v>
      </c>
      <c r="L60" s="154"/>
      <c r="M60" s="1462" t="str">
        <f>+M9</f>
        <v>Текуща година</v>
      </c>
      <c r="N60" s="1471" t="str">
        <f>+N9</f>
        <v>Предходна година (към 31 декември)</v>
      </c>
      <c r="O60" s="303"/>
      <c r="P60" s="152"/>
      <c r="Q60" s="152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1:26" ht="16.5" thickBot="1">
      <c r="A61" s="1456" t="s">
        <v>150</v>
      </c>
      <c r="B61" s="1457" t="s">
        <v>151</v>
      </c>
      <c r="C61" s="154"/>
      <c r="D61" s="1460">
        <f>+D10</f>
        <v>1</v>
      </c>
      <c r="E61" s="1461">
        <f>+E10</f>
        <v>2</v>
      </c>
      <c r="F61" s="154"/>
      <c r="G61" s="1460">
        <f>+G10</f>
        <v>3</v>
      </c>
      <c r="H61" s="1461">
        <f>+H10</f>
        <v>4</v>
      </c>
      <c r="I61" s="154"/>
      <c r="J61" s="1460">
        <f>+J10</f>
        <v>5</v>
      </c>
      <c r="K61" s="1461">
        <f>+K10</f>
        <v>6</v>
      </c>
      <c r="L61" s="154"/>
      <c r="M61" s="1460">
        <f>+M10</f>
        <v>7</v>
      </c>
      <c r="N61" s="1461">
        <f>+N10</f>
        <v>8</v>
      </c>
      <c r="O61" s="303"/>
      <c r="P61" s="152"/>
      <c r="Q61" s="1903" t="s">
        <v>1880</v>
      </c>
      <c r="R61" s="303"/>
      <c r="S61" s="303"/>
      <c r="T61" s="303"/>
      <c r="U61" s="303"/>
      <c r="V61" s="303"/>
      <c r="W61" s="303"/>
      <c r="X61" s="303"/>
      <c r="Y61" s="303"/>
      <c r="Z61" s="303"/>
    </row>
    <row r="62" spans="1:26" ht="15.75">
      <c r="A62" s="183" t="s">
        <v>366</v>
      </c>
      <c r="B62" s="184"/>
      <c r="C62" s="154"/>
      <c r="D62" s="647"/>
      <c r="E62" s="322"/>
      <c r="F62" s="154"/>
      <c r="G62" s="647"/>
      <c r="H62" s="322"/>
      <c r="I62" s="154"/>
      <c r="J62" s="647"/>
      <c r="K62" s="322"/>
      <c r="L62" s="154"/>
      <c r="M62" s="647"/>
      <c r="N62" s="322"/>
      <c r="O62" s="303"/>
      <c r="P62" s="1377" t="s">
        <v>1876</v>
      </c>
      <c r="Q62" s="1906" t="str">
        <f>+Q36</f>
        <v>'Municipal-Bal'</v>
      </c>
      <c r="R62" s="303"/>
      <c r="S62" s="303"/>
      <c r="T62" s="303"/>
      <c r="U62" s="303"/>
      <c r="V62" s="303"/>
      <c r="W62" s="303"/>
      <c r="X62" s="303"/>
      <c r="Y62" s="303"/>
      <c r="Z62" s="303"/>
    </row>
    <row r="63" spans="1:26" ht="15.75">
      <c r="A63" s="338" t="s">
        <v>418</v>
      </c>
      <c r="B63" s="339">
        <v>401</v>
      </c>
      <c r="C63" s="154"/>
      <c r="D63" s="671">
        <f>+'BALANCE-SHEET-2021-leva'!D63/1000+IF(+Rounding!$C$54=$B63,+Rounding!D$54,0)+IF(+Rounding!$C$55=$B63,+Rounding!D$55,0)</f>
        <v>12969.320109999999</v>
      </c>
      <c r="E63" s="672">
        <f>+'BALANCE-SHEET-2021-leva'!E63/1000+IF(+Rounding!$C$54=$B63,+Rounding!E$54,0)+IF(+Rounding!$C$55=$B63,+Rounding!E$55,0)</f>
        <v>12969.320109999999</v>
      </c>
      <c r="F63" s="154"/>
      <c r="G63" s="659">
        <f>+'BALANCE-SHEET-2021-leva'!G63/1000+IF(+Rounding!$G$54=$B63,+Rounding!H$54,0)+IF(+Rounding!$G$55=$B63,+Rounding!H$55,0)</f>
        <v>7.4990500000000004</v>
      </c>
      <c r="H63" s="660">
        <f>+'BALANCE-SHEET-2021-leva'!H63/1000+IF(+Rounding!$G$54=$B63,+Rounding!I$54,0)+IF(+Rounding!$G$55=$B63,+Rounding!I$55,0)</f>
        <v>7.4990500000000004</v>
      </c>
      <c r="I63" s="154"/>
      <c r="J63" s="659">
        <f>+'BALANCE-SHEET-2021-leva'!J63/1000+IF(+Rounding!$K$54=$B63,+Rounding!L$54,0)+IF(+Rounding!$K$55=$B63,+Rounding!L$55,0)</f>
        <v>18.72654</v>
      </c>
      <c r="K63" s="660">
        <f>+'BALANCE-SHEET-2021-leva'!K63/1000+IF(+Rounding!$K$54=$B63,+Rounding!M$54,0)+IF(+Rounding!$K$55=$B63,+Rounding!M$55,0)</f>
        <v>18.72654</v>
      </c>
      <c r="L63" s="154"/>
      <c r="M63" s="659">
        <f>+D63+G63+J63+IF(+Rounding!$O$54=$B63,+Rounding!P$54,0)+IF(+Rounding!$O$55=$B63,+Rounding!P$55,0)</f>
        <v>12995.545699999999</v>
      </c>
      <c r="N63" s="660">
        <f>+E63+H63+K63+IF(+Rounding!$O$54=$B63,+Rounding!Q$54,0)+IF(+Rounding!$O$55=$B63,+Rounding!Q$55,0)</f>
        <v>12995.545699999999</v>
      </c>
      <c r="O63" s="303"/>
      <c r="P63" s="1442" t="s">
        <v>1281</v>
      </c>
      <c r="Q63" s="144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1:26" ht="15.75">
      <c r="A64" s="334" t="s">
        <v>1135</v>
      </c>
      <c r="B64" s="340">
        <v>402</v>
      </c>
      <c r="C64" s="154"/>
      <c r="D64" s="659">
        <f>+'BALANCE-SHEET-2021-leva'!D64/1000+IF(+Rounding!$C$54=$B64,+Rounding!D$54,0)+IF(+Rounding!$C$55=$B64,+Rounding!D$55,0)</f>
        <v>3068.2375400000001</v>
      </c>
      <c r="E64" s="660">
        <f>+'BALANCE-SHEET-2021-leva'!E64/1000+IF(+Rounding!$C$54=$B64,+Rounding!E$54,0)+IF(+Rounding!$C$55=$B64,+Rounding!E$55,0)</f>
        <v>1088.9498000000001</v>
      </c>
      <c r="F64" s="154"/>
      <c r="G64" s="659">
        <f>+'BALANCE-SHEET-2021-leva'!G64/1000+IF(+Rounding!$G$54=$B64,+Rounding!H$54,0)+IF(+Rounding!$G$55=$B64,+Rounding!H$55,0)</f>
        <v>-1829.43181</v>
      </c>
      <c r="H64" s="660">
        <f>+'BALANCE-SHEET-2021-leva'!H64/1000+IF(+Rounding!$G$54=$B64,+Rounding!I$54,0)+IF(+Rounding!$G$55=$B64,+Rounding!I$55,0)</f>
        <v>4051.5933399999999</v>
      </c>
      <c r="I64" s="154"/>
      <c r="J64" s="659">
        <f>+'BALANCE-SHEET-2021-leva'!J64/1000+IF(+Rounding!$K$54=$B64,+Rounding!L$54,0)+IF(+Rounding!$K$55=$B64,+Rounding!L$55,0)</f>
        <v>58206.177029999999</v>
      </c>
      <c r="K64" s="660">
        <f>+'BALANCE-SHEET-2021-leva'!K64/1000+IF(+Rounding!$K$54=$B64,+Rounding!M$54,0)+IF(+Rounding!$K$55=$B64,+Rounding!M$55,0)</f>
        <v>53343.885130000002</v>
      </c>
      <c r="L64" s="154"/>
      <c r="M64" s="659">
        <f>+D64+G64+J64+IF(+Rounding!$O$54=$B64,+Rounding!P$54,0)+IF(+Rounding!$O$55=$B64,+Rounding!P$55,0)+P$64</f>
        <v>59444.982759999999</v>
      </c>
      <c r="N64" s="660">
        <f>+E64+H64+K64+IF(+Rounding!$O$54=$B64,+Rounding!Q$54,0)+IF(+Rounding!$O$55=$B64,+Rounding!Q$55,0)+Q$64</f>
        <v>58484.428270000004</v>
      </c>
      <c r="O64" s="303"/>
      <c r="P64" s="1221">
        <f>+'BALANCE-SHEET-2021-leva'!P64/1000</f>
        <v>0</v>
      </c>
      <c r="Q64" s="1222">
        <f>+'BALANCE-SHEET-2021-leva'!Q64/1000</f>
        <v>0</v>
      </c>
      <c r="R64" s="303"/>
      <c r="S64" s="303"/>
      <c r="T64" s="303"/>
      <c r="U64" s="303"/>
      <c r="V64" s="303"/>
      <c r="W64" s="303"/>
      <c r="X64" s="303"/>
      <c r="Y64" s="303"/>
      <c r="Z64" s="303"/>
    </row>
    <row r="65" spans="1:26" ht="15.75">
      <c r="A65" s="336" t="s">
        <v>1136</v>
      </c>
      <c r="B65" s="341">
        <v>403</v>
      </c>
      <c r="C65" s="154"/>
      <c r="D65" s="661">
        <f>+'BALANCE-SHEET-2021-leva'!D65/1000+IF(+Rounding!$C$54=$B65,+Rounding!D$54,0)+IF(+Rounding!$C$55=$B65,+Rounding!D$55,0)</f>
        <v>-5.4339199999999996</v>
      </c>
      <c r="E65" s="662">
        <f>+'BALANCE-SHEET-2021-leva'!E65/1000+IF(+Rounding!$C$54=$B65,+Rounding!E$54,0)+IF(+Rounding!$C$55=$B65,+Rounding!E$55,0)</f>
        <v>1979.28774</v>
      </c>
      <c r="F65" s="154"/>
      <c r="G65" s="661">
        <f>+'BALANCE-SHEET-2021-leva'!G65/1000+IF(+Rounding!$G$54=$B65,+Rounding!H$54,0)+IF(+Rounding!$G$55=$B65,+Rounding!H$55,0)</f>
        <v>3336.8743899999999</v>
      </c>
      <c r="H65" s="662">
        <f>+'BALANCE-SHEET-2021-leva'!H65/1000+IF(+Rounding!$G$54=$B65,+Rounding!I$54,0)+IF(+Rounding!$G$55=$B65,+Rounding!I$55,0)</f>
        <v>-5881.0251500000004</v>
      </c>
      <c r="I65" s="154"/>
      <c r="J65" s="661">
        <f>+'BALANCE-SHEET-2021-leva'!J65/1000+IF(+Rounding!$K$54=$B65,+Rounding!L$54,0)+IF(+Rounding!$K$55=$B65,+Rounding!L$55,0)</f>
        <v>-734.43885</v>
      </c>
      <c r="K65" s="662">
        <f>+'BALANCE-SHEET-2021-leva'!K65/1000+IF(+Rounding!$K$54=$B65,+Rounding!M$54,0)+IF(+Rounding!$K$55=$B65,+Rounding!M$55,0)</f>
        <v>4862.2919000000002</v>
      </c>
      <c r="L65" s="154"/>
      <c r="M65" s="661">
        <f>+D65+G65+J65+IF(+Rounding!$O$54=$B65,+Rounding!P$54,0)+IF(+Rounding!$O$55=$B65,+Rounding!P$55,0)+P$65</f>
        <v>2597.00162</v>
      </c>
      <c r="N65" s="662">
        <f>+E65+H65+K65+IF(+Rounding!$O$54=$B65,+Rounding!Q$54,0)+IF(+Rounding!$O$55=$B65,+Rounding!Q$55,0)+Q$65</f>
        <v>960.55448999999953</v>
      </c>
      <c r="O65" s="303"/>
      <c r="P65" s="1221">
        <f>+'BALANCE-SHEET-2021-leva'!P65/1000</f>
        <v>0</v>
      </c>
      <c r="Q65" s="1222">
        <f>+'BALANCE-SHEET-2021-leva'!Q65/1000</f>
        <v>0</v>
      </c>
      <c r="R65" s="303"/>
      <c r="S65" s="303"/>
      <c r="T65" s="303"/>
      <c r="U65" s="303"/>
      <c r="V65" s="303"/>
      <c r="W65" s="303"/>
      <c r="X65" s="303"/>
      <c r="Y65" s="303"/>
      <c r="Z65" s="303"/>
    </row>
    <row r="66" spans="1:26" ht="19.5" thickBot="1">
      <c r="A66" s="717" t="s">
        <v>1029</v>
      </c>
      <c r="B66" s="720">
        <v>400</v>
      </c>
      <c r="C66" s="154"/>
      <c r="D66" s="677">
        <f>+D63+D64+D65</f>
        <v>16032.123729999999</v>
      </c>
      <c r="E66" s="678">
        <f>+E63+E64+E65</f>
        <v>16037.557649999999</v>
      </c>
      <c r="F66" s="154"/>
      <c r="G66" s="677">
        <f>+G63+G64+G65</f>
        <v>1514.9416299999998</v>
      </c>
      <c r="H66" s="678">
        <f>+H63+H64+H65</f>
        <v>-1821.9327600000006</v>
      </c>
      <c r="I66" s="154"/>
      <c r="J66" s="677">
        <f>+J63+J64+J65</f>
        <v>57490.464720000004</v>
      </c>
      <c r="K66" s="678">
        <f>+K63+K64+K65</f>
        <v>58224.903570000009</v>
      </c>
      <c r="L66" s="154"/>
      <c r="M66" s="677">
        <f>+M63+M64+M65</f>
        <v>75037.530079999997</v>
      </c>
      <c r="N66" s="678">
        <f>+N63+N64+N65</f>
        <v>72440.528460000001</v>
      </c>
      <c r="O66" s="303"/>
      <c r="P66" s="2542" t="str">
        <f>+'BALANCE-SHEET-2021-leva'!P66:Q66</f>
        <v>O K</v>
      </c>
      <c r="Q66" s="2542"/>
      <c r="R66" s="303"/>
      <c r="S66" s="303"/>
      <c r="T66" s="303"/>
      <c r="U66" s="303"/>
      <c r="V66" s="303"/>
      <c r="W66" s="303"/>
      <c r="X66" s="303"/>
      <c r="Y66" s="303"/>
      <c r="Z66" s="303"/>
    </row>
    <row r="67" spans="1:26" ht="15.75">
      <c r="A67" s="250" t="s">
        <v>2180</v>
      </c>
      <c r="B67" s="185"/>
      <c r="C67" s="154"/>
      <c r="D67" s="616"/>
      <c r="E67" s="617"/>
      <c r="F67" s="154"/>
      <c r="G67" s="616"/>
      <c r="H67" s="617"/>
      <c r="I67" s="154"/>
      <c r="J67" s="616"/>
      <c r="K67" s="617"/>
      <c r="L67" s="154"/>
      <c r="M67" s="616"/>
      <c r="N67" s="617"/>
      <c r="O67" s="303"/>
      <c r="P67" s="2543" t="str">
        <f>+'BALANCE-SHEET-2021-leva'!P67:Q67</f>
        <v>O K</v>
      </c>
      <c r="Q67" s="2543"/>
      <c r="R67" s="303"/>
      <c r="S67" s="303"/>
      <c r="T67" s="303"/>
      <c r="U67" s="303"/>
      <c r="V67" s="303"/>
      <c r="W67" s="303"/>
      <c r="X67" s="303"/>
      <c r="Y67" s="303"/>
      <c r="Z67" s="303"/>
    </row>
    <row r="68" spans="1:26" ht="15.75">
      <c r="A68" s="183" t="s">
        <v>419</v>
      </c>
      <c r="B68" s="184"/>
      <c r="C68" s="154"/>
      <c r="D68" s="255" t="str">
        <f>+IF(+OR(D69&lt;0,D70&lt;0,D71&lt;0),"НЕРАВНЕНИЕ !"," ")</f>
        <v xml:space="preserve"> </v>
      </c>
      <c r="E68" s="322" t="str">
        <f>+IF(+OR(E69&lt;0,E70&lt;0,E71&lt;0),"НЕРАВНЕНИЕ !"," ")</f>
        <v xml:space="preserve"> </v>
      </c>
      <c r="F68" s="154"/>
      <c r="G68" s="255" t="str">
        <f>+IF(+OR(G69&lt;0,G70&lt;0,G71&lt;0),"НЕРАВНЕНИЕ !"," ")</f>
        <v xml:space="preserve"> </v>
      </c>
      <c r="H68" s="322" t="str">
        <f>+IF(+OR(H69&lt;0,H70&lt;0,H71&lt;0),"НЕРАВНЕНИЕ !"," ")</f>
        <v xml:space="preserve"> </v>
      </c>
      <c r="I68" s="154"/>
      <c r="J68" s="255" t="str">
        <f>+IF(+OR(J69&lt;0,J70&lt;0,J71&lt;0),"НЕРАВНЕНИЕ !"," ")</f>
        <v xml:space="preserve"> </v>
      </c>
      <c r="K68" s="322" t="str">
        <f>+IF(+OR(K69&lt;0,K70&lt;0,K71&lt;0),"НЕРАВНЕНИЕ !"," ")</f>
        <v xml:space="preserve"> </v>
      </c>
      <c r="L68" s="154"/>
      <c r="M68" s="255" t="str">
        <f>+IF(+OR(M69&lt;0,M70&lt;0,M71&lt;0),"НЕРАВНЕНИЕ !"," ")</f>
        <v xml:space="preserve"> </v>
      </c>
      <c r="N68" s="322" t="str">
        <f>+IF(+OR(N69&lt;0,N70&lt;0,N71&lt;0),"НЕРАВНЕНИЕ !"," ")</f>
        <v xml:space="preserve"> </v>
      </c>
      <c r="O68" s="303"/>
      <c r="P68" s="152"/>
      <c r="Q68" s="152"/>
      <c r="R68" s="303"/>
      <c r="S68" s="303"/>
      <c r="T68" s="303"/>
      <c r="U68" s="303"/>
      <c r="V68" s="303"/>
      <c r="W68" s="303"/>
      <c r="X68" s="303"/>
      <c r="Y68" s="303"/>
      <c r="Z68" s="303"/>
    </row>
    <row r="69" spans="1:26" ht="15.75">
      <c r="A69" s="334" t="s">
        <v>367</v>
      </c>
      <c r="B69" s="340">
        <v>511</v>
      </c>
      <c r="C69" s="154"/>
      <c r="D69" s="659">
        <f>+'BALANCE-SHEET-2021-leva'!D69/1000+IF(+Rounding!$C$54=$B69,+Rounding!D$54,0)+IF(+Rounding!$C$55=$B69,+Rounding!D$55,0)</f>
        <v>0</v>
      </c>
      <c r="E69" s="660">
        <f>+'BALANCE-SHEET-2021-leva'!E69/1000+IF(+Rounding!$C$54=$B69,+Rounding!E$54,0)+IF(+Rounding!$C$55=$B69,+Rounding!E$55,0)</f>
        <v>0</v>
      </c>
      <c r="F69" s="154"/>
      <c r="G69" s="659">
        <f>+'BALANCE-SHEET-2021-leva'!G69/1000+IF(+Rounding!$G$54=$B69,+Rounding!H$54,0)+IF(+Rounding!$G$55=$B69,+Rounding!H$55,0)</f>
        <v>0</v>
      </c>
      <c r="H69" s="660">
        <f>+'BALANCE-SHEET-2021-leva'!H69/1000+IF(+Rounding!$G$54=$B69,+Rounding!I$54,0)+IF(+Rounding!$G$55=$B69,+Rounding!I$55,0)</f>
        <v>0</v>
      </c>
      <c r="I69" s="154"/>
      <c r="J69" s="659">
        <f>+'BALANCE-SHEET-2021-leva'!J69/1000+IF(+Rounding!$K$54=$B69,+Rounding!L$54,0)+IF(+Rounding!$K$55=$B69,+Rounding!L$55,0)</f>
        <v>0</v>
      </c>
      <c r="K69" s="660">
        <f>+'BALANCE-SHEET-2021-leva'!K69/1000+IF(+Rounding!$K$54=$B69,+Rounding!M$54,0)+IF(+Rounding!$K$55=$B69,+Rounding!M$55,0)</f>
        <v>0</v>
      </c>
      <c r="L69" s="154"/>
      <c r="M69" s="659">
        <f>+D69+G69+J69+IF(+Rounding!$O$54=$B69,+Rounding!P$54,0)+IF(+Rounding!$O$55=$B69,+Rounding!P$55,0)</f>
        <v>0</v>
      </c>
      <c r="N69" s="660">
        <f>+E69+H69+K69+IF(+Rounding!$O$54=$B69,+Rounding!Q$54,0)+IF(+Rounding!$O$55=$B69,+Rounding!Q$55,0)</f>
        <v>0</v>
      </c>
      <c r="O69" s="303"/>
      <c r="P69" s="152"/>
      <c r="Q69" s="152"/>
      <c r="R69" s="303"/>
      <c r="S69" s="303"/>
      <c r="T69" s="303"/>
      <c r="U69" s="303"/>
      <c r="V69" s="303"/>
      <c r="W69" s="303"/>
      <c r="X69" s="303"/>
      <c r="Y69" s="303"/>
      <c r="Z69" s="303"/>
    </row>
    <row r="70" spans="1:26" ht="15.75">
      <c r="A70" s="334" t="s">
        <v>420</v>
      </c>
      <c r="B70" s="340">
        <v>512</v>
      </c>
      <c r="C70" s="154"/>
      <c r="D70" s="659">
        <f>+'BALANCE-SHEET-2021-leva'!D70/1000+IF(+Rounding!$C$54=$B70,+Rounding!D$54,0)+IF(+Rounding!$C$55=$B70,+Rounding!D$55,0)</f>
        <v>0</v>
      </c>
      <c r="E70" s="660">
        <f>+'BALANCE-SHEET-2021-leva'!E70/1000+IF(+Rounding!$C$54=$B70,+Rounding!E$54,0)+IF(+Rounding!$C$55=$B70,+Rounding!E$55,0)</f>
        <v>0</v>
      </c>
      <c r="F70" s="154"/>
      <c r="G70" s="659">
        <f>+'BALANCE-SHEET-2021-leva'!G70/1000+IF(+Rounding!$G$54=$B70,+Rounding!H$54,0)+IF(+Rounding!$G$55=$B70,+Rounding!H$55,0)</f>
        <v>0</v>
      </c>
      <c r="H70" s="660">
        <f>+'BALANCE-SHEET-2021-leva'!H70/1000+IF(+Rounding!$G$54=$B70,+Rounding!I$54,0)+IF(+Rounding!$G$55=$B70,+Rounding!I$55,0)</f>
        <v>0</v>
      </c>
      <c r="I70" s="154"/>
      <c r="J70" s="659">
        <f>+'BALANCE-SHEET-2021-leva'!J70/1000+IF(+Rounding!$K$54=$B70,+Rounding!L$54,0)+IF(+Rounding!$K$55=$B70,+Rounding!L$55,0)</f>
        <v>0</v>
      </c>
      <c r="K70" s="660">
        <f>+'BALANCE-SHEET-2021-leva'!K70/1000+IF(+Rounding!$K$54=$B70,+Rounding!M$54,0)+IF(+Rounding!$K$55=$B70,+Rounding!M$55,0)</f>
        <v>0</v>
      </c>
      <c r="L70" s="154"/>
      <c r="M70" s="659">
        <f>+D70+G70+J70+IF(+Rounding!$O$54=$B70,+Rounding!P$54,0)+IF(+Rounding!$O$55=$B70,+Rounding!P$55,0)</f>
        <v>0</v>
      </c>
      <c r="N70" s="660">
        <f>+E70+H70+K70+IF(+Rounding!$O$54=$B70,+Rounding!Q$54,0)+IF(+Rounding!$O$55=$B70,+Rounding!Q$55,0)</f>
        <v>0</v>
      </c>
      <c r="O70" s="303"/>
      <c r="P70" s="152"/>
      <c r="Q70" s="152"/>
      <c r="R70" s="303"/>
      <c r="S70" s="303"/>
      <c r="T70" s="303"/>
      <c r="U70" s="303"/>
      <c r="V70" s="303"/>
      <c r="W70" s="303"/>
      <c r="X70" s="303"/>
      <c r="Y70" s="303"/>
      <c r="Z70" s="303"/>
    </row>
    <row r="71" spans="1:26" ht="15.75">
      <c r="A71" s="336" t="s">
        <v>2186</v>
      </c>
      <c r="B71" s="341">
        <v>513</v>
      </c>
      <c r="C71" s="154"/>
      <c r="D71" s="661">
        <f>+'BALANCE-SHEET-2021-leva'!D71/1000+IF(+Rounding!$C$54=$B71,+Rounding!D$54,0)+IF(+Rounding!$C$55=$B71,+Rounding!D$55,0)</f>
        <v>0</v>
      </c>
      <c r="E71" s="662">
        <f>+'BALANCE-SHEET-2021-leva'!E71/1000+IF(+Rounding!$C$54=$B71,+Rounding!E$54,0)+IF(+Rounding!$C$55=$B71,+Rounding!E$55,0)</f>
        <v>0</v>
      </c>
      <c r="F71" s="154"/>
      <c r="G71" s="661">
        <f>+'BALANCE-SHEET-2021-leva'!G71/1000+IF(+Rounding!$G$54=$B71,+Rounding!H$54,0)+IF(+Rounding!$G$55=$B71,+Rounding!H$55,0)</f>
        <v>0</v>
      </c>
      <c r="H71" s="662">
        <f>+'BALANCE-SHEET-2021-leva'!H71/1000+IF(+Rounding!$G$54=$B71,+Rounding!I$54,0)+IF(+Rounding!$G$55=$B71,+Rounding!I$55,0)</f>
        <v>0</v>
      </c>
      <c r="I71" s="154"/>
      <c r="J71" s="661">
        <f>+'BALANCE-SHEET-2021-leva'!J71/1000+IF(+Rounding!$K$54=$B71,+Rounding!L$54,0)+IF(+Rounding!$K$55=$B71,+Rounding!L$55,0)</f>
        <v>0</v>
      </c>
      <c r="K71" s="662">
        <f>+'BALANCE-SHEET-2021-leva'!K71/1000+IF(+Rounding!$K$54=$B71,+Rounding!M$54,0)+IF(+Rounding!$K$55=$B71,+Rounding!M$55,0)</f>
        <v>0</v>
      </c>
      <c r="L71" s="154"/>
      <c r="M71" s="661">
        <f>+D71+G71+J71+IF(+Rounding!$O$54=$B71,+Rounding!P$54,0)+IF(+Rounding!$O$55=$B71,+Rounding!P$55,0)</f>
        <v>0</v>
      </c>
      <c r="N71" s="662">
        <f>+E71+H71+K71+IF(+Rounding!$O$54=$B71,+Rounding!Q$54,0)+IF(+Rounding!$O$55=$B71,+Rounding!Q$55,0)</f>
        <v>0</v>
      </c>
      <c r="O71" s="303"/>
      <c r="P71" s="152"/>
      <c r="Q71" s="15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177" t="s">
        <v>1025</v>
      </c>
      <c r="B72" s="186">
        <v>510</v>
      </c>
      <c r="C72" s="154"/>
      <c r="D72" s="663">
        <f>+D69+D70+D71</f>
        <v>0</v>
      </c>
      <c r="E72" s="664">
        <f>+E69+E70+E71</f>
        <v>0</v>
      </c>
      <c r="F72" s="154"/>
      <c r="G72" s="663">
        <f>+G69+G70+G71</f>
        <v>0</v>
      </c>
      <c r="H72" s="664">
        <f>+H69+H70+H71</f>
        <v>0</v>
      </c>
      <c r="I72" s="154"/>
      <c r="J72" s="663">
        <f>+J69+J70+J71</f>
        <v>0</v>
      </c>
      <c r="K72" s="664">
        <f>+K69+K70+K71</f>
        <v>0</v>
      </c>
      <c r="L72" s="154"/>
      <c r="M72" s="663">
        <f>+M69+M70+M71</f>
        <v>0</v>
      </c>
      <c r="N72" s="664">
        <f>+N69+N70+N71</f>
        <v>0</v>
      </c>
      <c r="O72" s="303"/>
      <c r="P72" s="152"/>
      <c r="Q72" s="152"/>
      <c r="R72" s="303"/>
      <c r="S72" s="303"/>
      <c r="T72" s="303"/>
      <c r="U72" s="303"/>
      <c r="V72" s="303"/>
      <c r="W72" s="303"/>
      <c r="X72" s="303"/>
      <c r="Y72" s="303"/>
      <c r="Z72" s="303"/>
    </row>
    <row r="73" spans="1:26" ht="15.75">
      <c r="A73" s="172" t="s">
        <v>421</v>
      </c>
      <c r="B73" s="187"/>
      <c r="C73" s="154"/>
      <c r="D73" s="255" t="str">
        <f>+IF(+OR(D74&lt;0,D75&lt;0,D76&lt;0,D77&lt;0,D78&lt;0,D79&lt;0,D80&lt;0,D81&lt;0,D82&lt;0),"НЕРАВНЕНИЕ !"," ")</f>
        <v xml:space="preserve"> </v>
      </c>
      <c r="E73" s="322" t="str">
        <f>+IF(+OR(E74&lt;0,E75&lt;0,E76&lt;0,E77&lt;0,E78&lt;0,E79&lt;0,E80&lt;0,E81&lt;0,E82&lt;0),"НЕРАВНЕНИЕ !"," ")</f>
        <v xml:space="preserve"> </v>
      </c>
      <c r="F73" s="154"/>
      <c r="G73" s="255" t="str">
        <f>+IF(+OR(G74&lt;0,G75&lt;0,G76&lt;0,G77&lt;0,G78&lt;0,G79&lt;0,G80&lt;0,G81&lt;0,G82&lt;0),"НЕРАВНЕНИЕ !"," ")</f>
        <v xml:space="preserve"> </v>
      </c>
      <c r="H73" s="322" t="str">
        <f>+IF(+OR(H74&lt;0,H75&lt;0,H76&lt;0,H77&lt;0,H78&lt;0,H79&lt;0,H80&lt;0,H81&lt;0,H82&lt;0),"НЕРАВНЕНИЕ !"," ")</f>
        <v xml:space="preserve"> </v>
      </c>
      <c r="I73" s="154"/>
      <c r="J73" s="255" t="str">
        <f>+IF(+OR(J74&lt;0,J75&lt;0,J76&lt;0,J77&lt;0,J78&lt;0,J79&lt;0,J80&lt;0,J81&lt;0,J82&lt;0),"НЕРАВНЕНИЕ !"," ")</f>
        <v xml:space="preserve"> </v>
      </c>
      <c r="K73" s="322" t="str">
        <f>+IF(+OR(K74&lt;0,K75&lt;0,K76&lt;0,K77&lt;0,K78&lt;0,K79&lt;0,K80&lt;0,K81&lt;0,K82&lt;0),"НЕРАВНЕНИЕ !"," ")</f>
        <v xml:space="preserve"> </v>
      </c>
      <c r="L73" s="154"/>
      <c r="M73" s="255" t="str">
        <f>+IF(+OR(M74&lt;0,M75&lt;0,M76&lt;0,M77&lt;0,M78&lt;0,M79&lt;0,M80&lt;0,M81&lt;0,M82&lt;0),"НЕРАВНЕНИЕ !"," ")</f>
        <v xml:space="preserve"> </v>
      </c>
      <c r="N73" s="322" t="str">
        <f>+IF(+OR(N74&lt;0,N75&lt;0,N76&lt;0,N77&lt;0,N78&lt;0,N79&lt;0,N80&lt;0,N81&lt;0,N82&lt;0),"НЕРАВНЕНИЕ !"," ")</f>
        <v xml:space="preserve"> </v>
      </c>
      <c r="O73" s="303"/>
      <c r="P73" s="152"/>
      <c r="Q73" s="1903" t="s">
        <v>1875</v>
      </c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334" t="s">
        <v>368</v>
      </c>
      <c r="B74" s="340">
        <v>521</v>
      </c>
      <c r="C74" s="154"/>
      <c r="D74" s="659">
        <f>+'BALANCE-SHEET-2021-leva'!D74/1000+IF(+Rounding!$C$54=$B74,+Rounding!D$54,0)+IF(+Rounding!$C$55=$B74,+Rounding!D$55,0)</f>
        <v>0</v>
      </c>
      <c r="E74" s="660">
        <f>+'BALANCE-SHEET-2021-leva'!E74/1000+IF(+Rounding!$C$54=$B74,+Rounding!E$54,0)+IF(+Rounding!$C$55=$B74,+Rounding!E$55,0)</f>
        <v>0</v>
      </c>
      <c r="F74" s="154"/>
      <c r="G74" s="659">
        <f>+'BALANCE-SHEET-2021-leva'!G74/1000+IF(+Rounding!$G$54=$B74,+Rounding!H$54,0)+IF(+Rounding!$G$55=$B74,+Rounding!H$55,0)</f>
        <v>0</v>
      </c>
      <c r="H74" s="660">
        <f>+'BALANCE-SHEET-2021-leva'!H74/1000+IF(+Rounding!$G$54=$B74,+Rounding!I$54,0)+IF(+Rounding!$G$55=$B74,+Rounding!I$55,0)</f>
        <v>0</v>
      </c>
      <c r="I74" s="154"/>
      <c r="J74" s="659">
        <f>+'BALANCE-SHEET-2021-leva'!J74/1000+IF(+Rounding!$K$54=$B74,+Rounding!L$54,0)+IF(+Rounding!$K$55=$B74,+Rounding!L$55,0)</f>
        <v>0</v>
      </c>
      <c r="K74" s="660">
        <f>+'BALANCE-SHEET-2021-leva'!K74/1000+IF(+Rounding!$K$54=$B74,+Rounding!M$54,0)+IF(+Rounding!$K$55=$B74,+Rounding!M$55,0)</f>
        <v>0</v>
      </c>
      <c r="L74" s="154"/>
      <c r="M74" s="659">
        <f>+D74+G74+J74+IF(+Rounding!$O$54=$B74,+Rounding!P$54,0)+IF(+Rounding!$O$55=$B74,+Rounding!P$55,0)</f>
        <v>0</v>
      </c>
      <c r="N74" s="660">
        <f>+E74+H74+K74+IF(+Rounding!$O$54=$B74,+Rounding!Q$54,0)+IF(+Rounding!$O$55=$B74,+Rounding!Q$55,0)</f>
        <v>0</v>
      </c>
      <c r="O74" s="303"/>
      <c r="P74" s="1377" t="s">
        <v>1876</v>
      </c>
      <c r="Q74" s="1904" t="str">
        <f>+Q$35</f>
        <v xml:space="preserve">'Intra-Balances' </v>
      </c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6" ht="15.75">
      <c r="A75" s="334" t="s">
        <v>422</v>
      </c>
      <c r="B75" s="340">
        <f t="shared" ref="B75:B82" si="0">1+B74</f>
        <v>522</v>
      </c>
      <c r="C75" s="154"/>
      <c r="D75" s="659">
        <f>+'BALANCE-SHEET-2021-leva'!D75/1000+IF(+Rounding!$C$54=$B75,+Rounding!D$54,0)+IF(+Rounding!$C$55=$B75,+Rounding!D$55,0)</f>
        <v>8.9199599999999997</v>
      </c>
      <c r="E75" s="660">
        <f>+'BALANCE-SHEET-2021-leva'!E75/1000+IF(+Rounding!$C$54=$B75,+Rounding!E$54,0)+IF(+Rounding!$C$55=$B75,+Rounding!E$55,0)</f>
        <v>62.721760000000003</v>
      </c>
      <c r="F75" s="154"/>
      <c r="G75" s="659">
        <f>+'BALANCE-SHEET-2021-leva'!G75/1000+IF(+Rounding!$G$54=$B75,+Rounding!H$54,0)+IF(+Rounding!$G$55=$B75,+Rounding!H$55,0)</f>
        <v>441.00799000000001</v>
      </c>
      <c r="H75" s="660">
        <f>+'BALANCE-SHEET-2021-leva'!H75/1000+IF(+Rounding!$G$54=$B75,+Rounding!I$54,0)+IF(+Rounding!$G$55=$B75,+Rounding!I$55,0)</f>
        <v>4330.4268899999997</v>
      </c>
      <c r="I75" s="154"/>
      <c r="J75" s="659">
        <f>+'BALANCE-SHEET-2021-leva'!J75/1000+IF(+Rounding!$K$54=$B75,+Rounding!L$54,0)+IF(+Rounding!$K$55=$B75,+Rounding!L$55,0)</f>
        <v>0</v>
      </c>
      <c r="K75" s="660">
        <f>+'BALANCE-SHEET-2021-leva'!K75/1000+IF(+Rounding!$K$54=$B75,+Rounding!M$54,0)+IF(+Rounding!$K$55=$B75,+Rounding!M$55,0)</f>
        <v>0</v>
      </c>
      <c r="L75" s="154"/>
      <c r="M75" s="659">
        <f>+D75+G75+J75+IF(+Rounding!$O$54=$B75,+Rounding!P$54,0)+IF(+Rounding!$O$55=$B75,+Rounding!P$55,0)</f>
        <v>449.92795000000001</v>
      </c>
      <c r="N75" s="660">
        <f>+E75+H75+K75+IF(+Rounding!$O$54=$B75,+Rounding!Q$54,0)+IF(+Rounding!$O$55=$B75,+Rounding!Q$55,0)</f>
        <v>4393.1486500000001</v>
      </c>
      <c r="O75" s="303"/>
      <c r="P75" s="1378" t="s">
        <v>1877</v>
      </c>
      <c r="Q75" s="1905" t="str">
        <f>+Q$36</f>
        <v>'Municipal-Bal'</v>
      </c>
      <c r="R75" s="303"/>
      <c r="S75" s="303"/>
      <c r="T75" s="303"/>
      <c r="U75" s="303"/>
      <c r="V75" s="303"/>
      <c r="W75" s="303"/>
      <c r="X75" s="303"/>
      <c r="Y75" s="303"/>
      <c r="Z75" s="303"/>
    </row>
    <row r="76" spans="1:26" ht="15.75">
      <c r="A76" s="334" t="s">
        <v>423</v>
      </c>
      <c r="B76" s="340">
        <f t="shared" si="0"/>
        <v>523</v>
      </c>
      <c r="C76" s="154"/>
      <c r="D76" s="659">
        <f>+'BALANCE-SHEET-2021-leva'!D76/1000+IF(+Rounding!$C$54=$B76,+Rounding!D$54,0)+IF(+Rounding!$C$55=$B76,+Rounding!D$55,0)</f>
        <v>0</v>
      </c>
      <c r="E76" s="660">
        <f>+'BALANCE-SHEET-2021-leva'!E76/1000+IF(+Rounding!$C$54=$B76,+Rounding!E$54,0)+IF(+Rounding!$C$55=$B76,+Rounding!E$55,0)</f>
        <v>0</v>
      </c>
      <c r="F76" s="154"/>
      <c r="G76" s="659">
        <f>+'BALANCE-SHEET-2021-leva'!G76/1000+IF(+Rounding!$G$54=$B76,+Rounding!H$54,0)+IF(+Rounding!$G$55=$B76,+Rounding!H$55,0)</f>
        <v>0</v>
      </c>
      <c r="H76" s="660">
        <f>+'BALANCE-SHEET-2021-leva'!H76/1000+IF(+Rounding!$G$54=$B76,+Rounding!I$54,0)+IF(+Rounding!$G$55=$B76,+Rounding!I$55,0)</f>
        <v>0</v>
      </c>
      <c r="I76" s="154"/>
      <c r="J76" s="659">
        <f>+'BALANCE-SHEET-2021-leva'!J76/1000+IF(+Rounding!$K$54=$B76,+Rounding!L$54,0)+IF(+Rounding!$K$55=$B76,+Rounding!L$55,0)</f>
        <v>0</v>
      </c>
      <c r="K76" s="660">
        <f>+'BALANCE-SHEET-2021-leva'!K76/1000+IF(+Rounding!$K$54=$B76,+Rounding!M$54,0)+IF(+Rounding!$K$55=$B76,+Rounding!M$55,0)</f>
        <v>0</v>
      </c>
      <c r="L76" s="154"/>
      <c r="M76" s="659">
        <f>+D76+G76+J76+IF(+Rounding!$O$54=$B76,+Rounding!P$54,0)+IF(+Rounding!$O$55=$B76,+Rounding!P$55,0)</f>
        <v>0</v>
      </c>
      <c r="N76" s="660">
        <f>+E76+H76+K76+IF(+Rounding!$O$54=$B76,+Rounding!Q$54,0)+IF(+Rounding!$O$55=$B76,+Rounding!Q$55,0)</f>
        <v>0</v>
      </c>
      <c r="O76" s="303"/>
      <c r="P76" s="1245" t="s">
        <v>1254</v>
      </c>
      <c r="Q76" s="1213" t="s">
        <v>1255</v>
      </c>
      <c r="R76" s="303"/>
      <c r="S76" s="303"/>
      <c r="T76" s="303"/>
      <c r="U76" s="303"/>
      <c r="V76" s="303"/>
      <c r="W76" s="303"/>
      <c r="X76" s="303"/>
      <c r="Y76" s="303"/>
      <c r="Z76" s="303"/>
    </row>
    <row r="77" spans="1:26" ht="15.75">
      <c r="A77" s="334" t="s">
        <v>369</v>
      </c>
      <c r="B77" s="340">
        <f t="shared" si="0"/>
        <v>524</v>
      </c>
      <c r="C77" s="154"/>
      <c r="D77" s="659">
        <f>+'BALANCE-SHEET-2021-leva'!D77/1000+IF(+Rounding!$C$54=$B77,+Rounding!D$54,0)+IF(+Rounding!$C$55=$B77,+Rounding!D$55,0)</f>
        <v>0</v>
      </c>
      <c r="E77" s="660">
        <f>+'BALANCE-SHEET-2021-leva'!E77/1000+IF(+Rounding!$C$54=$B77,+Rounding!E$54,0)+IF(+Rounding!$C$55=$B77,+Rounding!E$55,0)</f>
        <v>0</v>
      </c>
      <c r="F77" s="154"/>
      <c r="G77" s="659">
        <f>+'BALANCE-SHEET-2021-leva'!G77/1000+IF(+Rounding!$G$54=$B77,+Rounding!H$54,0)+IF(+Rounding!$G$55=$B77,+Rounding!H$55,0)</f>
        <v>0</v>
      </c>
      <c r="H77" s="660">
        <f>+'BALANCE-SHEET-2021-leva'!H77/1000+IF(+Rounding!$G$54=$B77,+Rounding!I$54,0)+IF(+Rounding!$G$55=$B77,+Rounding!I$55,0)</f>
        <v>0</v>
      </c>
      <c r="I77" s="154"/>
      <c r="J77" s="659">
        <f>+'BALANCE-SHEET-2021-leva'!J77/1000+IF(+Rounding!$K$54=$B77,+Rounding!L$54,0)+IF(+Rounding!$K$55=$B77,+Rounding!L$55,0)</f>
        <v>0</v>
      </c>
      <c r="K77" s="660">
        <f>+'BALANCE-SHEET-2021-leva'!K77/1000+IF(+Rounding!$K$54=$B77,+Rounding!M$54,0)+IF(+Rounding!$K$55=$B77,+Rounding!M$55,0)</f>
        <v>0</v>
      </c>
      <c r="L77" s="154"/>
      <c r="M77" s="659">
        <f>+D77+G77+J77+IF(+Rounding!$O$54=$B77,+Rounding!P$54,0)+IF(+Rounding!$O$55=$B77,+Rounding!P$55,0)</f>
        <v>0</v>
      </c>
      <c r="N77" s="660">
        <f>+E77+H77+K77+IF(+Rounding!$O$54=$B77,+Rounding!Q$54,0)+IF(+Rounding!$O$55=$B77,+Rounding!Q$55,0)</f>
        <v>0</v>
      </c>
      <c r="O77" s="303"/>
      <c r="P77" s="1214" t="s">
        <v>1196</v>
      </c>
      <c r="Q77" s="1215" t="s">
        <v>1965</v>
      </c>
      <c r="R77" s="303"/>
      <c r="S77" s="303"/>
      <c r="T77" s="303"/>
      <c r="U77" s="303"/>
      <c r="V77" s="303"/>
      <c r="W77" s="303"/>
      <c r="X77" s="303"/>
      <c r="Y77" s="303"/>
      <c r="Z77" s="303"/>
    </row>
    <row r="78" spans="1:26" ht="15.75">
      <c r="A78" s="334" t="s">
        <v>424</v>
      </c>
      <c r="B78" s="340">
        <f t="shared" si="0"/>
        <v>525</v>
      </c>
      <c r="C78" s="154"/>
      <c r="D78" s="673">
        <f>+'BALANCE-SHEET-2021-leva'!D78/1000+IF(+Rounding!$C$54=$B78,+Rounding!D$54,0)+IF(+Rounding!$C$55=$B78,+Rounding!D$55,0)</f>
        <v>7.1883299999999997</v>
      </c>
      <c r="E78" s="674">
        <f>+'BALANCE-SHEET-2021-leva'!E78/1000+IF(+Rounding!$C$54=$B78,+Rounding!E$54,0)+IF(+Rounding!$C$55=$B78,+Rounding!E$55,0)</f>
        <v>13.21733</v>
      </c>
      <c r="F78" s="154"/>
      <c r="G78" s="673">
        <f>+'BALANCE-SHEET-2021-leva'!G78/1000+IF(+Rounding!$G$54=$B78,+Rounding!H$54,0)+IF(+Rounding!$G$55=$B78,+Rounding!H$55,0)</f>
        <v>1.69197</v>
      </c>
      <c r="H78" s="674">
        <f>+'BALANCE-SHEET-2021-leva'!H78/1000+IF(+Rounding!$G$54=$B78,+Rounding!I$54,0)+IF(+Rounding!$G$55=$B78,+Rounding!I$55,0)</f>
        <v>3.2783099999999998</v>
      </c>
      <c r="I78" s="154"/>
      <c r="J78" s="673">
        <f>+'BALANCE-SHEET-2021-leva'!J78/1000+IF(+Rounding!$K$54=$B78,+Rounding!L$54,0)+IF(+Rounding!$K$55=$B78,+Rounding!L$55,0)</f>
        <v>0</v>
      </c>
      <c r="K78" s="674">
        <f>+'BALANCE-SHEET-2021-leva'!K78/1000+IF(+Rounding!$K$54=$B78,+Rounding!M$54,0)+IF(+Rounding!$K$55=$B78,+Rounding!M$55,0)</f>
        <v>0</v>
      </c>
      <c r="L78" s="154"/>
      <c r="M78" s="673">
        <f>+D78+G78+J78+IF(+Rounding!$O$54=$B78,+Rounding!P$54,0)+IF(+Rounding!$O$55=$B78,+Rounding!P$55,0)-P78</f>
        <v>8.8803000000000001</v>
      </c>
      <c r="N78" s="674">
        <f>+E78+H78+K78+IF(+Rounding!$O$54=$B78,+Rounding!Q$54,0)+IF(+Rounding!$O$55=$B78,+Rounding!Q$55,0)-Q78</f>
        <v>16.495640000000002</v>
      </c>
      <c r="O78" s="303"/>
      <c r="P78" s="2091">
        <f>+'BALANCE-SHEET-2021-leva'!P78/1000</f>
        <v>0</v>
      </c>
      <c r="Q78" s="2092">
        <f>+'BALANCE-SHEET-2021-leva'!Q78/1000</f>
        <v>0</v>
      </c>
      <c r="R78" s="303"/>
      <c r="S78" s="303"/>
      <c r="T78" s="303"/>
      <c r="U78" s="303"/>
      <c r="V78" s="303"/>
      <c r="W78" s="303"/>
      <c r="X78" s="303"/>
      <c r="Y78" s="303"/>
      <c r="Z78" s="303"/>
    </row>
    <row r="79" spans="1:26" ht="15.75">
      <c r="A79" s="687" t="s">
        <v>1015</v>
      </c>
      <c r="B79" s="340">
        <f t="shared" si="0"/>
        <v>526</v>
      </c>
      <c r="C79" s="154"/>
      <c r="D79" s="659">
        <f>+'BALANCE-SHEET-2021-leva'!D79/1000+IF(+Rounding!$C$54=$B79,+Rounding!D$54,0)+IF(+Rounding!$C$55=$B79,+Rounding!D$55,0)</f>
        <v>51.466680000000004</v>
      </c>
      <c r="E79" s="660">
        <f>+'BALANCE-SHEET-2021-leva'!E79/1000+IF(+Rounding!$C$54=$B79,+Rounding!E$54,0)+IF(+Rounding!$C$55=$B79,+Rounding!E$55,0)</f>
        <v>42.76558</v>
      </c>
      <c r="F79" s="154"/>
      <c r="G79" s="659">
        <f>+'BALANCE-SHEET-2021-leva'!G79/1000+IF(+Rounding!$G$54=$B79,+Rounding!H$54,0)+IF(+Rounding!$G$55=$B79,+Rounding!H$55,0)</f>
        <v>5.7367799999999995</v>
      </c>
      <c r="H79" s="660">
        <f>+'BALANCE-SHEET-2021-leva'!H79/1000+IF(+Rounding!$G$54=$B79,+Rounding!I$54,0)+IF(+Rounding!$G$55=$B79,+Rounding!I$55,0)</f>
        <v>19.39931</v>
      </c>
      <c r="I79" s="154"/>
      <c r="J79" s="659">
        <f>+'BALANCE-SHEET-2021-leva'!J79/1000+IF(+Rounding!$K$54=$B79,+Rounding!L$54,0)+IF(+Rounding!$K$55=$B79,+Rounding!L$55,0)</f>
        <v>0</v>
      </c>
      <c r="K79" s="660">
        <f>+'BALANCE-SHEET-2021-leva'!K79/1000+IF(+Rounding!$K$54=$B79,+Rounding!M$54,0)+IF(+Rounding!$K$55=$B79,+Rounding!M$55,0)</f>
        <v>0</v>
      </c>
      <c r="L79" s="154"/>
      <c r="M79" s="659">
        <f>+D79+G79+J79+IF(+Rounding!$O$54=$B79,+Rounding!P$54,0)+IF(+Rounding!$O$55=$B79,+Rounding!P$55,0)</f>
        <v>57.203460000000007</v>
      </c>
      <c r="N79" s="660">
        <f>+E79+H79+K79+IF(+Rounding!$O$54=$B79,+Rounding!Q$54,0)+IF(+Rounding!$O$55=$B79,+Rounding!Q$55,0)</f>
        <v>62.16489</v>
      </c>
      <c r="O79" s="303"/>
      <c r="P79" s="2089"/>
      <c r="Q79" s="2090"/>
      <c r="R79" s="303"/>
      <c r="S79" s="303"/>
      <c r="T79" s="303"/>
      <c r="U79" s="303"/>
      <c r="V79" s="303"/>
      <c r="W79" s="303"/>
      <c r="X79" s="303"/>
      <c r="Y79" s="303"/>
      <c r="Z79" s="303"/>
    </row>
    <row r="80" spans="1:26" ht="15.75">
      <c r="A80" s="687" t="s">
        <v>425</v>
      </c>
      <c r="B80" s="340">
        <f t="shared" si="0"/>
        <v>527</v>
      </c>
      <c r="C80" s="154"/>
      <c r="D80" s="659">
        <f>+'BALANCE-SHEET-2021-leva'!D80/1000+IF(+Rounding!$C$54=$B80,+Rounding!D$54,0)+IF(+Rounding!$C$55=$B80,+Rounding!D$55,0)</f>
        <v>116.39085</v>
      </c>
      <c r="E80" s="660">
        <f>+'BALANCE-SHEET-2021-leva'!E80/1000+IF(+Rounding!$C$54=$B80,+Rounding!E$54,0)+IF(+Rounding!$C$55=$B80,+Rounding!E$55,0)</f>
        <v>102.55201</v>
      </c>
      <c r="F80" s="154"/>
      <c r="G80" s="659">
        <f>+'BALANCE-SHEET-2021-leva'!G80/1000+IF(+Rounding!$G$54=$B80,+Rounding!H$54,0)+IF(+Rounding!$G$55=$B80,+Rounding!H$55,0)</f>
        <v>15.36393</v>
      </c>
      <c r="H80" s="660">
        <f>+'BALANCE-SHEET-2021-leva'!H80/1000+IF(+Rounding!$G$54=$B80,+Rounding!I$54,0)+IF(+Rounding!$G$55=$B80,+Rounding!I$55,0)</f>
        <v>48.299790000000002</v>
      </c>
      <c r="I80" s="154"/>
      <c r="J80" s="659">
        <f>+'BALANCE-SHEET-2021-leva'!J80/1000+IF(+Rounding!$K$54=$B80,+Rounding!L$54,0)+IF(+Rounding!$K$55=$B80,+Rounding!L$55,0)</f>
        <v>0</v>
      </c>
      <c r="K80" s="660">
        <f>+'BALANCE-SHEET-2021-leva'!K80/1000+IF(+Rounding!$K$54=$B80,+Rounding!M$54,0)+IF(+Rounding!$K$55=$B80,+Rounding!M$55,0)</f>
        <v>0</v>
      </c>
      <c r="L80" s="154"/>
      <c r="M80" s="659">
        <f>+D80+G80+J80+IF(+Rounding!$O$54=$B80,+Rounding!P$54,0)+IF(+Rounding!$O$55=$B80,+Rounding!P$55,0)</f>
        <v>131.75478000000001</v>
      </c>
      <c r="N80" s="660">
        <f>+E80+H80+K80+IF(+Rounding!$O$54=$B80,+Rounding!Q$54,0)+IF(+Rounding!$O$55=$B80,+Rounding!Q$55,0)</f>
        <v>150.8518</v>
      </c>
      <c r="O80" s="303"/>
      <c r="P80" s="2089"/>
      <c r="Q80" s="2090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ht="15.75">
      <c r="A81" s="687" t="s">
        <v>1050</v>
      </c>
      <c r="B81" s="340">
        <f t="shared" si="0"/>
        <v>528</v>
      </c>
      <c r="C81" s="154"/>
      <c r="D81" s="659">
        <f>+'BALANCE-SHEET-2021-leva'!D81/1000+IF(+Rounding!$C$54=$B81,+Rounding!D$54,0)+IF(+Rounding!$C$55=$B81,+Rounding!D$55,0)</f>
        <v>230</v>
      </c>
      <c r="E81" s="660">
        <f>+'BALANCE-SHEET-2021-leva'!E81/1000+IF(+Rounding!$C$54=$B81,+Rounding!E$54,0)+IF(+Rounding!$C$55=$B81,+Rounding!E$55,0)</f>
        <v>20</v>
      </c>
      <c r="F81" s="154"/>
      <c r="G81" s="659">
        <f>+'BALANCE-SHEET-2021-leva'!G81/1000+IF(+Rounding!$G$54=$B81,+Rounding!H$54,0)+IF(+Rounding!$G$55=$B81,+Rounding!H$55,0)</f>
        <v>384.08524999999997</v>
      </c>
      <c r="H81" s="660">
        <f>+'BALANCE-SHEET-2021-leva'!H81/1000+IF(+Rounding!$G$54=$B81,+Rounding!I$54,0)+IF(+Rounding!$G$55=$B81,+Rounding!I$55,0)</f>
        <v>76.497420000000005</v>
      </c>
      <c r="I81" s="154"/>
      <c r="J81" s="659">
        <f>+'BALANCE-SHEET-2021-leva'!J81/1000+IF(+Rounding!$K$54=$B81,+Rounding!L$54,0)+IF(+Rounding!$K$55=$B81,+Rounding!L$55,0)</f>
        <v>0</v>
      </c>
      <c r="K81" s="660">
        <f>+'BALANCE-SHEET-2021-leva'!K81/1000+IF(+Rounding!$K$54=$B81,+Rounding!M$54,0)+IF(+Rounding!$K$55=$B81,+Rounding!M$55,0)</f>
        <v>0</v>
      </c>
      <c r="L81" s="154"/>
      <c r="M81" s="659">
        <f>+D81+G81+J81+IF(+Rounding!$O$54=$B81,+Rounding!P$54,0)+IF(+Rounding!$O$55=$B81,+Rounding!P$55,0)-P81</f>
        <v>614.08524999999997</v>
      </c>
      <c r="N81" s="660">
        <f>+E81+H81+K81+IF(+Rounding!$O$54=$B81,+Rounding!Q$54,0)+IF(+Rounding!$O$55=$B81,+Rounding!Q$55,0)-Q81</f>
        <v>96.497420000000005</v>
      </c>
      <c r="O81" s="303"/>
      <c r="P81" s="2093">
        <f>+'BALANCE-SHEET-2021-leva'!P81/1000</f>
        <v>0</v>
      </c>
      <c r="Q81" s="1225">
        <f>+'BALANCE-SHEET-2021-leva'!Q81/1000</f>
        <v>0</v>
      </c>
      <c r="R81" s="303"/>
      <c r="S81" s="303"/>
      <c r="T81" s="303"/>
      <c r="U81" s="303"/>
      <c r="V81" s="303"/>
      <c r="W81" s="303"/>
      <c r="X81" s="303"/>
      <c r="Y81" s="303"/>
      <c r="Z81" s="303"/>
    </row>
    <row r="82" spans="1:26" ht="15.75">
      <c r="A82" s="336" t="s">
        <v>426</v>
      </c>
      <c r="B82" s="341">
        <f t="shared" si="0"/>
        <v>529</v>
      </c>
      <c r="C82" s="154"/>
      <c r="D82" s="661">
        <f>+'BALANCE-SHEET-2021-leva'!D82/1000+IF(+Rounding!$C$54=$B82,+Rounding!D$54,0)+IF(+Rounding!$C$55=$B82,+Rounding!D$55,0)</f>
        <v>32.812169999999995</v>
      </c>
      <c r="E82" s="662">
        <f>+'BALANCE-SHEET-2021-leva'!E82/1000+IF(+Rounding!$C$54=$B82,+Rounding!E$54,0)+IF(+Rounding!$C$55=$B82,+Rounding!E$55,0)</f>
        <v>155.97457999999997</v>
      </c>
      <c r="F82" s="154"/>
      <c r="G82" s="661">
        <f>+'BALANCE-SHEET-2021-leva'!G82/1000+IF(+Rounding!$G$54=$B82,+Rounding!H$54,0)+IF(+Rounding!$G$55=$B82,+Rounding!H$55,0)</f>
        <v>0</v>
      </c>
      <c r="H82" s="662">
        <f>+'BALANCE-SHEET-2021-leva'!H82/1000+IF(+Rounding!$G$54=$B82,+Rounding!I$54,0)+IF(+Rounding!$G$55=$B82,+Rounding!I$55,0)</f>
        <v>0</v>
      </c>
      <c r="I82" s="154"/>
      <c r="J82" s="661">
        <f>+'BALANCE-SHEET-2021-leva'!J82/1000+IF(+Rounding!$K$54=$B82,+Rounding!L$54,0)+IF(+Rounding!$K$55=$B82,+Rounding!L$55,0)</f>
        <v>615.76437999999996</v>
      </c>
      <c r="K82" s="662">
        <f>+'BALANCE-SHEET-2021-leva'!K82/1000+IF(+Rounding!$K$54=$B82,+Rounding!M$54,0)+IF(+Rounding!$K$55=$B82,+Rounding!M$55,0)</f>
        <v>613.06796999999995</v>
      </c>
      <c r="L82" s="154"/>
      <c r="M82" s="661">
        <f>+D82+G82+J82+IF(+Rounding!$O$54=$B82,+Rounding!P$54,0)+IF(+Rounding!$O$55=$B82,+Rounding!P$55,0)-P82</f>
        <v>648.57655</v>
      </c>
      <c r="N82" s="662">
        <f>+E82+H82+K82+IF(+Rounding!$O$54=$B82,+Rounding!Q$54,0)+IF(+Rounding!$O$55=$B82,+Rounding!Q$55,0)-Q82</f>
        <v>769.04254999999989</v>
      </c>
      <c r="O82" s="303"/>
      <c r="P82" s="1221">
        <f>+'BALANCE-SHEET-2021-leva'!P82/1000</f>
        <v>0</v>
      </c>
      <c r="Q82" s="1222">
        <f>+'BALANCE-SHEET-2021-leva'!Q82/1000</f>
        <v>0</v>
      </c>
      <c r="R82" s="303"/>
      <c r="S82" s="303"/>
      <c r="T82" s="303"/>
      <c r="U82" s="303"/>
      <c r="V82" s="303"/>
      <c r="W82" s="303"/>
      <c r="X82" s="303"/>
      <c r="Y82" s="303"/>
      <c r="Z82" s="303"/>
    </row>
    <row r="83" spans="1:26" ht="15.75">
      <c r="A83" s="177" t="s">
        <v>1024</v>
      </c>
      <c r="B83" s="188">
        <v>520</v>
      </c>
      <c r="C83" s="154"/>
      <c r="D83" s="675">
        <f>+SUM(D74:D82)</f>
        <v>446.77798999999999</v>
      </c>
      <c r="E83" s="676">
        <f>+SUM(E74:E82)</f>
        <v>397.23126000000002</v>
      </c>
      <c r="F83" s="154"/>
      <c r="G83" s="675">
        <f>+SUM(G74:G82)</f>
        <v>847.88591999999994</v>
      </c>
      <c r="H83" s="676">
        <f>+SUM(H74:H82)</f>
        <v>4477.9017199999989</v>
      </c>
      <c r="I83" s="154"/>
      <c r="J83" s="675">
        <f>+SUM(J74:J82)</f>
        <v>615.76437999999996</v>
      </c>
      <c r="K83" s="676">
        <f>+SUM(K74:K82)</f>
        <v>613.06796999999995</v>
      </c>
      <c r="L83" s="154"/>
      <c r="M83" s="675">
        <f>+SUM(M74:M82)</f>
        <v>1910.4282900000001</v>
      </c>
      <c r="N83" s="676">
        <f>+SUM(N74:N82)</f>
        <v>5488.2009500000004</v>
      </c>
      <c r="O83" s="303"/>
      <c r="P83" s="1226">
        <f>+SUM(P78:P82)</f>
        <v>0</v>
      </c>
      <c r="Q83" s="1227">
        <f>+SUM(Q78:Q82)</f>
        <v>0</v>
      </c>
      <c r="R83" s="303"/>
      <c r="S83" s="303"/>
      <c r="T83" s="303"/>
      <c r="U83" s="303"/>
      <c r="V83" s="303"/>
      <c r="W83" s="303"/>
      <c r="X83" s="303"/>
      <c r="Y83" s="303"/>
      <c r="Z83" s="303"/>
    </row>
    <row r="84" spans="1:26" ht="15.75">
      <c r="A84" s="686" t="s">
        <v>1014</v>
      </c>
      <c r="B84" s="187"/>
      <c r="C84" s="154"/>
      <c r="D84" s="255" t="str">
        <f>+IF(+OR(D85&lt;0,D86&lt;0),"НЕРАВНЕНИЕ !"," ")</f>
        <v xml:space="preserve"> </v>
      </c>
      <c r="E84" s="322" t="str">
        <f>+IF(+OR(E85&lt;0,E86&lt;0),"НЕРАВНЕНИЕ !"," ")</f>
        <v xml:space="preserve"> </v>
      </c>
      <c r="F84" s="154"/>
      <c r="G84" s="255" t="str">
        <f>+IF(+OR(G85&lt;0,G86&lt;0),"НЕРАВНЕНИЕ !"," ")</f>
        <v xml:space="preserve"> </v>
      </c>
      <c r="H84" s="322" t="str">
        <f>+IF(+OR(H85&lt;0,H86&lt;0),"НЕРАВНЕНИЕ !"," ")</f>
        <v xml:space="preserve"> </v>
      </c>
      <c r="I84" s="154"/>
      <c r="J84" s="255" t="str">
        <f>+IF(+OR(J85&lt;0,J86&lt;0),"НЕРАВНЕНИЕ !"," ")</f>
        <v xml:space="preserve"> </v>
      </c>
      <c r="K84" s="322" t="str">
        <f>+IF(+OR(K85&lt;0,K86&lt;0),"НЕРАВНЕНИЕ !"," ")</f>
        <v xml:space="preserve"> </v>
      </c>
      <c r="L84" s="154"/>
      <c r="M84" s="255" t="str">
        <f>+IF(+OR(M85&lt;0,M86&lt;0),"НЕРАВНЕНИЕ !"," ")</f>
        <v xml:space="preserve"> </v>
      </c>
      <c r="N84" s="322" t="str">
        <f>+IF(+OR(N85&lt;0,N86&lt;0),"НЕРАВНЕНИЕ !"," ")</f>
        <v xml:space="preserve"> </v>
      </c>
      <c r="O84" s="303"/>
      <c r="P84" s="1210" t="s">
        <v>1282</v>
      </c>
      <c r="Q84" s="1211" t="s">
        <v>1283</v>
      </c>
      <c r="R84" s="303"/>
      <c r="S84" s="303"/>
      <c r="T84" s="303"/>
      <c r="U84" s="303"/>
      <c r="V84" s="303"/>
      <c r="W84" s="303"/>
      <c r="X84" s="303"/>
      <c r="Y84" s="303"/>
      <c r="Z84" s="303"/>
    </row>
    <row r="85" spans="1:26" ht="15.75">
      <c r="A85" s="687" t="s">
        <v>427</v>
      </c>
      <c r="B85" s="340">
        <v>531</v>
      </c>
      <c r="C85" s="154"/>
      <c r="D85" s="659">
        <f>+'BALANCE-SHEET-2021-leva'!D85/1000+IF(+Rounding!$C$54=$B85,+Rounding!D$54,0)+IF(+Rounding!$C$55=$B85,+Rounding!D$55,0)</f>
        <v>0</v>
      </c>
      <c r="E85" s="660">
        <f>+'BALANCE-SHEET-2021-leva'!E85/1000+IF(+Rounding!$C$54=$B85,+Rounding!E$54,0)+IF(+Rounding!$C$55=$B85,+Rounding!E$55,0)</f>
        <v>262.76102000000003</v>
      </c>
      <c r="F85" s="154"/>
      <c r="G85" s="659">
        <f>+'BALANCE-SHEET-2021-leva'!G85/1000+IF(+Rounding!$G$54=$B85,+Rounding!H$54,0)+IF(+Rounding!$G$55=$B85,+Rounding!H$55,0)</f>
        <v>0</v>
      </c>
      <c r="H85" s="660">
        <f>+'BALANCE-SHEET-2021-leva'!H85/1000+IF(+Rounding!$G$54=$B85,+Rounding!I$54,0)+IF(+Rounding!$G$55=$B85,+Rounding!I$55,0)</f>
        <v>0</v>
      </c>
      <c r="I85" s="154"/>
      <c r="J85" s="659">
        <f>+'BALANCE-SHEET-2021-leva'!J85/1000+IF(+Rounding!$K$54=$B85,+Rounding!L$54,0)+IF(+Rounding!$K$55=$B85,+Rounding!L$55,0)</f>
        <v>0</v>
      </c>
      <c r="K85" s="660">
        <f>+'BALANCE-SHEET-2021-leva'!K85/1000+IF(+Rounding!$K$54=$B85,+Rounding!M$54,0)+IF(+Rounding!$K$55=$B85,+Rounding!M$55,0)</f>
        <v>0</v>
      </c>
      <c r="L85" s="154"/>
      <c r="M85" s="659">
        <f>+D85+G85+J85+IF(+Rounding!$O$54=$B85,+Rounding!P$54,0)+IF(+Rounding!$O$55=$B85,+Rounding!P$55,0)</f>
        <v>0</v>
      </c>
      <c r="N85" s="660">
        <f>+E85+H85+K85+IF(+Rounding!$O$54=$B85,+Rounding!Q$54,0)+IF(+Rounding!$O$55=$B85,+Rounding!Q$55,0)</f>
        <v>262.76102000000003</v>
      </c>
      <c r="O85" s="303"/>
      <c r="P85" s="1239" t="str">
        <f>+IF(+'Intra-Balances'!S2="O K","O K","ГРЕШКА - превишава КТ с/до")</f>
        <v>O K</v>
      </c>
      <c r="Q85" s="1244" t="str">
        <f>+IF(+'Intra-Balances'!P2="O K","O K","ГРЕШКА - превишава КТ с/до")</f>
        <v>O K</v>
      </c>
      <c r="R85" s="303"/>
      <c r="S85" s="303"/>
      <c r="T85" s="303"/>
      <c r="U85" s="303"/>
      <c r="V85" s="303"/>
      <c r="W85" s="303"/>
      <c r="X85" s="303"/>
      <c r="Y85" s="303"/>
      <c r="Z85" s="303"/>
    </row>
    <row r="86" spans="1:26" ht="15.75">
      <c r="A86" s="688" t="s">
        <v>1013</v>
      </c>
      <c r="B86" s="341">
        <v>532</v>
      </c>
      <c r="C86" s="154"/>
      <c r="D86" s="661">
        <f>+'BALANCE-SHEET-2021-leva'!D86/1000+IF(+Rounding!$C$54=$B86,+Rounding!D$54,0)+IF(+Rounding!$C$55=$B86,+Rounding!D$55,0)</f>
        <v>0</v>
      </c>
      <c r="E86" s="662">
        <f>+'BALANCE-SHEET-2021-leva'!E86/1000+IF(+Rounding!$C$54=$B86,+Rounding!E$54,0)+IF(+Rounding!$C$55=$B86,+Rounding!E$55,0)</f>
        <v>8.4849999999999994</v>
      </c>
      <c r="F86" s="154"/>
      <c r="G86" s="661">
        <f>+'BALANCE-SHEET-2021-leva'!G86/1000+IF(+Rounding!$G$54=$B86,+Rounding!H$54,0)+IF(+Rounding!$G$55=$B86,+Rounding!H$55,0)</f>
        <v>0</v>
      </c>
      <c r="H86" s="662">
        <f>+'BALANCE-SHEET-2021-leva'!H86/1000+IF(+Rounding!$G$54=$B86,+Rounding!I$54,0)+IF(+Rounding!$G$55=$B86,+Rounding!I$55,0)</f>
        <v>0</v>
      </c>
      <c r="I86" s="154"/>
      <c r="J86" s="661">
        <f>+'BALANCE-SHEET-2021-leva'!J86/1000+IF(+Rounding!$K$54=$B86,+Rounding!L$54,0)+IF(+Rounding!$K$55=$B86,+Rounding!L$55,0)</f>
        <v>0</v>
      </c>
      <c r="K86" s="662">
        <f>+'BALANCE-SHEET-2021-leva'!K86/1000+IF(+Rounding!$K$54=$B86,+Rounding!M$54,0)+IF(+Rounding!$K$55=$B86,+Rounding!M$55,0)</f>
        <v>0</v>
      </c>
      <c r="L86" s="154"/>
      <c r="M86" s="661">
        <f>+D86+G86+J86+IF(+Rounding!$O$54=$B86,+Rounding!P$54,0)+IF(+Rounding!$O$55=$B86,+Rounding!P$55,0)</f>
        <v>0</v>
      </c>
      <c r="N86" s="662">
        <f>+E86+H86+K86+IF(+Rounding!$O$54=$B86,+Rounding!Q$54,0)+IF(+Rounding!$O$55=$B86,+Rounding!Q$55,0)</f>
        <v>8.4849999999999994</v>
      </c>
      <c r="O86" s="303"/>
      <c r="P86" s="2542" t="str">
        <f>+'BALANCE-SHEET-2021-leva'!P86:Q86</f>
        <v>O K</v>
      </c>
      <c r="Q86" s="2542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6" ht="15.75">
      <c r="A87" s="177" t="s">
        <v>1026</v>
      </c>
      <c r="B87" s="186">
        <v>530</v>
      </c>
      <c r="C87" s="154"/>
      <c r="D87" s="663">
        <f>+D85+D86</f>
        <v>0</v>
      </c>
      <c r="E87" s="664">
        <f>+E85+E86</f>
        <v>271.24602000000004</v>
      </c>
      <c r="F87" s="154"/>
      <c r="G87" s="663">
        <f>+G85+G86</f>
        <v>0</v>
      </c>
      <c r="H87" s="664">
        <f>+H85+H86</f>
        <v>0</v>
      </c>
      <c r="I87" s="154"/>
      <c r="J87" s="663">
        <f>+J85+J86</f>
        <v>0</v>
      </c>
      <c r="K87" s="664">
        <f>+K85+K86</f>
        <v>0</v>
      </c>
      <c r="L87" s="154"/>
      <c r="M87" s="663">
        <f>+M85+M86</f>
        <v>0</v>
      </c>
      <c r="N87" s="664">
        <f>+N85+N86</f>
        <v>271.24602000000004</v>
      </c>
      <c r="O87" s="303"/>
      <c r="P87" s="2543" t="str">
        <f>+'BALANCE-SHEET-2021-leva'!P87:Q87</f>
        <v>O K</v>
      </c>
      <c r="Q87" s="2543"/>
      <c r="R87" s="303"/>
      <c r="S87" s="303"/>
      <c r="T87" s="303"/>
      <c r="U87" s="303"/>
      <c r="V87" s="303"/>
      <c r="W87" s="303"/>
      <c r="X87" s="303"/>
      <c r="Y87" s="303"/>
      <c r="Z87" s="303"/>
    </row>
    <row r="88" spans="1:26" ht="5.25" customHeight="1">
      <c r="A88" s="172"/>
      <c r="B88" s="187"/>
      <c r="C88" s="154"/>
      <c r="D88" s="665"/>
      <c r="E88" s="666"/>
      <c r="F88" s="154"/>
      <c r="G88" s="665"/>
      <c r="H88" s="666"/>
      <c r="I88" s="154"/>
      <c r="J88" s="665"/>
      <c r="K88" s="666"/>
      <c r="L88" s="154"/>
      <c r="M88" s="665"/>
      <c r="N88" s="666"/>
      <c r="O88" s="303"/>
      <c r="P88" s="152"/>
      <c r="Q88" s="152"/>
      <c r="R88" s="303"/>
      <c r="S88" s="303"/>
      <c r="T88" s="303"/>
      <c r="U88" s="303"/>
      <c r="V88" s="303"/>
      <c r="W88" s="303"/>
      <c r="X88" s="303"/>
      <c r="Y88" s="303"/>
      <c r="Z88" s="303"/>
    </row>
    <row r="89" spans="1:26" ht="19.5" thickBot="1">
      <c r="A89" s="717" t="s">
        <v>1028</v>
      </c>
      <c r="B89" s="720">
        <v>500</v>
      </c>
      <c r="C89" s="154"/>
      <c r="D89" s="677">
        <f>+D72+D83+D87</f>
        <v>446.77798999999999</v>
      </c>
      <c r="E89" s="678">
        <f>+E72+E83+E87</f>
        <v>668.47728000000006</v>
      </c>
      <c r="F89" s="154"/>
      <c r="G89" s="677">
        <f>+G72+G83+G87</f>
        <v>847.88591999999994</v>
      </c>
      <c r="H89" s="678">
        <f>+H72+H83+H87</f>
        <v>4477.9017199999989</v>
      </c>
      <c r="I89" s="154"/>
      <c r="J89" s="677">
        <f>+J72+J83+J87</f>
        <v>615.76437999999996</v>
      </c>
      <c r="K89" s="678">
        <f>+K72+K83+K87</f>
        <v>613.06796999999995</v>
      </c>
      <c r="L89" s="154"/>
      <c r="M89" s="677">
        <f>+M72+M83+M87</f>
        <v>1910.4282900000001</v>
      </c>
      <c r="N89" s="678">
        <f>+N72+N83+N87</f>
        <v>5759.4469700000009</v>
      </c>
      <c r="O89" s="303"/>
      <c r="P89" s="152"/>
      <c r="Q89" s="152"/>
      <c r="R89" s="303"/>
      <c r="S89" s="303"/>
      <c r="T89" s="303"/>
      <c r="U89" s="303"/>
      <c r="V89" s="303"/>
      <c r="W89" s="303"/>
      <c r="X89" s="303"/>
      <c r="Y89" s="303"/>
      <c r="Z89" s="303"/>
    </row>
    <row r="90" spans="1:26" ht="4.5" customHeight="1">
      <c r="A90" s="172"/>
      <c r="B90" s="187"/>
      <c r="C90" s="154"/>
      <c r="D90" s="665"/>
      <c r="E90" s="666"/>
      <c r="F90" s="154"/>
      <c r="G90" s="665"/>
      <c r="H90" s="666"/>
      <c r="I90" s="154"/>
      <c r="J90" s="665"/>
      <c r="K90" s="666"/>
      <c r="L90" s="154"/>
      <c r="M90" s="665"/>
      <c r="N90" s="666"/>
      <c r="O90" s="303"/>
      <c r="P90" s="152"/>
      <c r="Q90" s="152"/>
      <c r="R90" s="303"/>
      <c r="S90" s="303"/>
      <c r="T90" s="303"/>
      <c r="U90" s="303"/>
      <c r="V90" s="303"/>
      <c r="W90" s="303"/>
      <c r="X90" s="303"/>
      <c r="Y90" s="303"/>
      <c r="Z90" s="303"/>
    </row>
    <row r="91" spans="1:26" ht="19.5" customHeight="1" thickBot="1">
      <c r="A91" s="1464" t="s">
        <v>428</v>
      </c>
      <c r="B91" s="1472">
        <v>600</v>
      </c>
      <c r="C91" s="154"/>
      <c r="D91" s="2036">
        <f>ROUND(+D66+D89,0)</f>
        <v>16479</v>
      </c>
      <c r="E91" s="2037">
        <f>ROUND(+E66+E89,0)</f>
        <v>16706</v>
      </c>
      <c r="F91" s="154"/>
      <c r="G91" s="2036">
        <f>ROUND(+G66+G89,0)</f>
        <v>2363</v>
      </c>
      <c r="H91" s="2037">
        <f>ROUND(+H66+H89,0)</f>
        <v>2656</v>
      </c>
      <c r="I91" s="154"/>
      <c r="J91" s="2036">
        <f>ROUND(+J66+J89,0)</f>
        <v>58106</v>
      </c>
      <c r="K91" s="2037">
        <f>ROUND(+K66+K89,0)</f>
        <v>58838</v>
      </c>
      <c r="L91" s="154"/>
      <c r="M91" s="2036">
        <f>ROUND(+M66+M89,0)</f>
        <v>76948</v>
      </c>
      <c r="N91" s="2037">
        <f>ROUND(+N66+N89,0)</f>
        <v>78200</v>
      </c>
      <c r="O91" s="303"/>
      <c r="P91" s="152"/>
      <c r="Q91" s="152"/>
      <c r="R91" s="303"/>
      <c r="S91" s="303"/>
      <c r="T91" s="303"/>
      <c r="U91" s="303"/>
      <c r="V91" s="303"/>
      <c r="W91" s="303"/>
      <c r="X91" s="303"/>
      <c r="Y91" s="303"/>
      <c r="Z91" s="303"/>
    </row>
    <row r="92" spans="1:26" ht="18" customHeight="1" thickTop="1" thickBot="1">
      <c r="A92" s="189" t="s">
        <v>429</v>
      </c>
      <c r="B92" s="190">
        <v>650</v>
      </c>
      <c r="C92" s="154"/>
      <c r="D92" s="667">
        <f>+ROUND('BALANCE-SHEET-2021-leva'!D92/1000,0)+Rounding!D63</f>
        <v>4241</v>
      </c>
      <c r="E92" s="668">
        <f>+ROUND('BALANCE-SHEET-2021-leva'!E92/1000,0)+Rounding!E63</f>
        <v>1677</v>
      </c>
      <c r="F92" s="154"/>
      <c r="G92" s="667">
        <f>+ROUND('BALANCE-SHEET-2021-leva'!G92/1000,0)+Rounding!H63</f>
        <v>1512</v>
      </c>
      <c r="H92" s="668">
        <f>+ROUND('BALANCE-SHEET-2021-leva'!H92/1000,0)+Rounding!I63</f>
        <v>5457</v>
      </c>
      <c r="I92" s="154"/>
      <c r="J92" s="667">
        <f>+ROUND('BALANCE-SHEET-2021-leva'!J92/1000,0)+Rounding!L63</f>
        <v>0</v>
      </c>
      <c r="K92" s="668">
        <f>+ROUND('BALANCE-SHEET-2021-leva'!K92/1000,0)+Rounding!M63</f>
        <v>0</v>
      </c>
      <c r="L92" s="154"/>
      <c r="M92" s="667">
        <f>+ROUND((D92+G92+J92),0)+Rounding!P63</f>
        <v>5753</v>
      </c>
      <c r="N92" s="668">
        <f>+ROUND((E92+H92+K92),0)+Rounding!Q63</f>
        <v>7134</v>
      </c>
      <c r="O92" s="303"/>
      <c r="P92" s="152"/>
      <c r="Q92" s="152"/>
      <c r="R92" s="303"/>
      <c r="S92" s="303"/>
      <c r="T92" s="303"/>
      <c r="U92" s="303"/>
      <c r="V92" s="303"/>
      <c r="W92" s="303"/>
      <c r="X92" s="303"/>
      <c r="Y92" s="303"/>
      <c r="Z92" s="303"/>
    </row>
    <row r="93" spans="1:26" ht="16.5" thickTop="1">
      <c r="A93" s="191"/>
      <c r="B93" s="164"/>
      <c r="C93" s="154"/>
      <c r="D93" s="321" t="str">
        <f>+IF(+OR(E92&lt;0),"НЕРАВНЕНИЕ !"," ")</f>
        <v xml:space="preserve"> </v>
      </c>
      <c r="E93" s="321" t="str">
        <f>+IF(+OR(D92&lt;0),"НЕРАВНЕНИЕ !"," ")</f>
        <v xml:space="preserve"> </v>
      </c>
      <c r="F93" s="154"/>
      <c r="G93" s="321" t="str">
        <f>+IF(+OR(G92&lt;0),"НЕРАВНЕНИЕ !"," ")</f>
        <v xml:space="preserve"> </v>
      </c>
      <c r="H93" s="321" t="str">
        <f>+IF(+OR(H92&lt;0),"НЕРАВНЕНИЕ !"," ")</f>
        <v xml:space="preserve"> </v>
      </c>
      <c r="I93" s="154"/>
      <c r="J93" s="321" t="str">
        <f>+IF(+OR(J92&lt;0),"НЕРАВНЕНИЕ !"," ")</f>
        <v xml:space="preserve"> </v>
      </c>
      <c r="K93" s="321" t="str">
        <f>+IF(+OR(K92&lt;0),"НЕРАВНЕНИЕ !"," ")</f>
        <v xml:space="preserve"> </v>
      </c>
      <c r="L93" s="154"/>
      <c r="M93" s="321" t="str">
        <f>+IF(+OR(M92&lt;0),"НЕРАВНЕНИЕ !"," ")</f>
        <v xml:space="preserve"> </v>
      </c>
      <c r="N93" s="321" t="str">
        <f>+IF(+OR(N92&lt;0),"НЕРАВНЕНИЕ !"," ")</f>
        <v xml:space="preserve"> </v>
      </c>
      <c r="O93" s="303"/>
      <c r="P93" s="152"/>
      <c r="Q93" s="152"/>
      <c r="R93" s="303"/>
      <c r="S93" s="303"/>
      <c r="T93" s="303"/>
      <c r="U93" s="303"/>
      <c r="V93" s="303"/>
      <c r="W93" s="303"/>
      <c r="X93" s="303"/>
      <c r="Y93" s="303"/>
      <c r="Z93" s="303"/>
    </row>
    <row r="94" spans="1:26" ht="18.75">
      <c r="A94" s="2019"/>
      <c r="B94" s="307"/>
      <c r="C94" s="154"/>
      <c r="D94" s="302"/>
      <c r="E94" s="302"/>
      <c r="F94" s="154"/>
      <c r="G94" s="155"/>
      <c r="H94" s="193"/>
      <c r="I94" s="154"/>
      <c r="J94" s="302"/>
      <c r="K94" s="155"/>
      <c r="L94" s="154"/>
      <c r="M94" s="302"/>
      <c r="N94" s="155"/>
      <c r="O94" s="303"/>
      <c r="P94" s="152"/>
      <c r="Q94" s="152"/>
      <c r="R94" s="303"/>
      <c r="S94" s="303"/>
      <c r="T94" s="303"/>
      <c r="U94" s="303"/>
      <c r="V94" s="303"/>
      <c r="W94" s="303"/>
      <c r="X94" s="303"/>
      <c r="Y94" s="303"/>
      <c r="Z94" s="303"/>
    </row>
    <row r="95" spans="1:26" ht="4.5" customHeight="1">
      <c r="A95" s="302"/>
      <c r="B95" s="302"/>
      <c r="C95" s="302"/>
      <c r="D95" s="302"/>
      <c r="E95" s="302"/>
      <c r="F95" s="154"/>
      <c r="G95" s="195"/>
      <c r="H95" s="194"/>
      <c r="I95" s="154"/>
      <c r="J95" s="196"/>
      <c r="K95" s="155"/>
      <c r="L95" s="154"/>
      <c r="M95" s="196"/>
      <c r="N95" s="155"/>
      <c r="O95" s="303"/>
      <c r="P95" s="152"/>
      <c r="Q95" s="152" t="s">
        <v>1993</v>
      </c>
      <c r="R95" s="303"/>
      <c r="S95" s="303"/>
      <c r="T95" s="303"/>
      <c r="U95" s="303"/>
      <c r="V95" s="303"/>
      <c r="W95" s="303"/>
      <c r="X95" s="303"/>
      <c r="Y95" s="303"/>
      <c r="Z95" s="303"/>
    </row>
    <row r="96" spans="1:26" ht="18.75">
      <c r="A96" s="2019"/>
      <c r="B96" s="2041" t="s">
        <v>1979</v>
      </c>
      <c r="C96" s="658"/>
      <c r="D96" s="2034">
        <f>+'TRIAL-BALANCE'!K10</f>
        <v>0</v>
      </c>
      <c r="E96" s="2018" t="s">
        <v>1980</v>
      </c>
      <c r="F96" s="154"/>
      <c r="G96" s="657"/>
      <c r="H96" s="822"/>
      <c r="I96" s="822"/>
      <c r="J96" s="822"/>
      <c r="K96" s="2020" t="s">
        <v>1972</v>
      </c>
      <c r="L96" s="164"/>
      <c r="M96" s="308"/>
      <c r="N96" s="309"/>
      <c r="O96" s="303"/>
      <c r="P96" s="152"/>
      <c r="Q96" s="1995"/>
      <c r="R96" s="303"/>
      <c r="S96" s="303"/>
      <c r="T96" s="303"/>
      <c r="U96" s="303"/>
      <c r="V96" s="303"/>
      <c r="W96" s="303"/>
      <c r="X96" s="303"/>
      <c r="Y96" s="303"/>
      <c r="Z96" s="303"/>
    </row>
    <row r="97" spans="1:26" ht="16.5" customHeight="1">
      <c r="A97" s="155"/>
      <c r="B97" s="302"/>
      <c r="C97" s="302"/>
      <c r="D97" s="302"/>
      <c r="E97" s="302"/>
      <c r="F97" s="154"/>
      <c r="G97" s="302"/>
      <c r="H97" s="2590">
        <f>+'BALANCE-SHEET-2021-leva'!H97:J97</f>
        <v>0</v>
      </c>
      <c r="I97" s="2590"/>
      <c r="J97" s="2590"/>
      <c r="K97" s="2015"/>
      <c r="L97" s="164"/>
      <c r="M97" s="2595">
        <f>+'BALANCE-SHEET-2021-leva'!M97</f>
        <v>0</v>
      </c>
      <c r="N97" s="2595"/>
      <c r="O97" s="303"/>
      <c r="P97" s="152"/>
      <c r="Q97" s="1903" t="s">
        <v>1880</v>
      </c>
      <c r="R97" s="303"/>
      <c r="S97" s="303"/>
      <c r="T97" s="303"/>
      <c r="U97" s="303"/>
      <c r="V97" s="303"/>
      <c r="W97" s="303"/>
      <c r="X97" s="303"/>
      <c r="Y97" s="303"/>
      <c r="Z97" s="303"/>
    </row>
    <row r="98" spans="1:26" ht="6.75" customHeight="1">
      <c r="A98" s="155"/>
      <c r="B98" s="302"/>
      <c r="C98" s="154"/>
      <c r="D98" s="302"/>
      <c r="E98" s="193"/>
      <c r="F98" s="154"/>
      <c r="G98" s="302"/>
      <c r="H98" s="302"/>
      <c r="I98" s="154"/>
      <c r="J98" s="302"/>
      <c r="K98" s="302"/>
      <c r="L98" s="164"/>
      <c r="M98" s="302"/>
      <c r="N98" s="302"/>
      <c r="O98" s="303"/>
      <c r="P98" s="152"/>
      <c r="Q98" s="152"/>
      <c r="R98" s="303"/>
      <c r="S98" s="303"/>
      <c r="T98" s="303"/>
      <c r="U98" s="303"/>
      <c r="V98" s="303"/>
      <c r="W98" s="303"/>
      <c r="X98" s="303"/>
      <c r="Y98" s="303"/>
      <c r="Z98" s="303"/>
    </row>
    <row r="99" spans="1:26" ht="16.5" thickBot="1">
      <c r="A99" s="303"/>
      <c r="B99" s="303"/>
      <c r="C99" s="198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1247" t="s">
        <v>1197</v>
      </c>
      <c r="Q99" s="1246"/>
      <c r="R99" s="198"/>
      <c r="S99" s="303"/>
      <c r="T99" s="303"/>
      <c r="U99" s="198"/>
      <c r="V99" s="303"/>
      <c r="W99" s="303"/>
      <c r="X99" s="198"/>
      <c r="Y99" s="303"/>
      <c r="Z99" s="303"/>
    </row>
    <row r="100" spans="1:26" s="1397" customFormat="1" ht="16.5" thickBot="1">
      <c r="A100" s="1473" t="s">
        <v>1199</v>
      </c>
      <c r="B100" s="1474"/>
      <c r="C100" s="198"/>
      <c r="D100" s="313" t="str">
        <f>+IF(D54=+D91,"O K","НЕРАВНЕНИЕ !")</f>
        <v>O K</v>
      </c>
      <c r="E100" s="1955" t="str">
        <f>+IF(E54=+E91,"O K","НЕРАВНЕНИЕ !")</f>
        <v>O K</v>
      </c>
      <c r="F100" s="152"/>
      <c r="G100" s="315" t="str">
        <f>+IF(G54=+G91,"O K","НЕРАВНЕНИЕ !")</f>
        <v>O K</v>
      </c>
      <c r="H100" s="1956" t="str">
        <f>+IF(H54=+H91,"O K","НЕРАВНЕНИЕ !")</f>
        <v>O K</v>
      </c>
      <c r="I100" s="152"/>
      <c r="J100" s="317" t="str">
        <f>+IF(J54=+J91,"O K","НЕРАВНЕНИЕ !")</f>
        <v>O K</v>
      </c>
      <c r="K100" s="1957" t="str">
        <f>+IF(K54=+K91,"O K","НЕРАВНЕНИЕ !")</f>
        <v>O K</v>
      </c>
      <c r="L100" s="152"/>
      <c r="M100" s="318" t="str">
        <f>+IF(M54=+M91,"O K","НЕРАВНЕНИЕ !")</f>
        <v>O K</v>
      </c>
      <c r="N100" s="1958" t="str">
        <f>+IF(N54=+N91,"O K","НЕРАВНЕНИЕ !")</f>
        <v>O K</v>
      </c>
      <c r="O100" s="152"/>
      <c r="P100" s="1248" t="str">
        <f>+IF(P46=P83-P64-P65,"O K","НЕРАВНЕНИЕ !")</f>
        <v>O K</v>
      </c>
      <c r="Q100" s="1248" t="str">
        <f>+IF(Q46=Q83-Q64-Q65,"O K","НЕРАВНЕНИЕ !")</f>
        <v>O K</v>
      </c>
      <c r="R100" s="198"/>
      <c r="S100" s="152"/>
      <c r="T100" s="152"/>
      <c r="U100" s="316"/>
      <c r="V100" s="152"/>
      <c r="W100" s="152"/>
      <c r="X100" s="198"/>
      <c r="Y100" s="152"/>
      <c r="Z100" s="152"/>
    </row>
    <row r="101" spans="1:26" s="1397" customFormat="1" ht="16.5" thickBot="1">
      <c r="A101" s="1475" t="s">
        <v>374</v>
      </c>
      <c r="B101" s="1476"/>
      <c r="C101" s="198"/>
      <c r="D101" s="313" t="str">
        <f>+IF(+ROUND(+D55-D92,0)-ROUND(+SUM('BALANCE-SHEET-2021-leva'!D55-'BALANCE-SHEET-2021-leva'!D92)/1000,0)=0,"O K","НЕРАВНЕНИЕ !")</f>
        <v>O K</v>
      </c>
      <c r="E101" s="1955" t="str">
        <f>+IF(+ROUND(+E55-E92,0)-ROUND(+SUM('BALANCE-SHEET-2021-leva'!E55-'BALANCE-SHEET-2021-leva'!E92)/1000,0)=0,"O K","НЕРАВНЕНИЕ !")</f>
        <v>O K</v>
      </c>
      <c r="F101" s="152"/>
      <c r="G101" s="315" t="str">
        <f>+IF(+ROUND(+G55-G92,0)-ROUND(+SUM('BALANCE-SHEET-2021-leva'!G55-'BALANCE-SHEET-2021-leva'!G92)/1000,0)=0,"O K","НЕРАВНЕНИЕ !")</f>
        <v>O K</v>
      </c>
      <c r="H101" s="1956" t="str">
        <f>+IF(+ROUND(+H55-H92,0)-ROUND(+SUM('BALANCE-SHEET-2021-leva'!H55-'BALANCE-SHEET-2021-leva'!H92)/1000,0)=0,"O K","НЕРАВНЕНИЕ !")</f>
        <v>O K</v>
      </c>
      <c r="I101" s="152"/>
      <c r="J101" s="317" t="str">
        <f>+IF(+ROUND(+J55-J92,0)-ROUND(+SUM('BALANCE-SHEET-2021-leva'!J55-'BALANCE-SHEET-2021-leva'!J92)/1000,0)=0,"O K","НЕРАВНЕНИЕ !")</f>
        <v>O K</v>
      </c>
      <c r="K101" s="1957" t="str">
        <f>+IF(+ROUND(+K55-K92,0)-ROUND(+SUM('BALANCE-SHEET-2021-leva'!K55-'BALANCE-SHEET-2021-leva'!K92)/1000,0)=0,"O K","НЕРАВНЕНИЕ !")</f>
        <v>O K</v>
      </c>
      <c r="L101" s="152"/>
      <c r="M101" s="318" t="str">
        <f>+IF(+ROUND(+M55-M92,0)-ROUND(+SUM('BALANCE-SHEET-2021-leva'!M55-'BALANCE-SHEET-2021-leva'!M92)/1000,0)=0,"O K","НЕРАВНЕНИЕ !")</f>
        <v>O K</v>
      </c>
      <c r="N101" s="1958" t="str">
        <f>+IF(+ROUND(+N55-N92,0)-ROUND(+SUM('BALANCE-SHEET-2021-leva'!N55-'BALANCE-SHEET-2021-leva'!N92)/1000,0)=0,"O K","НЕРАВНЕНИЕ !")</f>
        <v>O K</v>
      </c>
      <c r="O101" s="152"/>
      <c r="P101" s="1712">
        <f>+P46-(P83-P64-P65)</f>
        <v>0</v>
      </c>
      <c r="Q101" s="1712">
        <f>+Q46-(Q83-Q64-Q65)</f>
        <v>0</v>
      </c>
      <c r="R101" s="316"/>
      <c r="S101" s="152"/>
      <c r="T101" s="152"/>
      <c r="U101" s="316"/>
      <c r="V101" s="152"/>
      <c r="W101" s="152"/>
      <c r="X101" s="198"/>
      <c r="Y101" s="152"/>
      <c r="Z101" s="152"/>
    </row>
    <row r="102" spans="1:26" s="1397" customFormat="1" ht="16.5" thickBot="1">
      <c r="A102" s="152"/>
      <c r="B102" s="152"/>
      <c r="C102" s="198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705" t="s">
        <v>1870</v>
      </c>
      <c r="Q102" s="1706"/>
      <c r="R102" s="198"/>
      <c r="S102" s="152"/>
      <c r="T102" s="152"/>
      <c r="U102" s="198"/>
      <c r="V102" s="152"/>
      <c r="W102" s="152"/>
      <c r="X102" s="198"/>
      <c r="Y102" s="152"/>
      <c r="Z102" s="152"/>
    </row>
    <row r="103" spans="1:26" s="1397" customFormat="1" ht="16.5" thickBot="1">
      <c r="A103" s="1473" t="s">
        <v>1200</v>
      </c>
      <c r="B103" s="1474"/>
      <c r="C103" s="198"/>
      <c r="D103" s="1228">
        <f>+ROUND(D54-D91,0)</f>
        <v>0</v>
      </c>
      <c r="E103" s="1954">
        <f>+ROUND(E54-E91,0)</f>
        <v>0</v>
      </c>
      <c r="F103" s="1229"/>
      <c r="G103" s="1230">
        <f>+ROUND(G54-G91,0)</f>
        <v>0</v>
      </c>
      <c r="H103" s="1961">
        <f>+ROUND(H54-H91,0)</f>
        <v>0</v>
      </c>
      <c r="I103" s="1229"/>
      <c r="J103" s="1231">
        <f>+ROUND(J54-J91,0)</f>
        <v>0</v>
      </c>
      <c r="K103" s="1960">
        <f>+ROUND(K54-K91,0)</f>
        <v>0</v>
      </c>
      <c r="L103" s="1229"/>
      <c r="M103" s="1232">
        <f>+ROUND(M54-M91,0)</f>
        <v>0</v>
      </c>
      <c r="N103" s="1959">
        <f>+ROUND(N54-N91,0)</f>
        <v>0</v>
      </c>
      <c r="O103" s="152"/>
      <c r="P103" s="1707" t="s">
        <v>2148</v>
      </c>
      <c r="Q103" s="1708"/>
      <c r="R103" s="320"/>
      <c r="S103" s="152"/>
      <c r="T103" s="152"/>
      <c r="U103" s="320"/>
      <c r="V103" s="152"/>
      <c r="W103" s="152"/>
      <c r="X103" s="320"/>
      <c r="Y103" s="152"/>
      <c r="Z103" s="152"/>
    </row>
    <row r="104" spans="1:26" s="1397" customFormat="1" ht="16.5" thickBot="1">
      <c r="A104" s="1477" t="s">
        <v>1201</v>
      </c>
      <c r="B104" s="1476"/>
      <c r="C104" s="198"/>
      <c r="D104" s="1228">
        <f>+ROUND(+D55-D92,0)-ROUND(+SUM('BALANCE-SHEET-2021-leva'!D55-'BALANCE-SHEET-2021-leva'!D92)/1000,0)</f>
        <v>0</v>
      </c>
      <c r="E104" s="1954">
        <f>+ROUND(+E55-E92,0)-ROUND(+SUM('BALANCE-SHEET-2021-leva'!E55-'BALANCE-SHEET-2021-leva'!E92)/1000,0)</f>
        <v>0</v>
      </c>
      <c r="F104" s="1229"/>
      <c r="G104" s="1230">
        <f>+ROUND(+G55-G92,0)-ROUND(+SUM('BALANCE-SHEET-2021-leva'!G55-'BALANCE-SHEET-2021-leva'!G92)/1000,0)</f>
        <v>0</v>
      </c>
      <c r="H104" s="1961">
        <f>+ROUND(+H55-H92,0)-ROUND(+SUM('BALANCE-SHEET-2021-leva'!H55-'BALANCE-SHEET-2021-leva'!H92)/1000,0)</f>
        <v>0</v>
      </c>
      <c r="I104" s="1229"/>
      <c r="J104" s="1231">
        <f>+ROUND(+J55-J92,0)-ROUND(+SUM('BALANCE-SHEET-2021-leva'!J55-'BALANCE-SHEET-2021-leva'!J92)/1000,0)</f>
        <v>0</v>
      </c>
      <c r="K104" s="1960">
        <f>+ROUND(+K55-K92,0)-ROUND(+SUM('BALANCE-SHEET-2021-leva'!K55-'BALANCE-SHEET-2021-leva'!K92)/1000,0)</f>
        <v>0</v>
      </c>
      <c r="L104" s="1229"/>
      <c r="M104" s="1232">
        <f>+ROUND(+M55-M92,0)-ROUND(+SUM('BALANCE-SHEET-2021-leva'!M55-'BALANCE-SHEET-2021-leva'!M92)/1000,0)</f>
        <v>0</v>
      </c>
      <c r="N104" s="1959">
        <f>+ROUND(+N55-N92,0)-ROUND(+SUM('BALANCE-SHEET-2021-leva'!N55-'BALANCE-SHEET-2021-leva'!N92)/1000,0)</f>
        <v>0</v>
      </c>
      <c r="O104" s="152"/>
      <c r="P104" s="1908" t="s">
        <v>1878</v>
      </c>
      <c r="Q104" s="1907" t="str">
        <f>+Q35</f>
        <v xml:space="preserve">'Intra-Balances' </v>
      </c>
      <c r="R104" s="320"/>
      <c r="S104" s="152"/>
      <c r="T104" s="152"/>
      <c r="U104" s="320"/>
      <c r="V104" s="152"/>
      <c r="W104" s="152"/>
      <c r="X104" s="320"/>
      <c r="Y104" s="152"/>
      <c r="Z104" s="152"/>
    </row>
    <row r="105" spans="1:26" ht="15.75">
      <c r="A105" s="303"/>
      <c r="B105" s="303"/>
      <c r="C105" s="198"/>
      <c r="D105" s="303"/>
      <c r="E105" s="303"/>
      <c r="F105" s="198"/>
      <c r="G105" s="303"/>
      <c r="H105" s="303"/>
      <c r="I105" s="198"/>
      <c r="J105" s="303"/>
      <c r="K105" s="303"/>
      <c r="L105" s="198"/>
      <c r="M105" s="303"/>
      <c r="N105" s="303"/>
      <c r="O105" s="303"/>
      <c r="P105" s="1710" t="s">
        <v>1879</v>
      </c>
      <c r="Q105" s="1909" t="str">
        <f>+Q36</f>
        <v>'Municipal-Bal'</v>
      </c>
      <c r="R105" s="303"/>
      <c r="S105" s="303"/>
      <c r="T105" s="303"/>
      <c r="U105" s="303"/>
      <c r="V105" s="303"/>
      <c r="W105" s="303"/>
      <c r="X105" s="303"/>
      <c r="Y105" s="303"/>
      <c r="Z105" s="303"/>
    </row>
    <row r="106" spans="1:26">
      <c r="A106" s="1995"/>
      <c r="B106" s="1995"/>
      <c r="C106" s="1995"/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</row>
    <row r="107" spans="1:26">
      <c r="A107" s="1995"/>
      <c r="B107" s="1995"/>
      <c r="C107" s="1995"/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</row>
    <row r="108" spans="1:26">
      <c r="A108" s="1995"/>
      <c r="B108" s="1995"/>
      <c r="C108" s="1995"/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</row>
    <row r="109" spans="1:26">
      <c r="A109" s="1995"/>
      <c r="B109" s="1995"/>
      <c r="C109" s="1995"/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</row>
    <row r="110" spans="1:26">
      <c r="A110" s="1995"/>
      <c r="B110" s="1995"/>
      <c r="C110" s="1995"/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</row>
    <row r="111" spans="1:26">
      <c r="A111" s="1995"/>
      <c r="B111" s="1995"/>
      <c r="C111" s="1995"/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</row>
    <row r="112" spans="1:26">
      <c r="A112" s="1995"/>
      <c r="B112" s="1995"/>
      <c r="C112" s="1995"/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</row>
    <row r="113" spans="1:26">
      <c r="A113" s="1995"/>
      <c r="B113" s="1995"/>
      <c r="C113" s="1995"/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</row>
    <row r="114" spans="1:26">
      <c r="A114" s="1995"/>
      <c r="B114" s="1995"/>
      <c r="C114" s="1995"/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</row>
  </sheetData>
  <sheetProtection password="889B" sheet="1" objects="1" scenarios="1"/>
  <mergeCells count="24"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  <mergeCell ref="J2:K2"/>
    <mergeCell ref="M2:N2"/>
    <mergeCell ref="B7:B9"/>
    <mergeCell ref="B58:B60"/>
    <mergeCell ref="D6:E6"/>
    <mergeCell ref="G1:H1"/>
    <mergeCell ref="A1:D1"/>
    <mergeCell ref="B5:G5"/>
    <mergeCell ref="A2:D2"/>
    <mergeCell ref="G3:H3"/>
    <mergeCell ref="A3:D3"/>
    <mergeCell ref="E2:H2"/>
  </mergeCells>
  <phoneticPr fontId="0" type="noConversion"/>
  <conditionalFormatting sqref="D93:E93 E62 H62 K62 N62 D12:E12 D23:E23 D30:E30 D35:E35 D39:E39 D47:E47 D56:E56 D68:E68 D73:E73 D84:E84 D100:E101 G100:H101 G12:H12 G23:H23 G30:H30 G35:H35 G39:H39 G47:H47 G56:H56 G68:H68 G73:H73 G84:H84 G93:H93 J100:K101 J12:K12 J23:K23 J30:K30 J35:K35 J39:K39 J47:K47 J56:K56 J68:K68 J73:K73 J84:K84 J93:K93 M12:N12 M56:N56 M100:N101 M93:N93">
    <cfRule type="cellIs" dxfId="1316" priority="116" stopIfTrue="1" operator="equal">
      <formula>"НЕРАВНЕНИЕ !"</formula>
    </cfRule>
  </conditionalFormatting>
  <conditionalFormatting sqref="D103:E104 G103:H104 J103:K104 M103:N104">
    <cfRule type="cellIs" dxfId="1315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4" priority="118" stopIfTrue="1" operator="lessThan">
      <formula>0</formula>
    </cfRule>
  </conditionalFormatting>
  <conditionalFormatting sqref="P48:Q48">
    <cfRule type="cellIs" dxfId="1313" priority="83" stopIfTrue="1" operator="notEqual">
      <formula>"O K"</formula>
    </cfRule>
  </conditionalFormatting>
  <conditionalFormatting sqref="P85:Q85">
    <cfRule type="cellIs" dxfId="1312" priority="80" stopIfTrue="1" operator="notEqual">
      <formula>"O K"</formula>
    </cfRule>
  </conditionalFormatting>
  <conditionalFormatting sqref="K3">
    <cfRule type="cellIs" dxfId="1311" priority="77" stopIfTrue="1" operator="equal">
      <formula>0</formula>
    </cfRule>
  </conditionalFormatting>
  <conditionalFormatting sqref="N1">
    <cfRule type="cellIs" dxfId="1310" priority="76" stopIfTrue="1" operator="equal">
      <formula>0</formula>
    </cfRule>
  </conditionalFormatting>
  <conditionalFormatting sqref="P50">
    <cfRule type="cellIs" dxfId="1309" priority="71" stopIfTrue="1" operator="notEqual">
      <formula>"O K"</formula>
    </cfRule>
  </conditionalFormatting>
  <conditionalFormatting sqref="P50:Q50">
    <cfRule type="cellIs" dxfId="1308" priority="70" stopIfTrue="1" operator="equal">
      <formula>"O K"</formula>
    </cfRule>
  </conditionalFormatting>
  <conditionalFormatting sqref="P87">
    <cfRule type="cellIs" dxfId="1307" priority="67" stopIfTrue="1" operator="notEqual">
      <formula>"O K"</formula>
    </cfRule>
  </conditionalFormatting>
  <conditionalFormatting sqref="P87:Q87">
    <cfRule type="cellIs" dxfId="1306" priority="66" stopIfTrue="1" operator="equal">
      <formula>"O K"</formula>
    </cfRule>
  </conditionalFormatting>
  <conditionalFormatting sqref="P86">
    <cfRule type="cellIs" dxfId="1305" priority="65" stopIfTrue="1" operator="notEqual">
      <formula>"O K"</formula>
    </cfRule>
  </conditionalFormatting>
  <conditionalFormatting sqref="P86:Q86">
    <cfRule type="cellIs" dxfId="1304" priority="64" stopIfTrue="1" operator="equal">
      <formula>"O K"</formula>
    </cfRule>
  </conditionalFormatting>
  <conditionalFormatting sqref="P66">
    <cfRule type="cellIs" dxfId="1303" priority="55" stopIfTrue="1" operator="notEqual">
      <formula>"O K"</formula>
    </cfRule>
  </conditionalFormatting>
  <conditionalFormatting sqref="P66:Q66">
    <cfRule type="cellIs" dxfId="1302" priority="54" stopIfTrue="1" operator="equal">
      <formula>"O K"</formula>
    </cfRule>
  </conditionalFormatting>
  <conditionalFormatting sqref="P67">
    <cfRule type="cellIs" dxfId="1301" priority="53" stopIfTrue="1" operator="notEqual">
      <formula>"O K"</formula>
    </cfRule>
  </conditionalFormatting>
  <conditionalFormatting sqref="P67:Q67">
    <cfRule type="cellIs" dxfId="1300" priority="52" stopIfTrue="1" operator="equal">
      <formula>"O K"</formula>
    </cfRule>
  </conditionalFormatting>
  <conditionalFormatting sqref="A9">
    <cfRule type="cellIs" dxfId="1299" priority="44" operator="equal">
      <formula>"Непопълнен ред в таблица 'Cash-deficit'!"</formula>
    </cfRule>
  </conditionalFormatting>
  <conditionalFormatting sqref="A60">
    <cfRule type="cellIs" dxfId="1298" priority="43" operator="equal">
      <formula>"Непопълнен ред в таблица 'Cash-deficit'!"</formula>
    </cfRule>
  </conditionalFormatting>
  <conditionalFormatting sqref="A3:D3">
    <cfRule type="cellIs" dxfId="1297" priority="42" stopIfTrue="1" operator="equal">
      <formula>0</formula>
    </cfRule>
  </conditionalFormatting>
  <conditionalFormatting sqref="M23:N23 M30:N30 M35:N35 M39:N39 M47:N47">
    <cfRule type="cellIs" dxfId="1296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5" priority="41" stopIfTrue="1" operator="lessThan">
      <formula>0</formula>
    </cfRule>
  </conditionalFormatting>
  <conditionalFormatting sqref="M68:N68 M73:N73 M84:N84">
    <cfRule type="cellIs" dxfId="1294" priority="38" stopIfTrue="1" operator="equal">
      <formula>"НЕРАВНЕНИЕ !"</formula>
    </cfRule>
  </conditionalFormatting>
  <conditionalFormatting sqref="M85:N87 M69:N72 M74:N83 M89:N89 M91:N91">
    <cfRule type="cellIs" dxfId="1293" priority="39" stopIfTrue="1" operator="lessThan">
      <formula>0</formula>
    </cfRule>
  </conditionalFormatting>
  <conditionalFormatting sqref="E2:H2">
    <cfRule type="cellIs" dxfId="1292" priority="11" operator="equal">
      <formula>"отчетено НЕРАВНЕНИЕ в таблица 'Status'!"</formula>
    </cfRule>
    <cfRule type="cellIs" dxfId="1291" priority="12" operator="equal">
      <formula>0</formula>
    </cfRule>
  </conditionalFormatting>
  <conditionalFormatting sqref="D6:E6">
    <cfRule type="cellIs" dxfId="1290" priority="10" operator="notEqual">
      <formula>0</formula>
    </cfRule>
  </conditionalFormatting>
  <conditionalFormatting sqref="G6:H6">
    <cfRule type="cellIs" dxfId="1289" priority="9" operator="notEqual">
      <formula>0</formula>
    </cfRule>
  </conditionalFormatting>
  <conditionalFormatting sqref="J2:K2">
    <cfRule type="cellIs" dxfId="1288" priority="8" operator="notEqual">
      <formula>0</formula>
    </cfRule>
  </conditionalFormatting>
  <conditionalFormatting sqref="M2:N2">
    <cfRule type="cellIs" dxfId="1287" priority="7" operator="notEqual">
      <formula>0</formula>
    </cfRule>
  </conditionalFormatting>
  <conditionalFormatting sqref="P49">
    <cfRule type="cellIs" dxfId="1286" priority="6" stopIfTrue="1" operator="notEqual">
      <formula>"O K"</formula>
    </cfRule>
  </conditionalFormatting>
  <conditionalFormatting sqref="P49:Q49">
    <cfRule type="cellIs" dxfId="1285" priority="5" stopIfTrue="1" operator="equal">
      <formula>"O K"</formula>
    </cfRule>
  </conditionalFormatting>
  <conditionalFormatting sqref="P100">
    <cfRule type="cellIs" dxfId="1284" priority="4" stopIfTrue="1" operator="equal">
      <formula>"НЕРАВНЕНИЕ !"</formula>
    </cfRule>
  </conditionalFormatting>
  <conditionalFormatting sqref="P101">
    <cfRule type="cellIs" dxfId="1283" priority="3" stopIfTrue="1" operator="notEqual">
      <formula>0</formula>
    </cfRule>
  </conditionalFormatting>
  <conditionalFormatting sqref="Q100">
    <cfRule type="cellIs" dxfId="1282" priority="2" stopIfTrue="1" operator="equal">
      <formula>"НЕРАВНЕНИЕ !"</formula>
    </cfRule>
  </conditionalFormatting>
  <conditionalFormatting sqref="Q101">
    <cfRule type="cellIs" dxfId="1281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Z151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97" customWidth="1"/>
    <col min="2" max="2" width="6.7109375" style="1397" customWidth="1"/>
    <col min="3" max="3" width="0.85546875" style="1397" customWidth="1"/>
    <col min="4" max="5" width="21.5703125" style="1397" customWidth="1"/>
    <col min="6" max="6" width="0.85546875" style="1397" customWidth="1"/>
    <col min="7" max="8" width="21.5703125" style="1397" customWidth="1"/>
    <col min="9" max="9" width="1" style="1397" customWidth="1"/>
    <col min="10" max="11" width="21.5703125" style="1397" customWidth="1"/>
    <col min="12" max="12" width="1" style="1397" customWidth="1"/>
    <col min="13" max="14" width="21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46">
        <f>+'TRIAL-BALANCE'!E2</f>
        <v>0</v>
      </c>
      <c r="B1" s="2547"/>
      <c r="C1" s="2547"/>
      <c r="D1" s="2548"/>
      <c r="E1" s="756" t="s">
        <v>791</v>
      </c>
      <c r="F1" s="743"/>
      <c r="G1" s="2544">
        <f>+'TRIAL-BALANCE'!C6</f>
        <v>0</v>
      </c>
      <c r="H1" s="2545"/>
      <c r="I1" s="743"/>
      <c r="J1" s="755" t="s">
        <v>1211</v>
      </c>
      <c r="K1" s="978">
        <f>+'TRIAL-BALANCE'!C8</f>
        <v>0</v>
      </c>
      <c r="L1" s="743"/>
      <c r="M1" s="755" t="s">
        <v>1210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608">
        <f>+'BALANCE-SHEET-2021-leva'!E2</f>
        <v>0</v>
      </c>
      <c r="F2" s="2608"/>
      <c r="G2" s="2608"/>
      <c r="H2" s="2608"/>
      <c r="I2" s="743"/>
      <c r="J2" s="2596">
        <f>+'BALANCE-SHEET-2021-leva'!J2:K2</f>
        <v>0</v>
      </c>
      <c r="K2" s="2596"/>
      <c r="L2" s="743"/>
      <c r="M2" s="2596">
        <f>+'BALANCE-SHEET-2021-leva'!M2:N2</f>
        <v>0</v>
      </c>
      <c r="N2" s="2596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49">
        <f>+'TRIAL-BALANCE'!G4</f>
        <v>0</v>
      </c>
      <c r="B3" s="2550"/>
      <c r="C3" s="2550"/>
      <c r="D3" s="2551"/>
      <c r="E3" s="757" t="s">
        <v>1205</v>
      </c>
      <c r="F3" s="743"/>
      <c r="G3" s="2606">
        <f>+'TRIAL-BALANCE'!J8</f>
        <v>0</v>
      </c>
      <c r="H3" s="2607"/>
      <c r="I3" s="743"/>
      <c r="J3" s="755" t="s">
        <v>2106</v>
      </c>
      <c r="K3" s="2563">
        <f>+'TRIAL-BALANCE'!G6</f>
        <v>0</v>
      </c>
      <c r="L3" s="2564"/>
      <c r="M3" s="2564"/>
      <c r="N3" s="256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43"/>
      <c r="B4" s="743"/>
      <c r="C4" s="743"/>
      <c r="D4" s="743"/>
      <c r="E4" s="744"/>
      <c r="F4" s="743"/>
      <c r="G4" s="744"/>
      <c r="H4" s="745"/>
      <c r="I4" s="743"/>
      <c r="J4" s="746"/>
      <c r="K4" s="746"/>
      <c r="L4" s="743"/>
      <c r="M4" s="746"/>
      <c r="N4" s="746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57" t="s">
        <v>1104</v>
      </c>
      <c r="B5" s="2615">
        <f>+A1</f>
        <v>0</v>
      </c>
      <c r="C5" s="2615"/>
      <c r="D5" s="2615"/>
      <c r="E5" s="2615"/>
      <c r="F5" s="2615"/>
      <c r="G5" s="2615"/>
      <c r="H5" s="1260" t="s">
        <v>1004</v>
      </c>
      <c r="I5" s="758"/>
      <c r="J5" s="2611" t="str">
        <f>+'TRIAL-BALANCE'!H12</f>
        <v>30 септември 2021 г.</v>
      </c>
      <c r="K5" s="2611"/>
      <c r="L5" s="1258"/>
      <c r="M5" s="1259" t="str">
        <f>+'TRIAL-BALANCE'!C10</f>
        <v>/с б о р е н/</v>
      </c>
      <c r="N5" s="1259" t="s">
        <v>1035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47"/>
      <c r="B6" s="748"/>
      <c r="C6" s="749"/>
      <c r="D6" s="750"/>
      <c r="E6" s="751"/>
      <c r="F6" s="749"/>
      <c r="G6" s="751"/>
      <c r="H6" s="752"/>
      <c r="I6" s="753"/>
      <c r="J6" s="752"/>
      <c r="K6" s="752"/>
      <c r="L6" s="749"/>
      <c r="M6" s="747"/>
      <c r="N6" s="754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12" t="s">
        <v>2181</v>
      </c>
      <c r="C7" s="753"/>
      <c r="D7" s="165" t="s">
        <v>979</v>
      </c>
      <c r="E7" s="166"/>
      <c r="F7" s="753"/>
      <c r="G7" s="634" t="s">
        <v>798</v>
      </c>
      <c r="H7" s="635"/>
      <c r="I7" s="753"/>
      <c r="J7" s="638" t="s">
        <v>984</v>
      </c>
      <c r="K7" s="639"/>
      <c r="L7" s="753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22" t="s">
        <v>399</v>
      </c>
      <c r="B8" s="2613"/>
      <c r="C8" s="753"/>
      <c r="D8" s="438" t="s">
        <v>980</v>
      </c>
      <c r="E8" s="169"/>
      <c r="F8" s="753"/>
      <c r="G8" s="636" t="s">
        <v>981</v>
      </c>
      <c r="H8" s="637"/>
      <c r="I8" s="753"/>
      <c r="J8" s="640" t="s">
        <v>1055</v>
      </c>
      <c r="K8" s="641"/>
      <c r="L8" s="753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4" t="str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Непопълнен ред в таблица 'Cash-deficit'!</v>
      </c>
      <c r="B9" s="2614"/>
      <c r="C9" s="749"/>
      <c r="D9" s="725" t="s">
        <v>1149</v>
      </c>
      <c r="E9" s="726" t="s">
        <v>1150</v>
      </c>
      <c r="F9" s="749"/>
      <c r="G9" s="725" t="str">
        <f>+D9</f>
        <v>Текуща година                          (в левове)</v>
      </c>
      <c r="H9" s="729" t="str">
        <f>+E9</f>
        <v>Предходна година                         31 декември (в лева)</v>
      </c>
      <c r="I9" s="749"/>
      <c r="J9" s="725" t="str">
        <f>+G9</f>
        <v>Текуща година                          (в левове)</v>
      </c>
      <c r="K9" s="729" t="str">
        <f>+H9</f>
        <v>Предходна година                         31 декември (в лева)</v>
      </c>
      <c r="L9" s="749"/>
      <c r="M9" s="725" t="str">
        <f>+J9</f>
        <v>Текуща година                          (в левове)</v>
      </c>
      <c r="N9" s="729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749"/>
      <c r="D10" s="727">
        <v>1</v>
      </c>
      <c r="E10" s="728">
        <f>1+D10</f>
        <v>2</v>
      </c>
      <c r="F10" s="749"/>
      <c r="G10" s="727">
        <f>1+E10</f>
        <v>3</v>
      </c>
      <c r="H10" s="728">
        <f>1+G10</f>
        <v>4</v>
      </c>
      <c r="I10" s="749"/>
      <c r="J10" s="727">
        <f>1+H10</f>
        <v>5</v>
      </c>
      <c r="K10" s="728">
        <f>1+J10</f>
        <v>6</v>
      </c>
      <c r="L10" s="749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753"/>
      <c r="D11" s="709"/>
      <c r="E11" s="707"/>
      <c r="F11" s="753"/>
      <c r="G11" s="709"/>
      <c r="H11" s="707"/>
      <c r="I11" s="753"/>
      <c r="J11" s="709"/>
      <c r="K11" s="707"/>
      <c r="L11" s="753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749"/>
      <c r="D12" s="710"/>
      <c r="E12" s="708"/>
      <c r="F12" s="749"/>
      <c r="G12" s="710"/>
      <c r="H12" s="708"/>
      <c r="I12" s="749"/>
      <c r="J12" s="710"/>
      <c r="K12" s="708"/>
      <c r="L12" s="749"/>
      <c r="M12" s="710"/>
      <c r="N12" s="708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749"/>
      <c r="D13" s="700">
        <f>+ROUND(+SUM('TRIAL-BALANCE'!T602:T605)-SUM('TRIAL-BALANCE'!S602:S605),2)</f>
        <v>571842.05000000005</v>
      </c>
      <c r="E13" s="694">
        <f>+ROUND(+SUM('R &amp; E data-2020'!P235:P238)-SUM('R &amp; E data-2020'!O235:O238),2)</f>
        <v>636624.43999999994</v>
      </c>
      <c r="F13" s="749"/>
      <c r="G13" s="700">
        <f>+ROUND(+SUM('TRIAL-BALANCE'!AA602:AA605)-SUM('TRIAL-BALANCE'!Z602:Z605),2)</f>
        <v>0</v>
      </c>
      <c r="H13" s="694">
        <f>+ROUND(+SUM('R &amp; E data-2020'!S235:S238)-SUM('R &amp; E data-2020'!R235:R238),2)</f>
        <v>0</v>
      </c>
      <c r="I13" s="749"/>
      <c r="J13" s="700">
        <f>+ROUND(+SUM('TRIAL-BALANCE'!AH602:AH605)-SUM('TRIAL-BALANCE'!AG602:AG605),2)</f>
        <v>0</v>
      </c>
      <c r="K13" s="694">
        <f>+ROUND(+SUM('R &amp; E data-2020'!V235:V238)-SUM('R &amp; E data-2020'!U235:U238),2)</f>
        <v>0</v>
      </c>
      <c r="L13" s="749"/>
      <c r="M13" s="700">
        <f t="shared" ref="M13:M20" si="0">+ROUND(+D13+G13+J13,2)</f>
        <v>571842.05000000005</v>
      </c>
      <c r="N13" s="694">
        <f t="shared" ref="N13:N20" si="1">+ROUND(+E13+H13+K13,2)</f>
        <v>636624.43999999994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749"/>
      <c r="D14" s="700">
        <f>+ROUND(+SUM('TRIAL-BALANCE'!T606:T611)-SUM('TRIAL-BALANCE'!S606:S611),2)</f>
        <v>492517.73</v>
      </c>
      <c r="E14" s="694">
        <f>+ROUND(+SUM('R &amp; E data-2020'!P239:P244)-SUM('R &amp; E data-2020'!O239:O244),2)</f>
        <v>623968.72</v>
      </c>
      <c r="F14" s="749"/>
      <c r="G14" s="700">
        <f>+ROUND(+SUM('TRIAL-BALANCE'!AA606:AA611)-SUM('TRIAL-BALANCE'!Z606:Z611),2)</f>
        <v>0</v>
      </c>
      <c r="H14" s="694">
        <f>+ROUND(+SUM('R &amp; E data-2020'!S239:S244)-SUM('R &amp; E data-2020'!R239:R244),2)</f>
        <v>0</v>
      </c>
      <c r="I14" s="749"/>
      <c r="J14" s="700">
        <f>+ROUND(+SUM('TRIAL-BALANCE'!AH606:AH611)-SUM('TRIAL-BALANCE'!AG606:AG611),2)</f>
        <v>0</v>
      </c>
      <c r="K14" s="694">
        <f>+ROUND(+SUM('R &amp; E data-2020'!V239:V244)-SUM('R &amp; E data-2020'!U239:U244),2)</f>
        <v>0</v>
      </c>
      <c r="L14" s="749"/>
      <c r="M14" s="700">
        <f t="shared" si="0"/>
        <v>492517.73</v>
      </c>
      <c r="N14" s="694">
        <f t="shared" si="1"/>
        <v>623968.72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1108</v>
      </c>
      <c r="B15" s="335">
        <f t="shared" ref="B15:B21" si="2">1+B14</f>
        <v>713</v>
      </c>
      <c r="C15" s="749"/>
      <c r="D15" s="700">
        <f>+ROUND(+'TRIAL-BALANCE'!T612-'TRIAL-BALANCE'!S612,2)</f>
        <v>20643.75</v>
      </c>
      <c r="E15" s="694">
        <f>+ROUND(+'R &amp; E data-2020'!P245-'R &amp; E data-2020'!O245,2)</f>
        <v>210984.31</v>
      </c>
      <c r="F15" s="749"/>
      <c r="G15" s="700">
        <f>+ROUND(+'TRIAL-BALANCE'!AA612-'TRIAL-BALANCE'!Z612,2)</f>
        <v>0</v>
      </c>
      <c r="H15" s="694">
        <f>+ROUND(+'R &amp; E data-2020'!S245-'R &amp; E data-2020'!R245,2)</f>
        <v>0</v>
      </c>
      <c r="I15" s="749"/>
      <c r="J15" s="700">
        <f>+ROUND(+'TRIAL-BALANCE'!AH612-'TRIAL-BALANCE'!AG612,2)</f>
        <v>0</v>
      </c>
      <c r="K15" s="694">
        <f>+ROUND(+'R &amp; E data-2020'!V245-'R &amp; E data-2020'!U245,2)</f>
        <v>0</v>
      </c>
      <c r="L15" s="749"/>
      <c r="M15" s="700">
        <f t="shared" si="0"/>
        <v>20643.75</v>
      </c>
      <c r="N15" s="694">
        <f t="shared" si="1"/>
        <v>210984.31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2"/>
        <v>714</v>
      </c>
      <c r="C16" s="749"/>
      <c r="D16" s="700">
        <f>+ROUND(+'TRIAL-BALANCE'!T613+'TRIAL-BALANCE'!T659-'TRIAL-BALANCE'!S613-'TRIAL-BALANCE'!S659,2)</f>
        <v>76</v>
      </c>
      <c r="E16" s="694">
        <f>+ROUND(+'R &amp; E data-2020'!P246+'R &amp; E data-2020'!P292-'R &amp; E data-2020'!O246-'R &amp; E data-2020'!O292,2)</f>
        <v>786.73</v>
      </c>
      <c r="F16" s="749"/>
      <c r="G16" s="700">
        <f>+ROUND(+'TRIAL-BALANCE'!AA613+'TRIAL-BALANCE'!AA659-'TRIAL-BALANCE'!Z613-'TRIAL-BALANCE'!Z659,2)</f>
        <v>0</v>
      </c>
      <c r="H16" s="694">
        <f>+ROUND(+'R &amp; E data-2020'!S246+'R &amp; E data-2020'!S292-'R &amp; E data-2020'!R246-'R &amp; E data-2020'!R292,2)</f>
        <v>0</v>
      </c>
      <c r="I16" s="749"/>
      <c r="J16" s="700">
        <f>+ROUND(+'TRIAL-BALANCE'!AH613+'TRIAL-BALANCE'!AH659-'TRIAL-BALANCE'!AG613-'TRIAL-BALANCE'!AG659,2)</f>
        <v>0</v>
      </c>
      <c r="K16" s="694">
        <f>+ROUND(+'R &amp; E data-2020'!V246+'R &amp; E data-2020'!V292-'R &amp; E data-2020'!U246-'R &amp; E data-2020'!U292,2)</f>
        <v>0</v>
      </c>
      <c r="L16" s="749"/>
      <c r="M16" s="700">
        <f t="shared" si="0"/>
        <v>76</v>
      </c>
      <c r="N16" s="694">
        <f t="shared" si="1"/>
        <v>786.73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2"/>
        <v>715</v>
      </c>
      <c r="C17" s="749"/>
      <c r="D17" s="700">
        <f>+ROUND(+SUM('TRIAL-BALANCE'!T619:T621)+'TRIAL-BALANCE'!T651-SUM('TRIAL-BALANCE'!S619:S621)-'TRIAL-BALANCE'!S651,2)</f>
        <v>473019.51</v>
      </c>
      <c r="E17" s="694">
        <f>+ROUND(+SUM('R &amp; E data-2020'!P252:P254)+'R &amp; E data-2020'!P284-SUM('R &amp; E data-2020'!O252:O254)-'R &amp; E data-2020'!O284,2)</f>
        <v>727941.64</v>
      </c>
      <c r="F17" s="749"/>
      <c r="G17" s="700">
        <f>+ROUND(+SUM('TRIAL-BALANCE'!AA619:AA621)+'TRIAL-BALANCE'!AA651-SUM('TRIAL-BALANCE'!Z619:Z621)-'TRIAL-BALANCE'!Z651,2)</f>
        <v>0</v>
      </c>
      <c r="H17" s="694">
        <f>+ROUND(+SUM('R &amp; E data-2020'!S252:S254)+'R &amp; E data-2020'!S284-SUM('R &amp; E data-2020'!R252:R254)-'R &amp; E data-2020'!R284,2)</f>
        <v>0</v>
      </c>
      <c r="I17" s="749"/>
      <c r="J17" s="700">
        <f>+ROUND(+SUM('TRIAL-BALANCE'!AH619:AH621)+'TRIAL-BALANCE'!AH651-SUM('TRIAL-BALANCE'!AG619:AG621)-'TRIAL-BALANCE'!AG651,2)</f>
        <v>0</v>
      </c>
      <c r="K17" s="694">
        <f>+ROUND(+SUM('R &amp; E data-2020'!V252:V254)+'R &amp; E data-2020'!V284-SUM('R &amp; E data-2020'!U252:U254)-'R &amp; E data-2020'!U284,2)</f>
        <v>0</v>
      </c>
      <c r="L17" s="749"/>
      <c r="M17" s="700">
        <f t="shared" si="0"/>
        <v>473019.51</v>
      </c>
      <c r="N17" s="694">
        <f t="shared" si="1"/>
        <v>727941.64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2"/>
        <v>716</v>
      </c>
      <c r="C18" s="749"/>
      <c r="D18" s="700">
        <f>+ROUND(+'TRIAL-BALANCE'!T622-'TRIAL-BALANCE'!S622,2)</f>
        <v>0</v>
      </c>
      <c r="E18" s="694">
        <f>+ROUND(+'R &amp; E data-2020'!P255-'R &amp; E data-2020'!O255,2)</f>
        <v>0</v>
      </c>
      <c r="F18" s="749"/>
      <c r="G18" s="700">
        <f>+ROUND(+'TRIAL-BALANCE'!AA622-'TRIAL-BALANCE'!Z622,2)</f>
        <v>0</v>
      </c>
      <c r="H18" s="694">
        <f>+ROUND(+'R &amp; E data-2020'!S255-'R &amp; E data-2020'!R255,2)</f>
        <v>0</v>
      </c>
      <c r="I18" s="749"/>
      <c r="J18" s="700">
        <f>+ROUND(+'TRIAL-BALANCE'!AH622-'TRIAL-BALANCE'!AG622,2)</f>
        <v>0</v>
      </c>
      <c r="K18" s="694">
        <f>+ROUND(+'R &amp; E data-2020'!V255-'R &amp; E data-2020'!U255,2)</f>
        <v>0</v>
      </c>
      <c r="L18" s="749"/>
      <c r="M18" s="700">
        <f t="shared" si="0"/>
        <v>0</v>
      </c>
      <c r="N18" s="694">
        <f t="shared" si="1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2"/>
        <v>717</v>
      </c>
      <c r="C19" s="749"/>
      <c r="D19" s="700">
        <f>+ROUND(+SUM('TRIAL-BALANCE'!T660:T691)-SUM('TRIAL-BALANCE'!S660:S691),2)</f>
        <v>24091.9</v>
      </c>
      <c r="E19" s="694">
        <f>+ROUND(+SUM('R &amp; E data-2020'!P293:P324)-SUM('R &amp; E data-2020'!O293:O324),2)</f>
        <v>35895.79</v>
      </c>
      <c r="F19" s="749"/>
      <c r="G19" s="700">
        <f>+ROUND(+SUM('TRIAL-BALANCE'!AA660:AA691)-SUM('TRIAL-BALANCE'!Z660:Z691),2)</f>
        <v>13.92</v>
      </c>
      <c r="H19" s="694">
        <f>+ROUND(+SUM('R &amp; E data-2020'!S293:S324)-SUM('R &amp; E data-2020'!R293:R324),2)</f>
        <v>21.94</v>
      </c>
      <c r="I19" s="749"/>
      <c r="J19" s="700">
        <f>+ROUND(+SUM('TRIAL-BALANCE'!AH660:AH691)-SUM('TRIAL-BALANCE'!AG660:AG691),2)</f>
        <v>0</v>
      </c>
      <c r="K19" s="694">
        <f>+ROUND(+SUM('R &amp; E data-2020'!V293:V324)-SUM('R &amp; E data-2020'!U293:U324),2)</f>
        <v>0</v>
      </c>
      <c r="L19" s="749"/>
      <c r="M19" s="700">
        <f t="shared" si="0"/>
        <v>24105.82</v>
      </c>
      <c r="N19" s="694">
        <f t="shared" si="1"/>
        <v>35917.730000000003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2"/>
        <v>718</v>
      </c>
      <c r="C20" s="749"/>
      <c r="D20" s="700">
        <f>+ROUND(+SUM('TRIAL-BALANCE'!T640:T649)-SUM('TRIAL-BALANCE'!S640:S649),2)-(ROUND('TRIAL-BALANCE'!T648,2)-ROUND('TRIAL-BALANCE'!S648,2))</f>
        <v>-1139.17</v>
      </c>
      <c r="E20" s="694">
        <f>+ROUND(+SUM('R &amp; E data-2020'!P273:P282)-SUM('R &amp; E data-2020'!O273:O282),2)-(ROUND('R &amp; E data-2020'!P281,2)-ROUND('R &amp; E data-2020'!O281,2))</f>
        <v>105529.04</v>
      </c>
      <c r="F20" s="749"/>
      <c r="G20" s="700">
        <f>+ROUND(+SUM('TRIAL-BALANCE'!AA640:AA649)-SUM('TRIAL-BALANCE'!Z640:Z649),2)-(ROUND('TRIAL-BALANCE'!AA648,2)-ROUND('TRIAL-BALANCE'!Z648,2))</f>
        <v>0</v>
      </c>
      <c r="H20" s="694">
        <f>+ROUND(+SUM('R &amp; E data-2020'!S273:S282)-SUM('R &amp; E data-2020'!R273:R282),2)-(ROUND('R &amp; E data-2020'!S281,2)-ROUND('R &amp; E data-2020'!R281,2))</f>
        <v>0</v>
      </c>
      <c r="I20" s="749"/>
      <c r="J20" s="700">
        <f>+ROUND(+SUM('TRIAL-BALANCE'!AH640:AH649)-SUM('TRIAL-BALANCE'!AG640:AG649),2)-(ROUND('TRIAL-BALANCE'!AH648,2)-ROUND('TRIAL-BALANCE'!AG648,2))</f>
        <v>0</v>
      </c>
      <c r="K20" s="694">
        <f>+ROUND(+SUM('R &amp; E data-2020'!V273:V282)-SUM('R &amp; E data-2020'!U273:U282),2)-(ROUND('R &amp; E data-2020'!V281,2)-ROUND('R &amp; E data-2020'!U281,2))</f>
        <v>0</v>
      </c>
      <c r="L20" s="749"/>
      <c r="M20" s="700">
        <f t="shared" si="0"/>
        <v>-1139.17</v>
      </c>
      <c r="N20" s="694">
        <f t="shared" si="1"/>
        <v>105529.04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88" t="s">
        <v>1023</v>
      </c>
      <c r="B21" s="337">
        <f t="shared" si="2"/>
        <v>719</v>
      </c>
      <c r="C21" s="749"/>
      <c r="D21" s="701">
        <f>+ROUND(+SUM('TRIAL-BALANCE'!T652:T653)+SUM('TRIAL-BALANCE'!T657:T658)-SUM('TRIAL-BALANCE'!S652:S653)-SUM('TRIAL-BALANCE'!S657:S658),2)</f>
        <v>1594</v>
      </c>
      <c r="E21" s="695">
        <f>+ROUND(+SUM('R &amp; E data-2020'!P285:P286)+SUM('R &amp; E data-2020'!P290:P291)-SUM('R &amp; E data-2020'!O285:O286)-SUM('R &amp; E data-2020'!O290:O291),2)</f>
        <v>177704.95</v>
      </c>
      <c r="F21" s="749"/>
      <c r="G21" s="701">
        <f>+ROUND(+SUM('TRIAL-BALANCE'!AA652:AA653)+SUM('TRIAL-BALANCE'!AA657:AA658)-SUM('TRIAL-BALANCE'!Z652:Z653)-SUM('TRIAL-BALANCE'!Z657:Z658),2)</f>
        <v>0</v>
      </c>
      <c r="H21" s="695">
        <f>+ROUND(+SUM('R &amp; E data-2020'!S285:S286)+SUM('R &amp; E data-2020'!S290:S291)-SUM('R &amp; E data-2020'!R285:R286)-SUM('R &amp; E data-2020'!R290:R291),2)</f>
        <v>0</v>
      </c>
      <c r="I21" s="749"/>
      <c r="J21" s="701">
        <f>+ROUND(+SUM('TRIAL-BALANCE'!AH652:AH653)+SUM('TRIAL-BALANCE'!AH657:AH658)-SUM('TRIAL-BALANCE'!AG652:AG653)-SUM('TRIAL-BALANCE'!AG657:AG658),2)</f>
        <v>0</v>
      </c>
      <c r="K21" s="695">
        <f>+ROUND(+SUM('R &amp; E data-2020'!V285:V286)+SUM('R &amp; E data-2020'!V290:V291)-SUM('R &amp; E data-2020'!U285:U286)-SUM('R &amp; E data-2020'!U290:U291),2)</f>
        <v>0</v>
      </c>
      <c r="L21" s="749"/>
      <c r="M21" s="1942">
        <f>+ROUND(+D21+G21+J21,2)</f>
        <v>1594</v>
      </c>
      <c r="N21" s="1941">
        <f>+ROUND(+E21+H21+K21,2)</f>
        <v>177704.95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749"/>
      <c r="D22" s="702">
        <f>+ROUND(+SUM(D13:D21),2)</f>
        <v>1582645.77</v>
      </c>
      <c r="E22" s="693">
        <f>+ROUND(+SUM(E13:E21),2)</f>
        <v>2519435.62</v>
      </c>
      <c r="F22" s="749"/>
      <c r="G22" s="702">
        <f>+ROUND(+SUM(G13:G21),2)</f>
        <v>13.92</v>
      </c>
      <c r="H22" s="693">
        <f>+ROUND(+SUM(H13:H21),2)</f>
        <v>21.94</v>
      </c>
      <c r="I22" s="749"/>
      <c r="J22" s="702">
        <f>+ROUND(+SUM(J13:J21),2)</f>
        <v>0</v>
      </c>
      <c r="K22" s="693">
        <f>+ROUND(+SUM(K13:K21),2)</f>
        <v>0</v>
      </c>
      <c r="L22" s="749"/>
      <c r="M22" s="702">
        <f>+ROUND(+SUM(M13:M21),2)</f>
        <v>1582659.69</v>
      </c>
      <c r="N22" s="693">
        <f>+ROUND(+SUM(N13:N21),2)</f>
        <v>2519457.56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749"/>
      <c r="D23" s="703"/>
      <c r="E23" s="696"/>
      <c r="F23" s="749"/>
      <c r="G23" s="703"/>
      <c r="H23" s="696"/>
      <c r="I23" s="749"/>
      <c r="J23" s="703"/>
      <c r="K23" s="696"/>
      <c r="L23" s="749"/>
      <c r="M23" s="703"/>
      <c r="N23" s="696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749"/>
      <c r="D24" s="700">
        <f>+ROUND(+SUM('TRIAL-BALANCE'!T614:T618)+SUM('TRIAL-BALANCE'!T635:T636)-SUM('TRIAL-BALANCE'!S614:S618)-SUM('TRIAL-BALANCE'!S635:S636),2)</f>
        <v>14197.44</v>
      </c>
      <c r="E24" s="694">
        <f>+ROUND(+SUM('R &amp; E data-2020'!P247:P251)+SUM('R &amp; E data-2020'!P268:P269)-SUM('R &amp; E data-2020'!O247:O251)-SUM('R &amp; E data-2020'!O268:O269),2)</f>
        <v>22202.62</v>
      </c>
      <c r="F24" s="749"/>
      <c r="G24" s="700">
        <f>+ROUND(+SUM('TRIAL-BALANCE'!AA614:AA618)+SUM('TRIAL-BALANCE'!AA635:AA636)-SUM('TRIAL-BALANCE'!Z614:Z618)-SUM('TRIAL-BALANCE'!Z635:Z636),2)</f>
        <v>0</v>
      </c>
      <c r="H24" s="694">
        <f>+ROUND(+SUM('R &amp; E data-2020'!S247:S251)+SUM('R &amp; E data-2020'!S268:S269)-SUM('R &amp; E data-2020'!R247:R251)-SUM('R &amp; E data-2020'!R268:R269),2)</f>
        <v>0</v>
      </c>
      <c r="I24" s="749"/>
      <c r="J24" s="700">
        <f>+ROUND(+SUM('TRIAL-BALANCE'!AH614:AH618)+SUM('TRIAL-BALANCE'!AH635:AH636)-SUM('TRIAL-BALANCE'!AG614:AG618)-SUM('TRIAL-BALANCE'!AG635:AG636),2)</f>
        <v>0</v>
      </c>
      <c r="K24" s="694">
        <f>+ROUND(+SUM('R &amp; E data-2020'!V247:V251)+SUM('R &amp; E data-2020'!V268:V269)-SUM('R &amp; E data-2020'!U247:U251)-SUM('R &amp; E data-2020'!U268:U269),2)</f>
        <v>0</v>
      </c>
      <c r="L24" s="749"/>
      <c r="M24" s="700">
        <f t="shared" ref="M24:N26" si="3">+ROUND(+D24+G24+J24,2)</f>
        <v>14197.44</v>
      </c>
      <c r="N24" s="694">
        <f t="shared" si="3"/>
        <v>22202.62</v>
      </c>
      <c r="O24" s="152"/>
      <c r="P24" s="1883"/>
      <c r="Q24" s="1903" t="s">
        <v>1875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749"/>
      <c r="D25" s="700">
        <f>+ROUND(+SUM('TRIAL-BALANCE'!T623:T634)-SUM('TRIAL-BALANCE'!S623:S634),2)</f>
        <v>50200</v>
      </c>
      <c r="E25" s="694">
        <f>+ROUND(+SUM('R &amp; E data-2020'!P256:P267)-SUM('R &amp; E data-2020'!O256:O267),2)</f>
        <v>352288.71</v>
      </c>
      <c r="F25" s="749"/>
      <c r="G25" s="700">
        <f>+ROUND(+SUM('TRIAL-BALANCE'!AA623:AA634)-SUM('TRIAL-BALANCE'!Z623:Z634),2)</f>
        <v>0</v>
      </c>
      <c r="H25" s="694">
        <f>+ROUND(+SUM('R &amp; E data-2020'!S256:S267)-SUM('R &amp; E data-2020'!R256:R267),2)</f>
        <v>0</v>
      </c>
      <c r="I25" s="749"/>
      <c r="J25" s="700">
        <f>+ROUND(+SUM('TRIAL-BALANCE'!AH623:AH634)-SUM('TRIAL-BALANCE'!AG623:AG634),2)</f>
        <v>0</v>
      </c>
      <c r="K25" s="694">
        <f>+ROUND(+SUM('R &amp; E data-2020'!V256:V267)-SUM('R &amp; E data-2020'!U256:U267),2)</f>
        <v>0</v>
      </c>
      <c r="L25" s="749"/>
      <c r="M25" s="700">
        <f t="shared" si="3"/>
        <v>50200</v>
      </c>
      <c r="N25" s="694">
        <f t="shared" si="3"/>
        <v>352288.71</v>
      </c>
      <c r="O25" s="152"/>
      <c r="P25" s="1667" t="s">
        <v>1869</v>
      </c>
      <c r="Q25" s="1895" t="str">
        <f>+'BALANCE-SHEET-2021-leva'!Q36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749"/>
      <c r="D26" s="701">
        <f>+ROUND(+SUM('TRIAL-BALANCE'!T637:T638)-SUM('TRIAL-BALANCE'!S637:S638),2)</f>
        <v>0</v>
      </c>
      <c r="E26" s="695">
        <f>+ROUND(+SUM('R &amp; E data-2020'!P270:P271)-SUM('R &amp; E data-2020'!O270:O271),2)</f>
        <v>0</v>
      </c>
      <c r="F26" s="749"/>
      <c r="G26" s="701">
        <f>+ROUND(+SUM('TRIAL-BALANCE'!AA637:AA638)-SUM('TRIAL-BALANCE'!Z637:Z638),2)</f>
        <v>0</v>
      </c>
      <c r="H26" s="695">
        <f>+ROUND(+SUM('R &amp; E data-2020'!S270:S271)-SUM('R &amp; E data-2020'!R270:R271),2)</f>
        <v>0</v>
      </c>
      <c r="I26" s="749"/>
      <c r="J26" s="701">
        <f>+ROUND(+SUM('TRIAL-BALANCE'!AH637:AH638)-SUM('TRIAL-BALANCE'!AG637:AG638),2)</f>
        <v>0</v>
      </c>
      <c r="K26" s="695">
        <f>+ROUND(+SUM('R &amp; E data-2020'!V270:V271)-SUM('R &amp; E data-2020'!U270:U271),2)</f>
        <v>0</v>
      </c>
      <c r="L26" s="749"/>
      <c r="M26" s="701">
        <f t="shared" si="3"/>
        <v>0</v>
      </c>
      <c r="N26" s="695">
        <f t="shared" si="3"/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749"/>
      <c r="D27" s="702">
        <f>+ROUND(+SUM(D24:D26),2)</f>
        <v>64397.440000000002</v>
      </c>
      <c r="E27" s="693">
        <f>+ROUND(+SUM(E24:E26),2)</f>
        <v>374491.33</v>
      </c>
      <c r="F27" s="749"/>
      <c r="G27" s="702">
        <f>+ROUND(+SUM(G24:G26),2)</f>
        <v>0</v>
      </c>
      <c r="H27" s="693">
        <f>+ROUND(+SUM(H24:H26),2)</f>
        <v>0</v>
      </c>
      <c r="I27" s="749"/>
      <c r="J27" s="702">
        <f>+ROUND(+SUM(J24:J26),2)</f>
        <v>0</v>
      </c>
      <c r="K27" s="693">
        <f>+ROUND(+SUM(K24:K26),2)</f>
        <v>0</v>
      </c>
      <c r="L27" s="749"/>
      <c r="M27" s="702">
        <f>+ROUND(+SUM(M24:M26),2)</f>
        <v>64397.440000000002</v>
      </c>
      <c r="N27" s="693">
        <f>+ROUND(+SUM(N24:N26),2)</f>
        <v>374491.33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49"/>
      <c r="D28" s="703"/>
      <c r="E28" s="696"/>
      <c r="F28" s="749"/>
      <c r="G28" s="703"/>
      <c r="H28" s="696"/>
      <c r="I28" s="749"/>
      <c r="J28" s="703"/>
      <c r="K28" s="696"/>
      <c r="L28" s="749"/>
      <c r="M28" s="703"/>
      <c r="N28" s="696"/>
      <c r="O28" s="152"/>
      <c r="P28" s="1901"/>
      <c r="Q28" s="1900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749"/>
      <c r="D29" s="702">
        <f>+ROUND('TRIAL-BALANCE'!T650-'TRIAL-BALANCE'!S650,2)+ROUND(+'TRIAL-BALANCE'!T654-'TRIAL-BALANCE'!S654,2)+ROUND('TRIAL-BALANCE'!T692-'TRIAL-BALANCE'!S692,2)+(ROUND('TRIAL-BALANCE'!T648,2)-ROUND('TRIAL-BALANCE'!S648,2))</f>
        <v>-21007.72</v>
      </c>
      <c r="E29" s="693">
        <f>+ROUND('R &amp; E data-2020'!P283-'R &amp; E data-2020'!O283,2)+ROUND(+'R &amp; E data-2020'!P287-'R &amp; E data-2020'!O287,2)+ROUND(+'R &amp; E data-2020'!P325-'R &amp; E data-2020'!O325,2)+(ROUND('R &amp; E data-2020'!P281,2)-ROUND('R &amp; E data-2020'!O281,2))</f>
        <v>-211.99</v>
      </c>
      <c r="F29" s="749"/>
      <c r="G29" s="702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93">
        <f>+ROUND('R &amp; E data-2020'!S283-'R &amp; E data-2020'!R283,2)+ROUND(+'R &amp; E data-2020'!S287-'R &amp; E data-2020'!R287,2)+ROUND('R &amp; E data-2020'!S325-'R &amp; E data-2020'!R325,2)+(ROUND('R &amp; E data-2020'!S281,2)-ROUND('R &amp; E data-2020'!R281,2))</f>
        <v>0</v>
      </c>
      <c r="I29" s="749"/>
      <c r="J29" s="702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93">
        <f>+ROUND('R &amp; E data-2020'!V283-'R &amp; E data-2020'!U283,2)+ROUND(+'R &amp; E data-2020'!V287-'R &amp; E data-2020'!U287,2)+ROUND('R &amp; E data-2020'!V325-'R &amp; E data-2020'!U325,2)+(ROUND('R &amp; E data-2020'!V281,2)-ROUND('R &amp; E data-2020'!U281,2))</f>
        <v>0</v>
      </c>
      <c r="L29" s="749"/>
      <c r="M29" s="702">
        <f>+ROUND(+D29+G29+J29,2)+ROUND(P29,2)</f>
        <v>-21007.72</v>
      </c>
      <c r="N29" s="693">
        <f>+ROUND(+E29+H29+K29,2)+ROUND(Q29,2)</f>
        <v>-211.99</v>
      </c>
      <c r="O29" s="152"/>
      <c r="P29" s="1210">
        <f>+IF(+AND(Status!K4="ДА",+ROUND('Municipal-Bal'!K20,0)=1,+ROUND('Municipal-Bal'!V80,2)=+ROUND('Municipal-Bal'!V91,2)),+ROUND(+SUM('Municipal-Bal'!U82:U83),2),0)</f>
        <v>0</v>
      </c>
      <c r="Q29" s="1938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94" t="s">
        <v>1864</v>
      </c>
      <c r="B30" s="1889">
        <v>739</v>
      </c>
      <c r="C30" s="749"/>
      <c r="D30" s="1890">
        <f>+ROUND(+'TRIAL-BALANCE'!T654-'TRIAL-BALANCE'!S654,2)</f>
        <v>-21007.72</v>
      </c>
      <c r="E30" s="1891">
        <f>+ROUND(+'R &amp; E data-2020'!P287-'R &amp; E data-2020'!O287,2)</f>
        <v>-211.99</v>
      </c>
      <c r="F30" s="749"/>
      <c r="G30" s="1890">
        <f>+ROUND(+'TRIAL-BALANCE'!AA654-'TRIAL-BALANCE'!Z654,2)</f>
        <v>0</v>
      </c>
      <c r="H30" s="1891">
        <f>+ROUND(+'R &amp; E data-2020'!S287-'R &amp; E data-2020'!R287,2)</f>
        <v>0</v>
      </c>
      <c r="I30" s="749"/>
      <c r="J30" s="1890">
        <f>+ROUND(+'TRIAL-BALANCE'!AH654-'TRIAL-BALANCE'!AG654,2)</f>
        <v>0</v>
      </c>
      <c r="K30" s="1891">
        <f>+ROUND(+'R &amp; E data-2020'!V287-'R &amp; E data-2020'!U287,2)</f>
        <v>0</v>
      </c>
      <c r="L30" s="749"/>
      <c r="M30" s="1890">
        <f>+ROUND(+D30+G30+J30,2)</f>
        <v>-21007.72</v>
      </c>
      <c r="N30" s="1891">
        <f>+ROUND(+E30+H30+K30,2)</f>
        <v>-211.99</v>
      </c>
      <c r="O30" s="152"/>
      <c r="P30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4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49"/>
      <c r="D31" s="703"/>
      <c r="E31" s="696"/>
      <c r="F31" s="749"/>
      <c r="G31" s="703"/>
      <c r="H31" s="696"/>
      <c r="I31" s="749"/>
      <c r="J31" s="703"/>
      <c r="K31" s="696"/>
      <c r="L31" s="749"/>
      <c r="M31" s="703"/>
      <c r="N31" s="696"/>
      <c r="O31" s="152"/>
      <c r="P31" s="2598">
        <f>+IF(P30="O K",0,"N o ")</f>
        <v>0</v>
      </c>
      <c r="Q31" s="2598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749"/>
      <c r="D32" s="702">
        <f>+ROUND(+SUM('TRIAL-BALANCE'!T655:T656)-SUM('TRIAL-BALANCE'!S655:S656),2)</f>
        <v>0</v>
      </c>
      <c r="E32" s="693">
        <f>+ROUND(+SUM('R &amp; E data-2020'!P288:P289)-SUM('R &amp; E data-2020'!O288:O289),2)</f>
        <v>0</v>
      </c>
      <c r="F32" s="749"/>
      <c r="G32" s="702">
        <f>+ROUND(+SUM('TRIAL-BALANCE'!AA655:AA656)-SUM('TRIAL-BALANCE'!Z655:Z656),2)</f>
        <v>0</v>
      </c>
      <c r="H32" s="693">
        <f>+ROUND(+SUM('R &amp; E data-2020'!S288:S289)-SUM('R &amp; E data-2020'!R288:R289),2)</f>
        <v>0</v>
      </c>
      <c r="I32" s="749"/>
      <c r="J32" s="702">
        <f>+ROUND(+SUM('TRIAL-BALANCE'!AH655:AH656)-SUM('TRIAL-BALANCE'!AG655:AG656),2)</f>
        <v>0</v>
      </c>
      <c r="K32" s="693">
        <f>+ROUND(+SUM('R &amp; E data-2020'!V288:V289)-SUM('R &amp; E data-2020'!U288:U289),2)</f>
        <v>0</v>
      </c>
      <c r="L32" s="749"/>
      <c r="M32" s="702">
        <f>+ROUND(+D32+G32+J32,2)</f>
        <v>0</v>
      </c>
      <c r="N32" s="693">
        <f>+ROUND(+E32+H32+K32,2)</f>
        <v>0</v>
      </c>
      <c r="O32" s="152"/>
      <c r="P32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597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749"/>
      <c r="D33" s="703"/>
      <c r="E33" s="696"/>
      <c r="F33" s="749"/>
      <c r="G33" s="703"/>
      <c r="H33" s="696"/>
      <c r="I33" s="749"/>
      <c r="J33" s="703"/>
      <c r="K33" s="696"/>
      <c r="L33" s="749"/>
      <c r="M33" s="703"/>
      <c r="N33" s="696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749"/>
      <c r="D34" s="700">
        <f>+ROUND(+SUM('TRIAL-BALANCE'!T708:T709)+SUM('TRIAL-BALANCE'!T726:T729)-SUM('TRIAL-BALANCE'!S708:S709)-SUM('TRIAL-BALANCE'!S726:S729),2)</f>
        <v>0</v>
      </c>
      <c r="E34" s="694">
        <f>+ROUND(+SUM('R &amp; E data-2020'!P341:P342)+SUM('R &amp; E data-2020'!P359:P362)-SUM('R &amp; E data-2020'!O341:O342)-SUM('R &amp; E data-2020'!O359:O362),2)</f>
        <v>0</v>
      </c>
      <c r="F34" s="749"/>
      <c r="G34" s="700">
        <f>+ROUND(+SUM('TRIAL-BALANCE'!AA708:AA709)+SUM('TRIAL-BALANCE'!AA726:AA729)-SUM('TRIAL-BALANCE'!Z708:Z709)-SUM('TRIAL-BALANCE'!Z726:Z729),2)</f>
        <v>2008.78</v>
      </c>
      <c r="H34" s="694">
        <f>+ROUND(+SUM('R &amp; E data-2020'!S341:S342)+SUM('R &amp; E data-2020'!S359:S362)-SUM('R &amp; E data-2020'!R341:R342)-SUM('R &amp; E data-2020'!R359:R362),2)</f>
        <v>0</v>
      </c>
      <c r="I34" s="749"/>
      <c r="J34" s="700">
        <f>+ROUND(+SUM('TRIAL-BALANCE'!AH708:AH709)+SUM('TRIAL-BALANCE'!AH726:AH729)-SUM('TRIAL-BALANCE'!AG708:AG709)-SUM('TRIAL-BALANCE'!AG726:AG729),2)</f>
        <v>0</v>
      </c>
      <c r="K34" s="694">
        <f>+ROUND(+SUM('R &amp; E data-2020'!V341:V342)+SUM('R &amp; E data-2020'!V359:V362)-SUM('R &amp; E data-2020'!U341:U342)-SUM('R &amp; E data-2020'!U359:U362),2)</f>
        <v>0</v>
      </c>
      <c r="L34" s="749"/>
      <c r="M34" s="700">
        <f t="shared" ref="M34:N37" si="4">+ROUND(+D34+G34+J34,2)</f>
        <v>2008.78</v>
      </c>
      <c r="N34" s="694">
        <f t="shared" si="4"/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749"/>
      <c r="D35" s="700">
        <f>+ROUND(+SUM('TRIAL-BALANCE'!T710:T715)+SUM('TRIAL-BALANCE'!T722:T725)+SUM('TRIAL-BALANCE'!T730:T738)-SUM('TRIAL-BALANCE'!S710:S715)-SUM('TRIAL-BALANCE'!S722:S725)-SUM('TRIAL-BALANCE'!S730:S738),2)</f>
        <v>0</v>
      </c>
      <c r="E35" s="694">
        <f>+ROUND(+SUM('R &amp; E data-2020'!P343:P348)+SUM('R &amp; E data-2020'!P355:P358)+SUM('R &amp; E data-2020'!P363:P371)-SUM('R &amp; E data-2020'!O343:O348)-SUM('R &amp; E data-2020'!O355:O358)-SUM('R &amp; E data-2020'!O363:O371),2)</f>
        <v>0</v>
      </c>
      <c r="F35" s="749"/>
      <c r="G35" s="700">
        <f>+ROUND(+SUM('TRIAL-BALANCE'!AA710:AA715)+SUM('TRIAL-BALANCE'!AA722:AA725)+SUM('TRIAL-BALANCE'!AA730:AA738)-SUM('TRIAL-BALANCE'!Z710:Z715)-SUM('TRIAL-BALANCE'!Z722:Z725)-SUM('TRIAL-BALANCE'!Z730:Z738),2)</f>
        <v>0</v>
      </c>
      <c r="H35" s="694">
        <f>+ROUND(+SUM('R &amp; E data-2020'!S343:S348)+SUM('R &amp; E data-2020'!S355:S358)+SUM('R &amp; E data-2020'!S363:S371)-SUM('R &amp; E data-2020'!R343:R348)-SUM('R &amp; E data-2020'!R355:R358)-SUM('R &amp; E data-2020'!R363:R371),2)</f>
        <v>0</v>
      </c>
      <c r="I35" s="749"/>
      <c r="J35" s="700">
        <f>+ROUND(+SUM('TRIAL-BALANCE'!AH710:AH715)+SUM('TRIAL-BALANCE'!AH722:AH725)+SUM('TRIAL-BALANCE'!AH730:AH738)-SUM('TRIAL-BALANCE'!AG710:AG715)-SUM('TRIAL-BALANCE'!AG722:AG725)-SUM('TRIAL-BALANCE'!AG730:AG738),2)</f>
        <v>0</v>
      </c>
      <c r="K35" s="694">
        <f>+ROUND(+SUM('R &amp; E data-2020'!V343:V348)+SUM('R &amp; E data-2020'!V355:V358)+SUM('R &amp; E data-2020'!V363:V371)-SUM('R &amp; E data-2020'!U343:U348)-SUM('R &amp; E data-2020'!U355:U358)-SUM('R &amp; E data-2020'!U363:U371),2)</f>
        <v>0</v>
      </c>
      <c r="L35" s="749"/>
      <c r="M35" s="700">
        <f t="shared" si="4"/>
        <v>0</v>
      </c>
      <c r="N35" s="694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2091</v>
      </c>
      <c r="B36" s="335">
        <f>1+B35</f>
        <v>753</v>
      </c>
      <c r="C36" s="749"/>
      <c r="D36" s="700">
        <f>+ROUND(+'TRIAL-BALANCE'!T721-'TRIAL-BALANCE'!S721,2)</f>
        <v>0</v>
      </c>
      <c r="E36" s="694">
        <f>+ROUND(+'R &amp; E data-2020'!P354-'R &amp; E data-2020'!O354,2)</f>
        <v>0</v>
      </c>
      <c r="F36" s="749"/>
      <c r="G36" s="700">
        <f>+ROUND(+'TRIAL-BALANCE'!AA721-'TRIAL-BALANCE'!Z721,2)</f>
        <v>0</v>
      </c>
      <c r="H36" s="694">
        <f>+ROUND(+'R &amp; E data-2020'!S354-'R &amp; E data-2020'!R354,2)</f>
        <v>0</v>
      </c>
      <c r="I36" s="749"/>
      <c r="J36" s="700">
        <f>+ROUND(+'TRIAL-BALANCE'!AH721-'TRIAL-BALANCE'!AG721,2)</f>
        <v>0</v>
      </c>
      <c r="K36" s="694">
        <f>+ROUND(+'R &amp; E data-2020'!V354-'R &amp; E data-2020'!U354,2)</f>
        <v>0</v>
      </c>
      <c r="L36" s="749"/>
      <c r="M36" s="700">
        <f>+ROUND(+D36+G36+J36,2)</f>
        <v>0</v>
      </c>
      <c r="N36" s="694">
        <f>+ROUND(+E36+H36+K36,2)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749"/>
      <c r="D37" s="701">
        <f>+ROUND(+SUM('TRIAL-BALANCE'!T706:T707)+SUM('TRIAL-BALANCE'!T716:T720)-SUM('TRIAL-BALANCE'!S706:S707)-SUM('TRIAL-BALANCE'!S716:S720),2)+ROUND(+'TRIAL-BALANCE'!T791,2)</f>
        <v>18179.11</v>
      </c>
      <c r="E37" s="695">
        <f>+ROUND(+SUM('R &amp; E data-2020'!P339:P340)+SUM('R &amp; E data-2020'!P349:P353)-SUM('R &amp; E data-2020'!O339:O340)-SUM('R &amp; E data-2020'!O349:O353),2)+ROUND(+'R &amp; E data-2020'!P424,2)</f>
        <v>21896.26</v>
      </c>
      <c r="F37" s="749"/>
      <c r="G37" s="701">
        <f>+ROUND(+SUM('TRIAL-BALANCE'!AA706:AA707)+SUM('TRIAL-BALANCE'!AA716:AA720)-SUM('TRIAL-BALANCE'!Z706:Z707)-SUM('TRIAL-BALANCE'!Z716:Z720),2)+ROUND(+'TRIAL-BALANCE'!AA791,2)</f>
        <v>0</v>
      </c>
      <c r="H37" s="695">
        <f>+ROUND(+SUM('R &amp; E data-2020'!S339:S340)+SUM('R &amp; E data-2020'!S349:S353)-SUM('R &amp; E data-2020'!R339:R340)-SUM('R &amp; E data-2020'!R349:R353),2)+ROUND(+'R &amp; E data-2020'!S424,2)</f>
        <v>0</v>
      </c>
      <c r="I37" s="749"/>
      <c r="J37" s="701">
        <f>+ROUND(+SUM('TRIAL-BALANCE'!AH706:AH707)+SUM('TRIAL-BALANCE'!AH716:AH720)-SUM('TRIAL-BALANCE'!AG706:AG707)-SUM('TRIAL-BALANCE'!AG716:AG720),2)+ROUND(+'TRIAL-BALANCE'!AH791,2)</f>
        <v>0</v>
      </c>
      <c r="K37" s="695">
        <f>+ROUND(+SUM('R &amp; E data-2020'!V339:V340)+SUM('R &amp; E data-2020'!V349:V353)-SUM('R &amp; E data-2020'!U339:U340)-SUM('R &amp; E data-2020'!U349:U353),2)+ROUND(+'R &amp; E data-2020'!V424,2)</f>
        <v>0</v>
      </c>
      <c r="L37" s="749"/>
      <c r="M37" s="701">
        <f t="shared" si="4"/>
        <v>18179.11</v>
      </c>
      <c r="N37" s="695">
        <f t="shared" si="4"/>
        <v>21896.26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749"/>
      <c r="D38" s="702">
        <f>+ROUND(+SUM(D34:D37),2)</f>
        <v>18179.11</v>
      </c>
      <c r="E38" s="693">
        <f>+ROUND(+SUM(E34:E37),2)</f>
        <v>21896.26</v>
      </c>
      <c r="F38" s="749"/>
      <c r="G38" s="702">
        <f>+ROUND(+SUM(G34:G37),2)</f>
        <v>2008.78</v>
      </c>
      <c r="H38" s="693">
        <f>+ROUND(+SUM(H34:H37),2)</f>
        <v>0</v>
      </c>
      <c r="I38" s="749"/>
      <c r="J38" s="702">
        <f>+ROUND(+SUM(J34:J37),2)</f>
        <v>0</v>
      </c>
      <c r="K38" s="693">
        <f>+ROUND(+SUM(K34:K37),2)</f>
        <v>0</v>
      </c>
      <c r="L38" s="749"/>
      <c r="M38" s="702">
        <f>+ROUND(+SUM(M34:M37),2)</f>
        <v>20187.89</v>
      </c>
      <c r="N38" s="693">
        <f>+ROUND(+SUM(N34:N37),2)</f>
        <v>21896.26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49"/>
      <c r="D39" s="703"/>
      <c r="E39" s="696"/>
      <c r="F39" s="749"/>
      <c r="G39" s="703"/>
      <c r="H39" s="696"/>
      <c r="I39" s="749"/>
      <c r="J39" s="703"/>
      <c r="K39" s="696"/>
      <c r="L39" s="749"/>
      <c r="M39" s="703"/>
      <c r="N39" s="696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749"/>
      <c r="D40" s="711">
        <f>+ROUND(+D22+D27+D29+D32+D38,2)</f>
        <v>1644214.6</v>
      </c>
      <c r="E40" s="712">
        <f>+ROUND(+E22+E27+E29+E32+E38,2)</f>
        <v>2915611.22</v>
      </c>
      <c r="F40" s="749"/>
      <c r="G40" s="711">
        <f>+ROUND(+G22+G27+G29+G32+G38,2)</f>
        <v>2022.7</v>
      </c>
      <c r="H40" s="712">
        <f>+ROUND(+H22+H27+H29+H32+H38,2)</f>
        <v>21.94</v>
      </c>
      <c r="I40" s="749"/>
      <c r="J40" s="711">
        <f>+ROUND(+J22+J27+J29+J32+J38,2)</f>
        <v>0</v>
      </c>
      <c r="K40" s="712">
        <f>+ROUND(+K22+K27+K29+K32+K38,2)</f>
        <v>0</v>
      </c>
      <c r="L40" s="749"/>
      <c r="M40" s="711">
        <f>+ROUND(+M22+M27+M29+M32+M38,2)</f>
        <v>1646237.3</v>
      </c>
      <c r="N40" s="712">
        <f>+ROUND(+N22+N27+N29+N32+N38,2)</f>
        <v>2915633.16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749"/>
      <c r="D41" s="704"/>
      <c r="E41" s="697"/>
      <c r="F41" s="749"/>
      <c r="G41" s="704"/>
      <c r="H41" s="697"/>
      <c r="I41" s="749"/>
      <c r="J41" s="704"/>
      <c r="K41" s="697"/>
      <c r="L41" s="749"/>
      <c r="M41" s="704"/>
      <c r="N41" s="697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749"/>
      <c r="D42" s="703"/>
      <c r="E42" s="696"/>
      <c r="F42" s="749"/>
      <c r="G42" s="703"/>
      <c r="H42" s="696"/>
      <c r="I42" s="749"/>
      <c r="J42" s="703"/>
      <c r="K42" s="696"/>
      <c r="L42" s="749"/>
      <c r="M42" s="703"/>
      <c r="N42" s="696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749"/>
      <c r="D43" s="700">
        <f>+ROUND(+SUM('TRIAL-BALANCE'!S384:S393)-SUM('TRIAL-BALANCE'!T384:T393),2)</f>
        <v>965449.66</v>
      </c>
      <c r="E43" s="694">
        <f>+ROUND(+SUM('R &amp; E data-2020'!O17:O26)-SUM('R &amp; E data-2020'!P17:P26),2)</f>
        <v>1341261.03</v>
      </c>
      <c r="F43" s="749"/>
      <c r="G43" s="700">
        <f>+ROUND(+SUM('TRIAL-BALANCE'!Z384:Z393)-SUM('TRIAL-BALANCE'!AA384:AA393),2)</f>
        <v>158624.56</v>
      </c>
      <c r="H43" s="694">
        <f>+ROUND(+SUM('R &amp; E data-2020'!R17:R26)-SUM('R &amp; E data-2020'!S17:S26),2)</f>
        <v>99242.94</v>
      </c>
      <c r="I43" s="749"/>
      <c r="J43" s="700">
        <f>+ROUND(+SUM('TRIAL-BALANCE'!AG384:AG393)-SUM('TRIAL-BALANCE'!AH384:AH393),2)</f>
        <v>0</v>
      </c>
      <c r="K43" s="694">
        <f>+ROUND(+SUM('R &amp; E data-2020'!U17:U26)-SUM('R &amp; E data-2020'!V17:V26),2)</f>
        <v>0</v>
      </c>
      <c r="L43" s="749"/>
      <c r="M43" s="700">
        <f t="shared" ref="M43:M52" si="5">+ROUND(+D43+G43+J43,2)</f>
        <v>1124074.22</v>
      </c>
      <c r="N43" s="694">
        <f t="shared" ref="N43:N50" si="6">+ROUND(+E43+H43+K43,2)</f>
        <v>1440503.97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749"/>
      <c r="D44" s="700">
        <f>+ROUND(+SUM('TRIAL-BALANCE'!S394:S401)+SUM('TRIAL-BALANCE'!S433:S436)+SUM('TRIAL-BALANCE'!S444:S445)-SUM('TRIAL-BALANCE'!T394:T401)-SUM('TRIAL-BALANCE'!T433:T436)-SUM('TRIAL-BALANCE'!T444:T445),2)</f>
        <v>574928.99</v>
      </c>
      <c r="E44" s="694">
        <f>+ROUND(+SUM('R &amp; E data-2020'!O27:O34)+SUM('R &amp; E data-2020'!O66:O69)+SUM('R &amp; E data-2020'!O77:O78)-SUM('R &amp; E data-2020'!P27:P34)-SUM('R &amp; E data-2020'!P66:P69)-SUM('R &amp; E data-2020'!P77:P78),2)</f>
        <v>878601.36</v>
      </c>
      <c r="F44" s="749"/>
      <c r="G44" s="700">
        <f>+ROUND(+SUM('TRIAL-BALANCE'!Z394:Z401)+SUM('TRIAL-BALANCE'!Z433:Z436)+SUM('TRIAL-BALANCE'!Z444:Z445)-SUM('TRIAL-BALANCE'!AA394:AA401)-SUM('TRIAL-BALANCE'!AA433:AA436)-SUM('TRIAL-BALANCE'!AA444:AA445),2)</f>
        <v>50056.31</v>
      </c>
      <c r="H44" s="694">
        <f>+ROUND(+SUM('R &amp; E data-2020'!R27:R34)+SUM('R &amp; E data-2020'!R66:R69)+SUM('R &amp; E data-2020'!R77:R78)-SUM('R &amp; E data-2020'!S27:S34)-SUM('R &amp; E data-2020'!S66:S69)-SUM('R &amp; E data-2020'!S77:S78),2)</f>
        <v>118635.71</v>
      </c>
      <c r="I44" s="749"/>
      <c r="J44" s="700">
        <f>+ROUND(+SUM('TRIAL-BALANCE'!AG394:AG401)+SUM('TRIAL-BALANCE'!AG433:AG436)+SUM('TRIAL-BALANCE'!AG444:AG445)-SUM('TRIAL-BALANCE'!AH394:AH401)-SUM('TRIAL-BALANCE'!AH433:AH436)-SUM('TRIAL-BALANCE'!AH444:AH445),2)</f>
        <v>0</v>
      </c>
      <c r="K44" s="694">
        <f>+ROUND(+SUM('R &amp; E data-2020'!U27:U34)+SUM('R &amp; E data-2020'!U66:U69)+SUM('R &amp; E data-2020'!U77:U78)-SUM('R &amp; E data-2020'!V27:V34)-SUM('R &amp; E data-2020'!V66:V69)-SUM('R &amp; E data-2020'!V77:V78),2)</f>
        <v>0</v>
      </c>
      <c r="L44" s="749"/>
      <c r="M44" s="700">
        <f t="shared" si="5"/>
        <v>624985.30000000005</v>
      </c>
      <c r="N44" s="694">
        <f t="shared" si="6"/>
        <v>997237.07</v>
      </c>
      <c r="O44" s="152"/>
      <c r="P44" s="1883"/>
      <c r="Q44" s="1903" t="s">
        <v>1875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7">1+B44</f>
        <v>603</v>
      </c>
      <c r="C45" s="749"/>
      <c r="D45" s="700">
        <f>+ROUND(+SUM('TRIAL-BALANCE'!S402:S409)-SUM('TRIAL-BALANCE'!T402:T409),2)</f>
        <v>545011.72</v>
      </c>
      <c r="E45" s="694">
        <f>+ROUND(+SUM('R &amp; E data-2020'!O35:O42)-SUM('R &amp; E data-2020'!P35:P42),2)</f>
        <v>704533.18</v>
      </c>
      <c r="F45" s="749"/>
      <c r="G45" s="700">
        <f>+ROUND(+SUM('TRIAL-BALANCE'!Z402:Z409)-SUM('TRIAL-BALANCE'!AA402:AA409),2)</f>
        <v>0</v>
      </c>
      <c r="H45" s="694">
        <f>+ROUND(+SUM('R &amp; E data-2020'!R35:R42)-SUM('R &amp; E data-2020'!S35:S42),2)</f>
        <v>0</v>
      </c>
      <c r="I45" s="749"/>
      <c r="J45" s="700">
        <f>+ROUND(+SUM('TRIAL-BALANCE'!AG402:AG409)-SUM('TRIAL-BALANCE'!AH402:AH409),2)</f>
        <v>1642835.96</v>
      </c>
      <c r="K45" s="694">
        <f>+ROUND(+SUM('R &amp; E data-2020'!U35:U42)-SUM('R &amp; E data-2020'!V35:V42),2)</f>
        <v>1683733.67</v>
      </c>
      <c r="L45" s="749"/>
      <c r="M45" s="700">
        <f t="shared" si="5"/>
        <v>2187847.6800000002</v>
      </c>
      <c r="N45" s="694">
        <f t="shared" si="6"/>
        <v>2388266.85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7"/>
        <v>604</v>
      </c>
      <c r="C46" s="749"/>
      <c r="D46" s="700">
        <f>+ROUND(+SUM('TRIAL-BALANCE'!S410:S417)-SUM('TRIAL-BALANCE'!T410:T417),2)</f>
        <v>4872838.74</v>
      </c>
      <c r="E46" s="694">
        <f>+ROUND(+SUM('R &amp; E data-2020'!O43:O50)-SUM('R &amp; E data-2020'!P43:P50),2)</f>
        <v>6228863.6200000001</v>
      </c>
      <c r="F46" s="749"/>
      <c r="G46" s="700">
        <f>+ROUND(+SUM('TRIAL-BALANCE'!Z410:Z417)-SUM('TRIAL-BALANCE'!AA410:AA417),2)</f>
        <v>262989.03000000003</v>
      </c>
      <c r="H46" s="694">
        <f>+ROUND(+SUM('R &amp; E data-2020'!R43:R50)-SUM('R &amp; E data-2020'!S43:S50),2)</f>
        <v>668707.98</v>
      </c>
      <c r="I46" s="749"/>
      <c r="J46" s="700">
        <f>+ROUND(+SUM('TRIAL-BALANCE'!AG410:AG417)-SUM('TRIAL-BALANCE'!AH410:AH417),2)</f>
        <v>0</v>
      </c>
      <c r="K46" s="694">
        <f>+ROUND(+SUM('R &amp; E data-2020'!U43:U50)-SUM('R &amp; E data-2020'!V43:V50),2)</f>
        <v>0</v>
      </c>
      <c r="L46" s="749"/>
      <c r="M46" s="700">
        <f t="shared" si="5"/>
        <v>5135827.7699999996</v>
      </c>
      <c r="N46" s="694">
        <f t="shared" si="6"/>
        <v>6897571.5999999996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7"/>
        <v>605</v>
      </c>
      <c r="C47" s="749"/>
      <c r="D47" s="700">
        <f>+ROUND(+SUM('TRIAL-BALANCE'!S418:S424)-SUM('TRIAL-BALANCE'!T418:T424),2)</f>
        <v>1037887.95</v>
      </c>
      <c r="E47" s="694">
        <f>+ROUND(+SUM('R &amp; E data-2020'!O51:O57)-SUM('R &amp; E data-2020'!P51:P57),2)</f>
        <v>1240088.25</v>
      </c>
      <c r="F47" s="749"/>
      <c r="G47" s="700">
        <f>+ROUND(+SUM('TRIAL-BALANCE'!Z418:Z424)-SUM('TRIAL-BALANCE'!AA418:AA424),2)</f>
        <v>53605.15</v>
      </c>
      <c r="H47" s="694">
        <f>+ROUND(+SUM('R &amp; E data-2020'!R51:R57)-SUM('R &amp; E data-2020'!S51:S57),2)</f>
        <v>134828.31</v>
      </c>
      <c r="I47" s="749"/>
      <c r="J47" s="700">
        <f>+ROUND(+SUM('TRIAL-BALANCE'!AG418:AG424)-SUM('TRIAL-BALANCE'!AH418:AH424),2)</f>
        <v>0</v>
      </c>
      <c r="K47" s="694">
        <f>+ROUND(+SUM('R &amp; E data-2020'!U51:U57)-SUM('R &amp; E data-2020'!V51:V57),2)</f>
        <v>0</v>
      </c>
      <c r="L47" s="749"/>
      <c r="M47" s="700">
        <f t="shared" si="5"/>
        <v>1091493.1000000001</v>
      </c>
      <c r="N47" s="694">
        <f t="shared" si="6"/>
        <v>1374916.56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7"/>
        <v>606</v>
      </c>
      <c r="C48" s="749"/>
      <c r="D48" s="700">
        <f>+ROUND(+SUM('TRIAL-BALANCE'!S425:S432)-SUM('TRIAL-BALANCE'!T425:T432),2)</f>
        <v>19059.91</v>
      </c>
      <c r="E48" s="694">
        <f>+ROUND(+SUM('R &amp; E data-2020'!O58:O65)-SUM('R &amp; E data-2020'!P58:P65),2)</f>
        <v>33218.75</v>
      </c>
      <c r="F48" s="749"/>
      <c r="G48" s="700">
        <f>+ROUND(+SUM('TRIAL-BALANCE'!Z425:Z432)-SUM('TRIAL-BALANCE'!AA425:AA432),2)</f>
        <v>0</v>
      </c>
      <c r="H48" s="694">
        <f>+ROUND(+SUM('R &amp; E data-2020'!R58:R65)-SUM('R &amp; E data-2020'!S58:S65),2)</f>
        <v>0</v>
      </c>
      <c r="I48" s="749"/>
      <c r="J48" s="700">
        <f>+ROUND(+SUM('TRIAL-BALANCE'!AG425:AG432)-SUM('TRIAL-BALANCE'!AH425:AH432),2)</f>
        <v>0</v>
      </c>
      <c r="K48" s="694">
        <f>+ROUND(+SUM('R &amp; E data-2020'!U58:U65)-SUM('R &amp; E data-2020'!V58:V65),2)</f>
        <v>0</v>
      </c>
      <c r="L48" s="749"/>
      <c r="M48" s="700">
        <f>+ROUND(+D48+G48+J48,2)+ROUND(P48,2)</f>
        <v>19059.91</v>
      </c>
      <c r="N48" s="694">
        <f>+ROUND(+E48+H48+K48,2)+ROUND(Q48,2)</f>
        <v>33218.75</v>
      </c>
      <c r="O48" s="152"/>
      <c r="P48" s="1209">
        <f>+IF(+AND(Status!K4="ДА",+ROUND('Municipal-Bal'!K20,0)=1,+ROUND('Municipal-Bal'!V80,2)=+ROUND('Municipal-Bal'!V91,2)),+ROUND(+SUM('Municipal-Bal'!U85:U86),2),0)</f>
        <v>0</v>
      </c>
      <c r="Q48" s="1670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7"/>
        <v>607</v>
      </c>
      <c r="C49" s="749"/>
      <c r="D49" s="700">
        <f>+ROUND(+SUM('TRIAL-BALANCE'!S450:S451)-SUM('TRIAL-BALANCE'!T450:T451),2)</f>
        <v>10350.14</v>
      </c>
      <c r="E49" s="694">
        <f>+ROUND(+SUM('R &amp; E data-2020'!O83:O84)-SUM('R &amp; E data-2020'!P83:P84),2)</f>
        <v>13886.84</v>
      </c>
      <c r="F49" s="749"/>
      <c r="G49" s="700">
        <f>+ROUND(+SUM('TRIAL-BALANCE'!Z450:Z451)-SUM('TRIAL-BALANCE'!AA450:AA451),2)</f>
        <v>4026.58</v>
      </c>
      <c r="H49" s="694">
        <f>+ROUND(+SUM('R &amp; E data-2020'!R83:R84)-SUM('R &amp; E data-2020'!S83:S84),2)</f>
        <v>3462.6</v>
      </c>
      <c r="I49" s="749"/>
      <c r="J49" s="700">
        <f>+ROUND(+SUM('TRIAL-BALANCE'!AG450:AG451)-SUM('TRIAL-BALANCE'!AH450:AH451),2)</f>
        <v>0</v>
      </c>
      <c r="K49" s="694">
        <f>+ROUND(+SUM('R &amp; E data-2020'!U83:U84)-SUM('R &amp; E data-2020'!V83:V84),2)</f>
        <v>0</v>
      </c>
      <c r="L49" s="749"/>
      <c r="M49" s="700">
        <f t="shared" si="5"/>
        <v>14376.72</v>
      </c>
      <c r="N49" s="694">
        <f t="shared" si="6"/>
        <v>17349.439999999999</v>
      </c>
      <c r="O49" s="152"/>
      <c r="P49" s="1671"/>
      <c r="Q49" s="167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7"/>
        <v>608</v>
      </c>
      <c r="C50" s="749"/>
      <c r="D50" s="700">
        <f>+ROUND(+SUM('TRIAL-BALANCE'!S478:S481)-SUM('TRIAL-BALANCE'!T478:T481),2)</f>
        <v>21981.95</v>
      </c>
      <c r="E50" s="694">
        <f>+ROUND(+SUM('R &amp; E data-2020'!O111:O114)-SUM('R &amp; E data-2020'!P111:P114),2)</f>
        <v>76603.56</v>
      </c>
      <c r="F50" s="749"/>
      <c r="G50" s="700">
        <f>+ROUND(+SUM('TRIAL-BALANCE'!Z478:Z481)-SUM('TRIAL-BALANCE'!AA478:AA481),2)</f>
        <v>61.44</v>
      </c>
      <c r="H50" s="694">
        <f>+ROUND(+SUM('R &amp; E data-2020'!R111:R114)-SUM('R &amp; E data-2020'!S111:S114),2)</f>
        <v>0</v>
      </c>
      <c r="I50" s="749"/>
      <c r="J50" s="700">
        <f>+ROUND(+SUM('TRIAL-BALANCE'!AG478:AG481)-SUM('TRIAL-BALANCE'!AH478:AH481),2)</f>
        <v>0</v>
      </c>
      <c r="K50" s="694">
        <f>+ROUND(+SUM('R &amp; E data-2020'!U111:U114)-SUM('R &amp; E data-2020'!V111:V114),2)</f>
        <v>0</v>
      </c>
      <c r="L50" s="749"/>
      <c r="M50" s="700">
        <f t="shared" si="5"/>
        <v>22043.39</v>
      </c>
      <c r="N50" s="694">
        <f t="shared" si="6"/>
        <v>76603.56</v>
      </c>
      <c r="O50" s="152"/>
      <c r="P50" s="1671"/>
      <c r="Q50" s="167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87" t="s">
        <v>1867</v>
      </c>
      <c r="B51" s="335">
        <f>1+B50</f>
        <v>609</v>
      </c>
      <c r="C51" s="749"/>
      <c r="D51" s="700">
        <f>+ROUND(+SUM('TRIAL-BALANCE'!S446:S449)+SUM('TRIAL-BALANCE'!S452:S455)+SUM('TRIAL-BALANCE'!S579:S580)-SUM('TRIAL-BALANCE'!T446:T449)-SUM('TRIAL-BALANCE'!T452:T455)-SUM('TRIAL-BALANCE'!T579:T580),2)</f>
        <v>146574.51</v>
      </c>
      <c r="E51" s="694">
        <f>+ROUND(+SUM('R &amp; E data-2020'!O79:O82)+SUM('R &amp; E data-2020'!O85:O88)+SUM('R &amp; E data-2020'!O212:O213)-SUM('R &amp; E data-2020'!P79:P82)-SUM('R &amp; E data-2020'!P85:P88)-SUM('R &amp; E data-2020'!P212:P213),2)</f>
        <v>197409.57</v>
      </c>
      <c r="F51" s="749"/>
      <c r="G51" s="700">
        <f>+ROUND(+SUM('TRIAL-BALANCE'!Z446:Z449)+SUM('TRIAL-BALANCE'!Z452:Z455)+SUM('TRIAL-BALANCE'!Z579:Z580)-SUM('TRIAL-BALANCE'!AA446:AA449)-SUM('TRIAL-BALANCE'!AA452:AA455)-SUM('TRIAL-BALANCE'!AA579:AA580),2)</f>
        <v>214.75</v>
      </c>
      <c r="H51" s="694">
        <f>+ROUND(+SUM('R &amp; E data-2020'!R79:R82)+SUM('R &amp; E data-2020'!R85:R88)+SUM('R &amp; E data-2020'!R212:R213)-SUM('R &amp; E data-2020'!S79:S82)-SUM('R &amp; E data-2020'!S85:S88)-SUM('R &amp; E data-2020'!S212:S213),2)</f>
        <v>0</v>
      </c>
      <c r="I51" s="749"/>
      <c r="J51" s="700">
        <f>+ROUND(+SUM('TRIAL-BALANCE'!AG446:AG449)+SUM('TRIAL-BALANCE'!AG452:AG455)+SUM('TRIAL-BALANCE'!AG579:AG580)-SUM('TRIAL-BALANCE'!AH446:AH449)-SUM('TRIAL-BALANCE'!AH452:AH455)-SUM('TRIAL-BALANCE'!AH579:AH580),2)</f>
        <v>0</v>
      </c>
      <c r="K51" s="694">
        <f>+ROUND(+SUM('R &amp; E data-2020'!U79:U82)+SUM('R &amp; E data-2020'!U85:U88)+SUM('R &amp; E data-2020'!U212:U213)-SUM('R &amp; E data-2020'!V79:V82)-SUM('R &amp; E data-2020'!V85:V88)-SUM('R &amp; E data-2020'!V212:V213),2)</f>
        <v>0</v>
      </c>
      <c r="L51" s="749"/>
      <c r="M51" s="1943">
        <f>+ROUND(+D51+G51+J51,2)</f>
        <v>146789.26</v>
      </c>
      <c r="N51" s="1944">
        <f>+ROUND(+E51+H51+K51,2)</f>
        <v>197409.57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749"/>
      <c r="D52" s="701">
        <f>+ROUND(+SUM('TRIAL-BALANCE'!S573:S578)-SUM('TRIAL-BALANCE'!T573:T578),2)</f>
        <v>0</v>
      </c>
      <c r="E52" s="695">
        <f>+ROUND(+SUM('R &amp; E data-2020'!O206:O211)-SUM('R &amp; E data-2020'!P206:P211),2)</f>
        <v>-208967.15</v>
      </c>
      <c r="F52" s="749"/>
      <c r="G52" s="701">
        <f>+ROUND(+SUM('TRIAL-BALANCE'!Z573:Z578)-SUM('TRIAL-BALANCE'!AA573:AA578),2)</f>
        <v>0</v>
      </c>
      <c r="H52" s="695">
        <f>+ROUND(+SUM('R &amp; E data-2020'!R206:R211)-SUM('R &amp; E data-2020'!S206:S211),2)</f>
        <v>0</v>
      </c>
      <c r="I52" s="749"/>
      <c r="J52" s="701">
        <f>+ROUND(+SUM('TRIAL-BALANCE'!AG573:AG578)-SUM('TRIAL-BALANCE'!AH573:AH578),2)</f>
        <v>0</v>
      </c>
      <c r="K52" s="695">
        <f>+ROUND(+SUM('R &amp; E data-2020'!U206:U211)-SUM('R &amp; E data-2020'!V206:V211),2)</f>
        <v>0</v>
      </c>
      <c r="L52" s="749"/>
      <c r="M52" s="701">
        <f t="shared" si="5"/>
        <v>0</v>
      </c>
      <c r="N52" s="695">
        <f>+ROUND(+E52+H52+K52,2)</f>
        <v>-208967.15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749"/>
      <c r="D53" s="705">
        <f>+ROUND(+SUM(D43:D52),2)</f>
        <v>8194083.5700000003</v>
      </c>
      <c r="E53" s="698">
        <f>+ROUND(+SUM(E43:E52),2)</f>
        <v>10505499.01</v>
      </c>
      <c r="F53" s="749"/>
      <c r="G53" s="705">
        <f>+ROUND(+SUM(G43:G52),2)</f>
        <v>529577.81999999995</v>
      </c>
      <c r="H53" s="698">
        <f>+ROUND(+SUM(H43:H52),2)</f>
        <v>1024877.54</v>
      </c>
      <c r="I53" s="749"/>
      <c r="J53" s="705">
        <f>+ROUND(+SUM(J43:J52),2)</f>
        <v>1642835.96</v>
      </c>
      <c r="K53" s="698">
        <f>+ROUND(+SUM(K43:K52),2)</f>
        <v>1683733.67</v>
      </c>
      <c r="L53" s="749"/>
      <c r="M53" s="705">
        <f>+ROUND(+SUM(M43:M52),2)</f>
        <v>10366497.35</v>
      </c>
      <c r="N53" s="698">
        <f>+ROUND(+SUM(N43:N52),2)</f>
        <v>13214110.220000001</v>
      </c>
      <c r="O53" s="152"/>
      <c r="P53" s="1680">
        <f>+ROUND(SUM(P48:P51),2)</f>
        <v>0</v>
      </c>
      <c r="Q53" s="1680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2172</v>
      </c>
      <c r="B54" s="173"/>
      <c r="C54" s="749"/>
      <c r="D54" s="703"/>
      <c r="E54" s="696"/>
      <c r="F54" s="749"/>
      <c r="G54" s="703"/>
      <c r="H54" s="696"/>
      <c r="I54" s="749"/>
      <c r="J54" s="703"/>
      <c r="K54" s="696"/>
      <c r="L54" s="749"/>
      <c r="M54" s="703"/>
      <c r="N54" s="696"/>
      <c r="O54" s="152"/>
      <c r="P54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4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749"/>
      <c r="D55" s="700">
        <f>+ROUND(+SUM('TRIAL-BALANCE'!S456:S460)+SUM('TRIAL-BALANCE'!S473:S474)-SUM('TRIAL-BALANCE'!T456:T460)-SUM('TRIAL-BALANCE'!T473:T474),2)</f>
        <v>12951.82</v>
      </c>
      <c r="E55" s="694">
        <f>+ROUND(+SUM('R &amp; E data-2020'!O89:O93)+SUM('R &amp; E data-2020'!O106:O107)-SUM('R &amp; E data-2020'!P89:P93)-SUM('R &amp; E data-2020'!P106:P107),2)</f>
        <v>13844.05</v>
      </c>
      <c r="F55" s="749"/>
      <c r="G55" s="700">
        <f>+ROUND(+SUM('TRIAL-BALANCE'!Z456:Z460)+SUM('TRIAL-BALANCE'!Z473:Z474)-SUM('TRIAL-BALANCE'!AA456:AA460)-SUM('TRIAL-BALANCE'!AA473:AA474),2)</f>
        <v>0</v>
      </c>
      <c r="H55" s="694">
        <f>+ROUND(+SUM('R &amp; E data-2020'!R89:R93)+SUM('R &amp; E data-2020'!R106:R107)-SUM('R &amp; E data-2020'!S89:S93)-SUM('R &amp; E data-2020'!S106:S107),2)</f>
        <v>0</v>
      </c>
      <c r="I55" s="749"/>
      <c r="J55" s="700">
        <f>+ROUND(+SUM('TRIAL-BALANCE'!AG456:AG460)+SUM('TRIAL-BALANCE'!AG473:AG474)-SUM('TRIAL-BALANCE'!AH456:AH460)-SUM('TRIAL-BALANCE'!AH473:AH474),2)</f>
        <v>0</v>
      </c>
      <c r="K55" s="694">
        <f>+ROUND(+SUM('R &amp; E data-2020'!U89:U93)+SUM('R &amp; E data-2020'!U106:U107)-SUM('R &amp; E data-2020'!V89:V93)-SUM('R &amp; E data-2020'!V106:V107),2)</f>
        <v>0</v>
      </c>
      <c r="L55" s="749"/>
      <c r="M55" s="700">
        <f t="shared" ref="M55:N57" si="8">+ROUND(+D55+G55+J55,2)</f>
        <v>12951.82</v>
      </c>
      <c r="N55" s="694">
        <f t="shared" si="8"/>
        <v>13844.05</v>
      </c>
      <c r="O55" s="152"/>
      <c r="P55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597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749"/>
      <c r="D56" s="700">
        <f>+ROUND(+SUM('TRIAL-BALANCE'!S461:S472)-SUM('TRIAL-BALANCE'!T461:T472),2)</f>
        <v>0</v>
      </c>
      <c r="E56" s="694">
        <f>+ROUND(+SUM('R &amp; E data-2020'!O94:O105)-SUM('R &amp; E data-2020'!P94:P105),2)</f>
        <v>155914.79999999999</v>
      </c>
      <c r="F56" s="749"/>
      <c r="G56" s="700">
        <f>+ROUND(+SUM('TRIAL-BALANCE'!Z461:Z472)-SUM('TRIAL-BALANCE'!AA461:AA472),2)</f>
        <v>0</v>
      </c>
      <c r="H56" s="694">
        <f>+ROUND(+SUM('R &amp; E data-2020'!R94:R105)-SUM('R &amp; E data-2020'!S94:S105),2)</f>
        <v>0</v>
      </c>
      <c r="I56" s="749"/>
      <c r="J56" s="700">
        <f>+ROUND(+SUM('TRIAL-BALANCE'!AG461:AG472)-SUM('TRIAL-BALANCE'!AH461:AH472),2)</f>
        <v>0</v>
      </c>
      <c r="K56" s="694">
        <f>+ROUND(+SUM('R &amp; E data-2020'!U94:U105)-SUM('R &amp; E data-2020'!V94:V105),2)</f>
        <v>0</v>
      </c>
      <c r="L56" s="749"/>
      <c r="M56" s="700">
        <f t="shared" si="8"/>
        <v>0</v>
      </c>
      <c r="N56" s="694">
        <f t="shared" si="8"/>
        <v>155914.79999999999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749"/>
      <c r="D57" s="701">
        <f>+ROUND(+SUM('TRIAL-BALANCE'!S475:S476)-SUM('TRIAL-BALANCE'!T475:T476),2)</f>
        <v>0</v>
      </c>
      <c r="E57" s="695">
        <f>+ROUND(+SUM('R &amp; E data-2020'!O108:O109)-SUM('R &amp; E data-2020'!P108:P109),2)</f>
        <v>0</v>
      </c>
      <c r="F57" s="749"/>
      <c r="G57" s="701">
        <f>+ROUND(+SUM('TRIAL-BALANCE'!Z475:Z476)-SUM('TRIAL-BALANCE'!AA475:AA476),2)</f>
        <v>0</v>
      </c>
      <c r="H57" s="695">
        <f>+ROUND(+SUM('R &amp; E data-2020'!R108:R109)-SUM('R &amp; E data-2020'!S108:S109),2)</f>
        <v>0</v>
      </c>
      <c r="I57" s="749"/>
      <c r="J57" s="701">
        <f>+ROUND(+SUM('TRIAL-BALANCE'!AG475:AG476)-SUM('TRIAL-BALANCE'!AH475:AH476),2)</f>
        <v>0</v>
      </c>
      <c r="K57" s="695">
        <f>+ROUND(+SUM('R &amp; E data-2020'!U108:U109)-SUM('R &amp; E data-2020'!V108:V109),2)</f>
        <v>0</v>
      </c>
      <c r="L57" s="749"/>
      <c r="M57" s="701">
        <f t="shared" si="8"/>
        <v>0</v>
      </c>
      <c r="N57" s="695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749"/>
      <c r="D58" s="705">
        <f>+ROUND(+SUM(D55:D57),2)</f>
        <v>12951.82</v>
      </c>
      <c r="E58" s="698">
        <f>+ROUND(+SUM(E55:E57),2)</f>
        <v>169758.85</v>
      </c>
      <c r="F58" s="749"/>
      <c r="G58" s="705">
        <f>+ROUND(+SUM(G55:G57),2)</f>
        <v>0</v>
      </c>
      <c r="H58" s="698">
        <f>+ROUND(+SUM(H55:H57),2)</f>
        <v>0</v>
      </c>
      <c r="I58" s="749"/>
      <c r="J58" s="705">
        <f>+ROUND(+SUM(J55:J57),2)</f>
        <v>0</v>
      </c>
      <c r="K58" s="698">
        <f>+ROUND(+SUM(K55:K57),2)</f>
        <v>0</v>
      </c>
      <c r="L58" s="749"/>
      <c r="M58" s="705">
        <f>+ROUND(+SUM(M55:M57),2)</f>
        <v>12951.82</v>
      </c>
      <c r="N58" s="698">
        <f>+ROUND(+SUM(N55:N57),2)</f>
        <v>169758.85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749"/>
      <c r="D59" s="703"/>
      <c r="E59" s="696"/>
      <c r="F59" s="749"/>
      <c r="G59" s="703"/>
      <c r="H59" s="696"/>
      <c r="I59" s="749"/>
      <c r="J59" s="703"/>
      <c r="K59" s="696"/>
      <c r="L59" s="749"/>
      <c r="M59" s="703"/>
      <c r="N59" s="696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749"/>
      <c r="D60" s="700">
        <f>+ROUND(+SUM('TRIAL-BALANCE'!S482:S493)-SUM('TRIAL-BALANCE'!T482:T493),2)</f>
        <v>0</v>
      </c>
      <c r="E60" s="694">
        <f>+ROUND(+SUM('R &amp; E data-2020'!O115:O126)-SUM('R &amp; E data-2020'!P115:P126),2)</f>
        <v>0</v>
      </c>
      <c r="F60" s="749"/>
      <c r="G60" s="700">
        <f>+ROUND(+SUM('TRIAL-BALANCE'!Z482:Z493)-SUM('TRIAL-BALANCE'!AA482:AA493),2)</f>
        <v>0</v>
      </c>
      <c r="H60" s="694">
        <f>+ROUND(+SUM('R &amp; E data-2020'!R115:R126)-SUM('R &amp; E data-2020'!S115:S126),2)</f>
        <v>0</v>
      </c>
      <c r="I60" s="749"/>
      <c r="J60" s="700">
        <f>+ROUND(+SUM('TRIAL-BALANCE'!AG482:AG493)-SUM('TRIAL-BALANCE'!AH482:AH493),2)</f>
        <v>0</v>
      </c>
      <c r="K60" s="694">
        <f>+ROUND(+SUM('R &amp; E data-2020'!U115:U126)-SUM('R &amp; E data-2020'!V115:V126),2)</f>
        <v>0</v>
      </c>
      <c r="L60" s="749"/>
      <c r="M60" s="700">
        <f>+ROUND(+D60+G60+J60,2)</f>
        <v>0</v>
      </c>
      <c r="N60" s="694">
        <f>+ROUND(+E60+H60+K60,2)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749"/>
      <c r="D61" s="701">
        <f>+ROUND(+SUM('TRIAL-BALANCE'!S494:S507)-SUM('TRIAL-BALANCE'!T494:T507),2)</f>
        <v>0</v>
      </c>
      <c r="E61" s="695">
        <f>+ROUND(+SUM('R &amp; E data-2020'!O127:O140)-SUM('R &amp; E data-2020'!P127:P140),2)</f>
        <v>0</v>
      </c>
      <c r="F61" s="749"/>
      <c r="G61" s="701">
        <f>+ROUND(+SUM('TRIAL-BALANCE'!Z494:Z507)-SUM('TRIAL-BALANCE'!AA494:AA507),2)</f>
        <v>0</v>
      </c>
      <c r="H61" s="695">
        <f>+ROUND(+SUM('R &amp; E data-2020'!R127:R140)-SUM('R &amp; E data-2020'!S127:S140),2)</f>
        <v>0</v>
      </c>
      <c r="I61" s="749"/>
      <c r="J61" s="701">
        <f>+ROUND(+SUM('TRIAL-BALANCE'!AG494:AG507)-SUM('TRIAL-BALANCE'!AH494:AH507),2)</f>
        <v>0</v>
      </c>
      <c r="K61" s="695">
        <f>+ROUND(+SUM('R &amp; E data-2020'!U127:U140)-SUM('R &amp; E data-2020'!V127:V140),2)</f>
        <v>0</v>
      </c>
      <c r="L61" s="749"/>
      <c r="M61" s="701">
        <f>+ROUND(+D61+G61+J61,2)</f>
        <v>0</v>
      </c>
      <c r="N61" s="695">
        <f>+ROUND(+E61+H61+K61,2)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749"/>
      <c r="D62" s="705">
        <f>+ROUND(+SUM(D60:D61),2)</f>
        <v>0</v>
      </c>
      <c r="E62" s="698">
        <f>+ROUND(+SUM(E60:E61),2)</f>
        <v>0</v>
      </c>
      <c r="F62" s="749"/>
      <c r="G62" s="705">
        <f>+ROUND(+SUM(G60:G61),2)</f>
        <v>0</v>
      </c>
      <c r="H62" s="698">
        <f>+ROUND(+SUM(H60:H61),2)</f>
        <v>0</v>
      </c>
      <c r="I62" s="749"/>
      <c r="J62" s="705">
        <f>+ROUND(+SUM(J60:J61),2)</f>
        <v>0</v>
      </c>
      <c r="K62" s="698">
        <f>+ROUND(+SUM(K60:K61),2)</f>
        <v>0</v>
      </c>
      <c r="L62" s="749"/>
      <c r="M62" s="705">
        <f>+ROUND(+SUM(M60:M61),2)</f>
        <v>0</v>
      </c>
      <c r="N62" s="698">
        <f>+ROUND(+SUM(N60:N61),2)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749"/>
      <c r="D63" s="703"/>
      <c r="E63" s="696"/>
      <c r="F63" s="749"/>
      <c r="G63" s="703"/>
      <c r="H63" s="696"/>
      <c r="I63" s="749"/>
      <c r="J63" s="703"/>
      <c r="K63" s="696"/>
      <c r="L63" s="749"/>
      <c r="M63" s="703"/>
      <c r="N63" s="696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749"/>
      <c r="D64" s="700">
        <f>+ROUND(+SUM('TRIAL-BALANCE'!S509:S516)+SUM('TRIAL-BALANCE'!S521:S522)-SUM('TRIAL-BALANCE'!T509:T516)-SUM('TRIAL-BALANCE'!T521:T522),2)</f>
        <v>43984.79</v>
      </c>
      <c r="E64" s="694">
        <f>+ROUND(+SUM('R &amp; E data-2020'!O142:O149)+SUM('R &amp; E data-2020'!O154:O155)-SUM('R &amp; E data-2020'!P142:P149)-SUM('R &amp; E data-2020'!P154:P155),2)</f>
        <v>51719.09</v>
      </c>
      <c r="F64" s="749"/>
      <c r="G64" s="700">
        <f>+ROUND(+SUM('TRIAL-BALANCE'!Z509:Z516)+SUM('TRIAL-BALANCE'!Z521:Z522)-SUM('TRIAL-BALANCE'!AA509:AA516)-SUM('TRIAL-BALANCE'!AA521:AA522),2)</f>
        <v>4932.8900000000003</v>
      </c>
      <c r="H64" s="694">
        <f>+ROUND(+SUM('R &amp; E data-2020'!R142:R149)+SUM('R &amp; E data-2020'!R154:R155)-SUM('R &amp; E data-2020'!S142:S149)-SUM('R &amp; E data-2020'!S154:S155),2)</f>
        <v>8167.05</v>
      </c>
      <c r="I64" s="749"/>
      <c r="J64" s="700">
        <f>+ROUND(+SUM('TRIAL-BALANCE'!AG509:AG516)+SUM('TRIAL-BALANCE'!AG521:AG522)-SUM('TRIAL-BALANCE'!AH509:AH516)-SUM('TRIAL-BALANCE'!AH521:AH522),2)</f>
        <v>0</v>
      </c>
      <c r="K64" s="694">
        <f>+ROUND(+SUM('R &amp; E data-2020'!U142:U149)+SUM('R &amp; E data-2020'!U154:U155)-SUM('R &amp; E data-2020'!V142:V149)-SUM('R &amp; E data-2020'!V154:V155),2)</f>
        <v>0</v>
      </c>
      <c r="L64" s="749"/>
      <c r="M64" s="700">
        <f>+ROUND(+D64+G64+J64,2)</f>
        <v>48917.68</v>
      </c>
      <c r="N64" s="694">
        <f>+ROUND(+E64+H64+K64,2)</f>
        <v>59886.14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749"/>
      <c r="D65" s="700">
        <f>+ROUND(+SUM('TRIAL-BALANCE'!S517:S520)-SUM('TRIAL-BALANCE'!T517:T520),2)</f>
        <v>0</v>
      </c>
      <c r="E65" s="694">
        <f>+ROUND(+SUM('R &amp; E data-2020'!O150:O153)-SUM('R &amp; E data-2020'!P150:P153),2)</f>
        <v>0</v>
      </c>
      <c r="F65" s="749"/>
      <c r="G65" s="700">
        <f>+ROUND(+SUM('TRIAL-BALANCE'!Z517:Z520)-SUM('TRIAL-BALANCE'!AA517:AA520),2)</f>
        <v>0</v>
      </c>
      <c r="H65" s="694">
        <f>+ROUND(+SUM('R &amp; E data-2020'!R150:R153)-SUM('R &amp; E data-2020'!S150:S153),2)</f>
        <v>0</v>
      </c>
      <c r="I65" s="749"/>
      <c r="J65" s="700">
        <f>+ROUND(+SUM('TRIAL-BALANCE'!AG517:AG520)-SUM('TRIAL-BALANCE'!AH517:AH520),2)</f>
        <v>0</v>
      </c>
      <c r="K65" s="694">
        <f>+ROUND(+SUM('R &amp; E data-2020'!U150:U153)-SUM('R &amp; E data-2020'!V150:V153),2)</f>
        <v>0</v>
      </c>
      <c r="L65" s="749"/>
      <c r="M65" s="700">
        <f>+ROUND(+D65+G65+J65,2)</f>
        <v>0</v>
      </c>
      <c r="N65" s="694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749"/>
      <c r="D66" s="705">
        <f>+ROUND(+SUM(D64:D65),2)</f>
        <v>43984.79</v>
      </c>
      <c r="E66" s="698">
        <f>+ROUND(+SUM(E64:E65),2)</f>
        <v>51719.09</v>
      </c>
      <c r="F66" s="749"/>
      <c r="G66" s="705">
        <f>+ROUND(+SUM(G64:G65),2)</f>
        <v>4932.8900000000003</v>
      </c>
      <c r="H66" s="698">
        <f>+ROUND(+SUM(H64:H65),2)</f>
        <v>8167.05</v>
      </c>
      <c r="I66" s="749"/>
      <c r="J66" s="705">
        <f>+ROUND(+SUM(J64:J65),2)</f>
        <v>0</v>
      </c>
      <c r="K66" s="698">
        <f>+ROUND(+SUM(K64:K65),2)</f>
        <v>0</v>
      </c>
      <c r="L66" s="749"/>
      <c r="M66" s="705">
        <f>+ROUND(+SUM(M64:M65),2)</f>
        <v>48917.68</v>
      </c>
      <c r="N66" s="698">
        <f>+ROUND(+SUM(N64:N65),2)</f>
        <v>59886.14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749"/>
      <c r="D67" s="703"/>
      <c r="E67" s="696"/>
      <c r="F67" s="749"/>
      <c r="G67" s="703"/>
      <c r="H67" s="696"/>
      <c r="I67" s="749"/>
      <c r="J67" s="703"/>
      <c r="K67" s="696"/>
      <c r="L67" s="749"/>
      <c r="M67" s="703"/>
      <c r="N67" s="696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749"/>
      <c r="D68" s="700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254166.91</v>
      </c>
      <c r="E68" s="694">
        <f>+ROUND(+SUM('R &amp; E data-2020'!O157:O161)+SUM('R &amp; E data-2020'!O166:O169)+SUM('R &amp; E data-2020'!O173:O176)+SUM('R &amp; E data-2020'!O181:O184)+SUM('R &amp; E data-2020'!O187:O190)+SUM('R &amp; E data-2020'!O193:O195)+'R &amp; E data-2020'!O198-SUM('R &amp; E data-2020'!P157:P161)-SUM('R &amp; E data-2020'!P166:P169)-SUM('R &amp; E data-2020'!P173:P176)-SUM('R &amp; E data-2020'!P181:P184)-SUM('R &amp; E data-2020'!P187:P190)-SUM('R &amp; E data-2020'!P193:P195)-'R &amp; E data-2020'!P198,2)+ROUND(+'R &amp; E data-2020'!O424,2)</f>
        <v>263478.26</v>
      </c>
      <c r="F68" s="749"/>
      <c r="G68" s="700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30682.89</v>
      </c>
      <c r="H68" s="694">
        <f>+ROUND(+SUM('R &amp; E data-2020'!R157:R161)+SUM('R &amp; E data-2020'!R166:R169)+SUM('R &amp; E data-2020'!R173:R176)+SUM('R &amp; E data-2020'!R181:R184)+SUM('R &amp; E data-2020'!R187:R190)+SUM('R &amp; E data-2020'!R193:R195)+'R &amp; E data-2020'!R198-SUM('R &amp; E data-2020'!S157:S161)-SUM('R &amp; E data-2020'!S166:S169)-SUM('R &amp; E data-2020'!S173:S176)-SUM('R &amp; E data-2020'!S181:S184)-SUM('R &amp; E data-2020'!S187:S190)-SUM('R &amp; E data-2020'!S193:S195)-'R &amp; E data-2020'!S198,2)+ROUND(+'R &amp; E data-2020'!R424,2)</f>
        <v>209991.14</v>
      </c>
      <c r="I68" s="749"/>
      <c r="J68" s="700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94">
        <f>+ROUND(+SUM('R &amp; E data-2020'!U157:U161)+SUM('R &amp; E data-2020'!U166:U169)+SUM('R &amp; E data-2020'!U173:U176)+SUM('R &amp; E data-2020'!U181:U184)+SUM('R &amp; E data-2020'!U187:U190)+SUM('R &amp; E data-2020'!U193:U195)+'R &amp; E data-2020'!U198-SUM('R &amp; E data-2020'!V157:V161)-SUM('R &amp; E data-2020'!V166:V169)-SUM('R &amp; E data-2020'!V173:V176)-SUM('R &amp; E data-2020'!V181:V184)-SUM('R &amp; E data-2020'!V187:V190)-SUM('R &amp; E data-2020'!V193:V195)-'R &amp; E data-2020'!V198,2)+ROUND(+'R &amp; E data-2020'!U424,2)</f>
        <v>0</v>
      </c>
      <c r="L68" s="749"/>
      <c r="M68" s="700">
        <f>+ROUND(+D68+G68+J68,2)</f>
        <v>284849.8</v>
      </c>
      <c r="N68" s="694">
        <f>+ROUND(+E68+H68+K68,2)</f>
        <v>473469.4</v>
      </c>
      <c r="O68" s="152"/>
      <c r="P68" s="1883"/>
      <c r="Q68" s="1903" t="s">
        <v>1875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749"/>
      <c r="D69" s="700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688</v>
      </c>
      <c r="E69" s="694">
        <f>+ROUND(+SUM('R &amp; E data-2020'!O162:O165)+SUM('R &amp; E data-2020'!O170:O172)+SUM('R &amp; E data-2020'!O177:O180)+SUM('R &amp; E data-2020'!O185:O186)+SUM('R &amp; E data-2020'!O191:O192)+SUM('R &amp; E data-2020'!O196:O197)-SUM('R &amp; E data-2020'!P162:P165)-SUM('R &amp; E data-2020'!P170:P172)-SUM('R &amp; E data-2020'!P177:P180)-SUM('R &amp; E data-2020'!P185:P186)-SUM('R &amp; E data-2020'!P191:P192)-SUM('R &amp; E data-2020'!P196:P197),2)</f>
        <v>64022</v>
      </c>
      <c r="F69" s="749"/>
      <c r="G69" s="700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94">
        <f>+ROUND(+SUM('R &amp; E data-2020'!R162:R165)+SUM('R &amp; E data-2020'!R170:R172)+SUM('R &amp; E data-2020'!R177:R180)+SUM('R &amp; E data-2020'!R185:R186)+SUM('R &amp; E data-2020'!R191:R192)+SUM('R &amp; E data-2020'!R196:R197)-SUM('R &amp; E data-2020'!S162:S165)-SUM('R &amp; E data-2020'!S170:S172)-SUM('R &amp; E data-2020'!S177:S180)-SUM('R &amp; E data-2020'!S185:S186)-SUM('R &amp; E data-2020'!S191:S192)-SUM('R &amp; E data-2020'!S196:S197),2)</f>
        <v>0</v>
      </c>
      <c r="I69" s="749"/>
      <c r="J69" s="700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94">
        <f>+ROUND(+SUM('R &amp; E data-2020'!U162:U165)+SUM('R &amp; E data-2020'!U170:U172)+SUM('R &amp; E data-2020'!U177:U180)+SUM('R &amp; E data-2020'!U185:U186)+SUM('R &amp; E data-2020'!U191:U192)+SUM('R &amp; E data-2020'!U196:U197)-SUM('R &amp; E data-2020'!V162:V165)-SUM('R &amp; E data-2020'!V170:V172)-SUM('R &amp; E data-2020'!V177:V180)-SUM('R &amp; E data-2020'!V185:V186)-SUM('R &amp; E data-2020'!V191:V192)-SUM('R &amp; E data-2020'!V196:V197),2)</f>
        <v>0</v>
      </c>
      <c r="L69" s="749"/>
      <c r="M69" s="700">
        <f>+ROUND(+D69+G69+J69,2)</f>
        <v>688</v>
      </c>
      <c r="N69" s="694">
        <f>+ROUND(+E69+H69+K69,2)</f>
        <v>64022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749"/>
      <c r="D70" s="705">
        <f>+ROUND(+SUM(D68:D69),2)</f>
        <v>254854.91</v>
      </c>
      <c r="E70" s="698">
        <f>+ROUND(+SUM(E68:E69),2)</f>
        <v>327500.26</v>
      </c>
      <c r="F70" s="749"/>
      <c r="G70" s="705">
        <f>+ROUND(+SUM(G68:G69),2)</f>
        <v>30682.89</v>
      </c>
      <c r="H70" s="698">
        <f>+ROUND(+SUM(H68:H69),2)</f>
        <v>209991.14</v>
      </c>
      <c r="I70" s="749"/>
      <c r="J70" s="705">
        <f>+ROUND(+SUM(J68:J69),2)</f>
        <v>0</v>
      </c>
      <c r="K70" s="698">
        <f>+ROUND(+SUM(K68:K69),2)</f>
        <v>0</v>
      </c>
      <c r="L70" s="749"/>
      <c r="M70" s="705">
        <f>+ROUND(+SUM(M68:M69),2)</f>
        <v>285537.8</v>
      </c>
      <c r="N70" s="698">
        <f>+ROUND(+SUM(N68:N69),2)</f>
        <v>537491.4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749"/>
      <c r="D71" s="665"/>
      <c r="E71" s="666"/>
      <c r="F71" s="749"/>
      <c r="G71" s="665"/>
      <c r="H71" s="666"/>
      <c r="I71" s="749"/>
      <c r="J71" s="665"/>
      <c r="K71" s="666"/>
      <c r="L71" s="749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1064</v>
      </c>
      <c r="B72" s="692">
        <v>660</v>
      </c>
      <c r="C72" s="749"/>
      <c r="D72" s="705">
        <f>+ROUND(+SUM('TRIAL-BALANCE'!S437:S441)-SUM('TRIAL-BALANCE'!T437:T441),2)</f>
        <v>906362.3</v>
      </c>
      <c r="E72" s="698">
        <f>+ROUND(+SUM('R &amp; E data-2020'!O70:O74)-SUM('R &amp; E data-2020'!P70:P74),2)</f>
        <v>5000</v>
      </c>
      <c r="F72" s="749"/>
      <c r="G72" s="705">
        <f>+ROUND(+SUM('TRIAL-BALANCE'!Z437:Z441)-SUM('TRIAL-BALANCE'!AA437:AA441),2)</f>
        <v>1530204.39</v>
      </c>
      <c r="H72" s="698">
        <f>+ROUND(+SUM('R &amp; E data-2020'!R70:R74)-SUM('R &amp; E data-2020'!S70:S74),2)</f>
        <v>6552085.2800000003</v>
      </c>
      <c r="I72" s="749"/>
      <c r="J72" s="705">
        <f>-ROUND(+'TRIAL-BALANCE'!AH763-'TRIAL-BALANCE'!AG763,2)+ROUND(+SUM('TRIAL-BALANCE'!AG437:AG441)-SUM('TRIAL-BALANCE'!AH437:AH441),2)</f>
        <v>-900663.11</v>
      </c>
      <c r="K72" s="698">
        <f>-ROUND('R &amp; E data-2020'!V396-'R &amp; E data-2020'!U396,2)</f>
        <v>-6557085.2800000003</v>
      </c>
      <c r="L72" s="749"/>
      <c r="M72" s="705">
        <f>+ROUND(+D72+G72+J72,2)</f>
        <v>1535903.58</v>
      </c>
      <c r="N72" s="698">
        <f>+ROUND(+E72+H72+K72,2)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749"/>
      <c r="D73" s="665"/>
      <c r="E73" s="666"/>
      <c r="F73" s="749"/>
      <c r="G73" s="665"/>
      <c r="H73" s="666"/>
      <c r="I73" s="749"/>
      <c r="J73" s="665"/>
      <c r="K73" s="666"/>
      <c r="L73" s="749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749"/>
      <c r="D74" s="705">
        <f>+ROUND(+SUM('TRIAL-BALANCE'!S442:S443)-SUM('TRIAL-BALANCE'!T442:T443)+('TRIAL-BALANCE'!S508-'TRIAL-BALANCE'!T508)+('TRIAL-BALANCE'!S523-'TRIAL-BALANCE'!T523)+SUM('TRIAL-BALANCE'!S566:S572)-SUM('TRIAL-BALANCE'!T566:T572),2)</f>
        <v>0</v>
      </c>
      <c r="E74" s="698">
        <f>+ROUND(+SUM('R &amp; E data-2020'!O75:O76)-SUM('R &amp; E data-2020'!P75:P76)+('R &amp; E data-2020'!O141-'R &amp; E data-2020'!P141)+('R &amp; E data-2020'!O156-'R &amp; E data-2020'!P156)+SUM('R &amp; E data-2020'!O199:O205)-SUM('R &amp; E data-2020'!P199:P205),2)</f>
        <v>0</v>
      </c>
      <c r="F74" s="749"/>
      <c r="G74" s="705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98">
        <f>+ROUND(+SUM('R &amp; E data-2020'!R75:R76)-SUM('R &amp; E data-2020'!S75:S76)+('R &amp; E data-2020'!R141-'R &amp; E data-2020'!S141)+('R &amp; E data-2020'!R156-'R &amp; E data-2020'!S156)+SUM('R &amp; E data-2020'!R199:R205)-SUM('R &amp; E data-2020'!S199:S205),2)</f>
        <v>0</v>
      </c>
      <c r="I74" s="749"/>
      <c r="J74" s="705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98">
        <f>+ROUND(+SUM('R &amp; E data-2020'!U75:U76)-SUM('R &amp; E data-2020'!V75:V76)+('R &amp; E data-2020'!U141-'R &amp; E data-2020'!V141)+('R &amp; E data-2020'!U156-'R &amp; E data-2020'!V156)+SUM('R &amp; E data-2020'!U199:U205)-SUM('R &amp; E data-2020'!V199:V205),2)</f>
        <v>0</v>
      </c>
      <c r="L74" s="749"/>
      <c r="M74" s="705">
        <f>+ROUND(+D74+G74+J74,2)+ROUND(P74,2)</f>
        <v>0</v>
      </c>
      <c r="N74" s="698">
        <f>+ROUND(+E74+H74+K74,2)+ROUND(Q74,2)</f>
        <v>0</v>
      </c>
      <c r="O74" s="152"/>
      <c r="P74" s="1935">
        <f>+IF(+AND(Status!K4="ДА",+ROUND('Municipal-Bal'!K20,0)=1,+ROUND('Municipal-Bal'!V80,2)=+ROUND('Municipal-Bal'!V91,2)),+ROUND(+SUM('Municipal-Bal'!U88:U89),2),0)</f>
        <v>0</v>
      </c>
      <c r="Q74" s="1936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749"/>
      <c r="D75" s="1890">
        <f>+ROUND(+SUM('TRIAL-BALANCE'!S566:S572)-SUM('TRIAL-BALANCE'!T566:T572),2)</f>
        <v>0</v>
      </c>
      <c r="E75" s="1891">
        <f>+ROUND(+SUM('R &amp; E data-2020'!O199:O205)-SUM('R &amp; E data-2020'!P199:P205),2)</f>
        <v>0</v>
      </c>
      <c r="F75" s="749"/>
      <c r="G75" s="1890">
        <f>+ROUND(+SUM('TRIAL-BALANCE'!Z566:Z572)-SUM('TRIAL-BALANCE'!AA566:AA572),2)</f>
        <v>0</v>
      </c>
      <c r="H75" s="1891">
        <f>+ROUND(+SUM('R &amp; E data-2020'!R199:R205)-SUM('R &amp; E data-2020'!S199:S205),2)</f>
        <v>0</v>
      </c>
      <c r="I75" s="749"/>
      <c r="J75" s="1890">
        <f>+ROUND(+SUM('TRIAL-BALANCE'!AG566:AG572)-SUM('TRIAL-BALANCE'!AH566:AH572),2)</f>
        <v>0</v>
      </c>
      <c r="K75" s="1891">
        <f>+ROUND(+SUM('R &amp; E data-2020'!U199:U205)-SUM('R &amp; E data-2020'!V199:V205),2)</f>
        <v>0</v>
      </c>
      <c r="L75" s="749"/>
      <c r="M75" s="1890">
        <f>+ROUND(+D75+G75+J75,2)</f>
        <v>0</v>
      </c>
      <c r="N75" s="1891">
        <f>+ROUND(+E75+H75+K75,2)</f>
        <v>0</v>
      </c>
      <c r="O75" s="152"/>
      <c r="P75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4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49"/>
      <c r="D76" s="703"/>
      <c r="E76" s="696"/>
      <c r="F76" s="749"/>
      <c r="G76" s="703"/>
      <c r="H76" s="696"/>
      <c r="I76" s="749"/>
      <c r="J76" s="703"/>
      <c r="K76" s="696"/>
      <c r="L76" s="749"/>
      <c r="M76" s="703"/>
      <c r="N76" s="696"/>
      <c r="O76" s="152"/>
      <c r="P76" s="2598">
        <f>+IF(P75="O K",0,"N o ")</f>
        <v>0</v>
      </c>
      <c r="Q76" s="2598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749"/>
      <c r="D77" s="718">
        <f>+ROUND(+D53+D58+D62+D66+D70+D72+D74,2)</f>
        <v>9412237.3900000006</v>
      </c>
      <c r="E77" s="719">
        <f>+ROUND(+E53+E58+E62+E66+E70+E72+E74,2)</f>
        <v>11059477.210000001</v>
      </c>
      <c r="F77" s="749"/>
      <c r="G77" s="718">
        <f>+ROUND(+G53+G58+G62+G66+G70+G72+G74,2)</f>
        <v>2095397.99</v>
      </c>
      <c r="H77" s="719">
        <f>+ROUND(+H53+H58+H62+H66+H70+H72+H74,2)</f>
        <v>7795121.0099999998</v>
      </c>
      <c r="I77" s="749"/>
      <c r="J77" s="718">
        <f>+ROUND(+J53+J58+J62+J66+J70+J72+J74,2)</f>
        <v>742172.85</v>
      </c>
      <c r="K77" s="719">
        <f>+ROUND(+K53+K58+K62+K66+K70+K72+K74,2)</f>
        <v>-4873351.6100000003</v>
      </c>
      <c r="L77" s="749"/>
      <c r="M77" s="718">
        <f>+ROUND(+M53+M58+M62+M66+M70+M72+M74,2)</f>
        <v>12249808.23</v>
      </c>
      <c r="N77" s="719">
        <f>+ROUND(+N53+N58+N62+N66+N70+N72+N74,2)</f>
        <v>13981246.609999999</v>
      </c>
      <c r="O77" s="152"/>
      <c r="P77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597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1147</v>
      </c>
      <c r="B78" s="171"/>
      <c r="C78" s="753"/>
      <c r="D78" s="709"/>
      <c r="E78" s="707"/>
      <c r="F78" s="753"/>
      <c r="G78" s="709"/>
      <c r="H78" s="707"/>
      <c r="I78" s="753"/>
      <c r="J78" s="709"/>
      <c r="K78" s="707"/>
      <c r="L78" s="753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1115</v>
      </c>
      <c r="B79" s="335">
        <v>681</v>
      </c>
      <c r="C79" s="749"/>
      <c r="D79" s="700">
        <f>+ROUND(+SUM('TRIAL-BALANCE'!T739:T758)-SUM('TRIAL-BALANCE'!S739:S758),2)</f>
        <v>7634051.6600000001</v>
      </c>
      <c r="E79" s="694">
        <f>+ROUND(+SUM('R &amp; E data-2020'!P372:P391)-SUM('R &amp; E data-2020'!O372:O391),2)</f>
        <v>9809736.3800000008</v>
      </c>
      <c r="F79" s="749"/>
      <c r="G79" s="700">
        <f>+ROUND(+SUM('TRIAL-BALANCE'!AA739:AA758)-SUM('TRIAL-BALANCE'!Z739:Z758),2)</f>
        <v>5460965.6900000004</v>
      </c>
      <c r="H79" s="694">
        <f>+ROUND(+SUM('R &amp; E data-2020'!S372:S391)-SUM('R &amp; E data-2020'!R372:R391),2)</f>
        <v>1961952.75</v>
      </c>
      <c r="I79" s="749"/>
      <c r="J79" s="700">
        <f>+ROUND(+SUM('TRIAL-BALANCE'!AH739:AH758)-SUM('TRIAL-BALANCE'!AG739:AG758),2)</f>
        <v>0</v>
      </c>
      <c r="K79" s="694">
        <f>+ROUND(+SUM('R &amp; E data-2020'!V372:V391)-SUM('R &amp; E data-2020'!U372:U391),2)</f>
        <v>0</v>
      </c>
      <c r="L79" s="749"/>
      <c r="M79" s="700">
        <f>+ROUND(+D79+G79+J79,2)</f>
        <v>13095017.35</v>
      </c>
      <c r="N79" s="694">
        <f>+ROUND(+E79+H79+K79,2)</f>
        <v>11771689.130000001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1116</v>
      </c>
      <c r="B80" s="335">
        <v>682</v>
      </c>
      <c r="C80" s="749"/>
      <c r="D80" s="700">
        <f>+ROUND(+SUM('TRIAL-BALANCE'!T788:T790)-SUM('TRIAL-BALANCE'!S788:S790),2)</f>
        <v>0</v>
      </c>
      <c r="E80" s="694">
        <f>+ROUND(+SUM('R &amp; E data-2020'!P421:P423)-SUM('R &amp; E data-2020'!O421:O423),2)</f>
        <v>-14380.86</v>
      </c>
      <c r="F80" s="749"/>
      <c r="G80" s="700">
        <f>+ROUND(+SUM('TRIAL-BALANCE'!AA788:AA790)-SUM('TRIAL-BALANCE'!Z788:Z790),2)</f>
        <v>0</v>
      </c>
      <c r="H80" s="694">
        <f>+ROUND(+SUM('R &amp; E data-2020'!S421:S423)-SUM('R &amp; E data-2020'!R421:R423),2)</f>
        <v>0</v>
      </c>
      <c r="I80" s="749"/>
      <c r="J80" s="700">
        <f>+ROUND(+SUM('TRIAL-BALANCE'!AH788:AH790)-SUM('TRIAL-BALANCE'!AG788:AG790),2)</f>
        <v>0</v>
      </c>
      <c r="K80" s="694">
        <f>+ROUND(+SUM('R &amp; E data-2020'!V421:V423)-SUM('R &amp; E data-2020'!U421:U423),2)</f>
        <v>0</v>
      </c>
      <c r="L80" s="749"/>
      <c r="M80" s="700">
        <f>+ROUND(+D80+G80+J80,2)</f>
        <v>0</v>
      </c>
      <c r="N80" s="694">
        <f>+ROUND(+E80+H80+K80,2)</f>
        <v>-14380.86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749"/>
      <c r="D81" s="715">
        <f>+ROUND(+SUM(D79:D80),2)</f>
        <v>7634051.6600000001</v>
      </c>
      <c r="E81" s="716">
        <f>+ROUND(+SUM(E79:E80),2)</f>
        <v>9795355.5199999996</v>
      </c>
      <c r="F81" s="749"/>
      <c r="G81" s="715">
        <f>+ROUND(+SUM(G79:G80),2)</f>
        <v>5460965.6900000004</v>
      </c>
      <c r="H81" s="716">
        <f>+ROUND(+SUM(H79:H80),2)</f>
        <v>1961952.75</v>
      </c>
      <c r="I81" s="749"/>
      <c r="J81" s="715">
        <f>+ROUND(+SUM(J79:J80),2)</f>
        <v>0</v>
      </c>
      <c r="K81" s="716">
        <f>+ROUND(+SUM(K79:K80),2)</f>
        <v>0</v>
      </c>
      <c r="L81" s="749"/>
      <c r="M81" s="715">
        <f>+ROUND(+SUM(M79:M80),2)</f>
        <v>13095017.35</v>
      </c>
      <c r="N81" s="716">
        <f>+ROUND(+SUM(N79:N80),2)</f>
        <v>11757308.27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753"/>
      <c r="D82" s="709"/>
      <c r="E82" s="707"/>
      <c r="F82" s="753"/>
      <c r="G82" s="709"/>
      <c r="H82" s="707"/>
      <c r="I82" s="753"/>
      <c r="J82" s="709"/>
      <c r="K82" s="707"/>
      <c r="L82" s="753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749"/>
      <c r="D83" s="700">
        <f>+ROUND(+'TRIAL-BALANCE'!T477+'TRIAL-BALANCE'!T639+SUM('TRIAL-BALANCE'!T693:T703)-'TRIAL-BALANCE'!S477-'TRIAL-BALANCE'!S639-SUM('TRIAL-BALANCE'!S693:S703),2)</f>
        <v>0</v>
      </c>
      <c r="E83" s="694">
        <f>+ROUND(+'R &amp; E data-2020'!P110+'R &amp; E data-2020'!P272+SUM('R &amp; E data-2020'!P326:P336)-'R &amp; E data-2020'!O110-'R &amp; E data-2020'!O272-SUM('R &amp; E data-2020'!O326:O336),2)</f>
        <v>0</v>
      </c>
      <c r="F83" s="749"/>
      <c r="G83" s="700">
        <f>+ROUND(+'TRIAL-BALANCE'!AA477+'TRIAL-BALANCE'!AA639+SUM('TRIAL-BALANCE'!AA693:AA703)-'TRIAL-BALANCE'!Z477-'TRIAL-BALANCE'!Z639-SUM('TRIAL-BALANCE'!Z693:Z703),2)</f>
        <v>0</v>
      </c>
      <c r="H83" s="694">
        <f>+ROUND(+'R &amp; E data-2020'!S110+'R &amp; E data-2020'!S272+SUM('R &amp; E data-2020'!S326:S336)-'R &amp; E data-2020'!R110-'R &amp; E data-2020'!R272-SUM('R &amp; E data-2020'!R326:R336),2)</f>
        <v>0</v>
      </c>
      <c r="I83" s="749"/>
      <c r="J83" s="700">
        <f>+ROUND(+'TRIAL-BALANCE'!AH477+'TRIAL-BALANCE'!AH639+SUM('TRIAL-BALANCE'!AH693:AH703)-'TRIAL-BALANCE'!AG477-'TRIAL-BALANCE'!AG639-SUM('TRIAL-BALANCE'!AG693:AG703),2)</f>
        <v>0</v>
      </c>
      <c r="K83" s="694">
        <f>+ROUND(+'R &amp; E data-2020'!V110+'R &amp; E data-2020'!V272+SUM('R &amp; E data-2020'!V326:V336)-'R &amp; E data-2020'!U110-'R &amp; E data-2020'!U272-SUM('R &amp; E data-2020'!U326:U336),2)</f>
        <v>0</v>
      </c>
      <c r="L83" s="749"/>
      <c r="M83" s="700">
        <f>+ROUND(+D83+G83+J83,2)</f>
        <v>0</v>
      </c>
      <c r="N83" s="694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749"/>
      <c r="D84" s="700">
        <f>+ROUND(+SUM('TRIAL-BALANCE'!T704:T705)-SUM('TRIAL-BALANCE'!S704:S705),2)</f>
        <v>-8.5399999999999991</v>
      </c>
      <c r="E84" s="694">
        <f>+ROUND(+SUM('R &amp; E data-2020'!P337:P338)-SUM('R &amp; E data-2020'!O337:O338),2)</f>
        <v>0</v>
      </c>
      <c r="F84" s="749"/>
      <c r="G84" s="700">
        <f>+ROUND(+SUM('TRIAL-BALANCE'!AA704:AA705)-SUM('TRIAL-BALANCE'!Z704:Z705),2)</f>
        <v>0</v>
      </c>
      <c r="H84" s="694">
        <f>+ROUND(+SUM('R &amp; E data-2020'!S337:S338)-SUM('R &amp; E data-2020'!R337:R338),2)</f>
        <v>0</v>
      </c>
      <c r="I84" s="749"/>
      <c r="J84" s="700">
        <f>+ROUND(+SUM('TRIAL-BALANCE'!AH704:AH705)-SUM('TRIAL-BALANCE'!AG704:AG705),2)</f>
        <v>0</v>
      </c>
      <c r="K84" s="694">
        <f>+ROUND(+SUM('R &amp; E data-2020'!V337:V338)-SUM('R &amp; E data-2020'!U337:U338),2)</f>
        <v>0</v>
      </c>
      <c r="L84" s="749"/>
      <c r="M84" s="700">
        <f>+ROUND(+D84+G84+J84,2)</f>
        <v>-8.5399999999999991</v>
      </c>
      <c r="N84" s="694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749"/>
      <c r="D85" s="732">
        <f>+ROUND(+SUM(D83:D84),2)</f>
        <v>-8.5399999999999991</v>
      </c>
      <c r="E85" s="733">
        <f>+ROUND(+SUM(E83:E84),2)</f>
        <v>0</v>
      </c>
      <c r="F85" s="749"/>
      <c r="G85" s="732">
        <f>+ROUND(+SUM(G83:G84),2)</f>
        <v>0</v>
      </c>
      <c r="H85" s="733">
        <f>+ROUND(+SUM(H83:H84),2)</f>
        <v>0</v>
      </c>
      <c r="I85" s="749"/>
      <c r="J85" s="732">
        <f>+ROUND(+SUM(J83:J84),2)</f>
        <v>0</v>
      </c>
      <c r="K85" s="733">
        <f>+ROUND(+SUM(K83:K84),2)</f>
        <v>0</v>
      </c>
      <c r="L85" s="749"/>
      <c r="M85" s="732">
        <f>+ROUND(+SUM(M83:M84),2)</f>
        <v>-8.5399999999999991</v>
      </c>
      <c r="N85" s="733">
        <f>+ROUND(+SUM(N83:N84),2)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753"/>
      <c r="D86" s="709"/>
      <c r="E86" s="707"/>
      <c r="F86" s="753"/>
      <c r="G86" s="709"/>
      <c r="H86" s="707"/>
      <c r="I86" s="753"/>
      <c r="J86" s="709"/>
      <c r="K86" s="707"/>
      <c r="L86" s="753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749"/>
      <c r="D87" s="710"/>
      <c r="E87" s="708"/>
      <c r="F87" s="749"/>
      <c r="G87" s="710"/>
      <c r="H87" s="708"/>
      <c r="I87" s="749"/>
      <c r="J87" s="710"/>
      <c r="K87" s="708"/>
      <c r="L87" s="749"/>
      <c r="M87" s="710"/>
      <c r="N87" s="708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1289</v>
      </c>
      <c r="B88" s="335">
        <v>771</v>
      </c>
      <c r="C88" s="749"/>
      <c r="D88" s="700">
        <f>+ROUND(+SUM('TRIAL-BALANCE'!T759:T762)+SUM('TRIAL-BALANCE'!T764:T781)-SUM('TRIAL-BALANCE'!S759:S762)-SUM('TRIAL-BALANCE'!S764:S781),2)+ROUND('TRIAL-BALANCE'!T763-'TRIAL-BALANCE'!S763,2)</f>
        <v>128035.71</v>
      </c>
      <c r="E88" s="694">
        <f>+ROUND(+SUM('R &amp; E data-2020'!P392:P395)+SUM('R &amp; E data-2020'!P397:P414)-SUM('R &amp; E data-2020'!O392:O395)-SUM('R &amp; E data-2020'!O397:O414),2)+ROUND('R &amp; E data-2020'!P396-'R &amp; E data-2020'!O396,2)</f>
        <v>226567.23</v>
      </c>
      <c r="F88" s="749"/>
      <c r="G88" s="700">
        <f>+ROUND(+SUM('TRIAL-BALANCE'!AA759:AA762)+SUM('TRIAL-BALANCE'!AA764:AA781)-SUM('TRIAL-BALANCE'!Z759:Z762)-SUM('TRIAL-BALANCE'!Z764:Z781),2)+ROUND('TRIAL-BALANCE'!AA763-'TRIAL-BALANCE'!Z763,2)</f>
        <v>-30716.01</v>
      </c>
      <c r="H88" s="694">
        <f>+ROUND(+SUM('R &amp; E data-2020'!S392:S395)+SUM('R &amp; E data-2020'!S397:S414)-SUM('R &amp; E data-2020'!R392:R395)-SUM('R &amp; E data-2020'!R397:R414),2)+ROUND('R &amp; E data-2020'!S396-'R &amp; E data-2020'!R396,2)</f>
        <v>-47878.83</v>
      </c>
      <c r="I88" s="749"/>
      <c r="J88" s="700">
        <f>+ROUND(+SUM('TRIAL-BALANCE'!AH759:AH762)+SUM('TRIAL-BALANCE'!AH764:AH781)-SUM('TRIAL-BALANCE'!AG759:AG762)-SUM('TRIAL-BALANCE'!AG764:AG781),2)</f>
        <v>0</v>
      </c>
      <c r="K88" s="694">
        <f>+ROUND(+SUM('R &amp; E data-2020'!V392:V395)+SUM('R &amp; E data-2020'!V397:V414)-SUM('R &amp; E data-2020'!U392:U395)-SUM('R &amp; E data-2020'!U397:U414),2)</f>
        <v>-155914.79999999999</v>
      </c>
      <c r="L88" s="749"/>
      <c r="M88" s="700">
        <f>+ROUND(+D88+G88+J88,2)</f>
        <v>97319.7</v>
      </c>
      <c r="N88" s="694">
        <f>+ROUND(+E88+H88+K88,2)</f>
        <v>22773.599999999999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749"/>
      <c r="D89" s="700">
        <f>+ROUND(+SUM('TRIAL-BALANCE'!T782:T787)+SUM('TRIAL-BALANCE'!T792:T798)-SUM('TRIAL-BALANCE'!S782:S787)-SUM('TRIAL-BALANCE'!S792:S798),2)</f>
        <v>0</v>
      </c>
      <c r="E89" s="694">
        <f>+ROUND(+SUM('R &amp; E data-2020'!P415:P420)+SUM('R &amp; E data-2020'!P425:P431)-SUM('R &amp; E data-2020'!O415:O420)-SUM('R &amp; E data-2020'!O425:O431),2)</f>
        <v>0</v>
      </c>
      <c r="F89" s="749"/>
      <c r="G89" s="700">
        <f>+ROUND(+SUM('TRIAL-BALANCE'!AA782:AA787)+SUM('TRIAL-BALANCE'!AA792:AA798)-SUM('TRIAL-BALANCE'!Z782:Z787)-SUM('TRIAL-BALANCE'!Z792:Z798),2)</f>
        <v>0</v>
      </c>
      <c r="H89" s="694">
        <f>+ROUND(+SUM('R &amp; E data-2020'!S415:S420)+SUM('R &amp; E data-2020'!S425:S431)-SUM('R &amp; E data-2020'!R415:R420)-SUM('R &amp; E data-2020'!R425:R431),2)</f>
        <v>0</v>
      </c>
      <c r="I89" s="749"/>
      <c r="J89" s="700">
        <f>+ROUND(+SUM('TRIAL-BALANCE'!AH782:AH787)+SUM('TRIAL-BALANCE'!AH792:AH798)-SUM('TRIAL-BALANCE'!AG782:AG787)-SUM('TRIAL-BALANCE'!AG792:AG798),2)</f>
        <v>0</v>
      </c>
      <c r="K89" s="694">
        <f>+ROUND(+SUM('R &amp; E data-2020'!V415:V420)+SUM('R &amp; E data-2020'!V425:V431)-SUM('R &amp; E data-2020'!U415:U420)-SUM('R &amp; E data-2020'!U425:U431),2)</f>
        <v>0</v>
      </c>
      <c r="L89" s="749"/>
      <c r="M89" s="700">
        <f>+ROUND(+D89+G89+J89,2)</f>
        <v>0</v>
      </c>
      <c r="N89" s="694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749"/>
      <c r="D90" s="736">
        <f>+ROUND(+SUM(D88:D89),2)</f>
        <v>128035.71</v>
      </c>
      <c r="E90" s="737">
        <f>+ROUND(+SUM(E88:E89),2)</f>
        <v>226567.23</v>
      </c>
      <c r="F90" s="749"/>
      <c r="G90" s="736">
        <f>+ROUND(+SUM(G88:G89),2)</f>
        <v>-30716.01</v>
      </c>
      <c r="H90" s="737">
        <f>+ROUND(+SUM(H88:H89),2)</f>
        <v>-47878.83</v>
      </c>
      <c r="I90" s="749"/>
      <c r="J90" s="736">
        <f>+ROUND(+SUM(J88:J89),2)</f>
        <v>0</v>
      </c>
      <c r="K90" s="737">
        <f>+ROUND(+SUM(K88:K89),2)</f>
        <v>-155914.79999999999</v>
      </c>
      <c r="L90" s="749"/>
      <c r="M90" s="736">
        <f>+ROUND(+SUM(M88:M89),2)</f>
        <v>97319.7</v>
      </c>
      <c r="N90" s="737">
        <f>+ROUND(+SUM(N88:N89),2)</f>
        <v>22773.599999999999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749"/>
      <c r="D91" s="710"/>
      <c r="E91" s="708"/>
      <c r="F91" s="749"/>
      <c r="G91" s="710"/>
      <c r="H91" s="708"/>
      <c r="I91" s="749"/>
      <c r="J91" s="710"/>
      <c r="K91" s="708"/>
      <c r="L91" s="749"/>
      <c r="M91" s="710"/>
      <c r="N91" s="708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749"/>
      <c r="D92" s="700">
        <f>+ROUND(+SUM('TRIAL-BALANCE'!T799:T800)-SUM('TRIAL-BALANCE'!S799:S800),2)</f>
        <v>0</v>
      </c>
      <c r="E92" s="694">
        <f>+ROUND(+SUM('R &amp; E data-2020'!P432:P433)-SUM('R &amp; E data-2020'!O432:O433),2)</f>
        <v>-21610.94</v>
      </c>
      <c r="F92" s="749"/>
      <c r="G92" s="700">
        <f>+ROUND(+SUM('TRIAL-BALANCE'!AA799:AA800)-SUM('TRIAL-BALANCE'!Z799:Z800),2)</f>
        <v>0</v>
      </c>
      <c r="H92" s="694">
        <f>+ROUND(+SUM('R &amp; E data-2020'!S432:S433)-SUM('R &amp; E data-2020'!R432:R433),2)</f>
        <v>0</v>
      </c>
      <c r="I92" s="749"/>
      <c r="J92" s="700">
        <f>+ROUND(+SUM('TRIAL-BALANCE'!AH799:AH800)-SUM('TRIAL-BALANCE'!AG799:AG800),2)</f>
        <v>0</v>
      </c>
      <c r="K92" s="694">
        <f>+ROUND(+SUM('R &amp; E data-2020'!V432:V433)-SUM('R &amp; E data-2020'!U432:U433),2)</f>
        <v>0</v>
      </c>
      <c r="L92" s="749"/>
      <c r="M92" s="700">
        <f t="shared" ref="M92:N94" si="9">+ROUND(+D92+G92+J92,2)</f>
        <v>0</v>
      </c>
      <c r="N92" s="694">
        <f t="shared" si="9"/>
        <v>-21610.94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749"/>
      <c r="D93" s="700">
        <f>+ROUND(+SUM('TRIAL-BALANCE'!T801:T802)-SUM('TRIAL-BALANCE'!S801:S802),2)</f>
        <v>0</v>
      </c>
      <c r="E93" s="694">
        <f>+ROUND(+SUM('R &amp; E data-2020'!P434:P435)-SUM('R &amp; E data-2020'!O434:O435),2)</f>
        <v>0</v>
      </c>
      <c r="F93" s="749"/>
      <c r="G93" s="700">
        <f>+ROUND(+SUM('TRIAL-BALANCE'!AA801:AA802)-SUM('TRIAL-BALANCE'!Z801:Z802),2)</f>
        <v>0</v>
      </c>
      <c r="H93" s="694">
        <f>+ROUND(+SUM('R &amp; E data-2020'!S434:S435)-SUM('R &amp; E data-2020'!R434:R435),2)</f>
        <v>0</v>
      </c>
      <c r="I93" s="749"/>
      <c r="J93" s="700">
        <f>+ROUND(+SUM('TRIAL-BALANCE'!AH801:AH802)-SUM('TRIAL-BALANCE'!AG801:AG802),2)</f>
        <v>0</v>
      </c>
      <c r="K93" s="694">
        <f>+ROUND(+SUM('R &amp; E data-2020'!V434:V435)-SUM('R &amp; E data-2020'!U434:U435),2)</f>
        <v>0</v>
      </c>
      <c r="L93" s="749"/>
      <c r="M93" s="700">
        <f t="shared" si="9"/>
        <v>0</v>
      </c>
      <c r="N93" s="694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749"/>
      <c r="D94" s="700">
        <f>+ROUND(+SUM('TRIAL-BALANCE'!T803:T804)-SUM('TRIAL-BALANCE'!S803:S804),2)</f>
        <v>0</v>
      </c>
      <c r="E94" s="694">
        <f>+ROUND(+SUM('R &amp; E data-2020'!P436:P437)-SUM('R &amp; E data-2020'!O436:O437),2)</f>
        <v>0</v>
      </c>
      <c r="F94" s="749"/>
      <c r="G94" s="700">
        <f>+ROUND(+SUM('TRIAL-BALANCE'!AA803:AA804)-SUM('TRIAL-BALANCE'!Z803:Z804),2)</f>
        <v>0</v>
      </c>
      <c r="H94" s="694">
        <f>+ROUND(+SUM('R &amp; E data-2020'!S436:S437)-SUM('R &amp; E data-2020'!R436:R437),2)</f>
        <v>0</v>
      </c>
      <c r="I94" s="749"/>
      <c r="J94" s="700">
        <f>+ROUND(+SUM('TRIAL-BALANCE'!AH803:AH804)-SUM('TRIAL-BALANCE'!AG803:AG804),2)</f>
        <v>0</v>
      </c>
      <c r="K94" s="694">
        <f>+ROUND(+SUM('R &amp; E data-2020'!V436:V437)-SUM('R &amp; E data-2020'!U436:U437),2)</f>
        <v>0</v>
      </c>
      <c r="L94" s="749"/>
      <c r="M94" s="700">
        <f t="shared" si="9"/>
        <v>0</v>
      </c>
      <c r="N94" s="694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749"/>
      <c r="D95" s="736">
        <f>+ROUND(+SUM(D92:D94),2)</f>
        <v>0</v>
      </c>
      <c r="E95" s="737">
        <f>+ROUND(+SUM(E92:E94),2)</f>
        <v>-21610.94</v>
      </c>
      <c r="F95" s="749"/>
      <c r="G95" s="736">
        <f>+ROUND(+SUM(G92:G94),2)</f>
        <v>0</v>
      </c>
      <c r="H95" s="737">
        <f>+ROUND(+SUM(H92:H94),2)</f>
        <v>0</v>
      </c>
      <c r="I95" s="749"/>
      <c r="J95" s="736">
        <f>+ROUND(+SUM(J92:J94),2)</f>
        <v>0</v>
      </c>
      <c r="K95" s="737">
        <f>+ROUND(+SUM(K92:K94),2)</f>
        <v>0</v>
      </c>
      <c r="L95" s="749"/>
      <c r="M95" s="736">
        <f>+ROUND(+SUM(M92:M94),2)</f>
        <v>0</v>
      </c>
      <c r="N95" s="737">
        <f>+ROUND(+SUM(N92:N94),2)</f>
        <v>-21610.94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749"/>
      <c r="D96" s="703"/>
      <c r="E96" s="696"/>
      <c r="F96" s="749"/>
      <c r="G96" s="703"/>
      <c r="H96" s="696"/>
      <c r="I96" s="749"/>
      <c r="J96" s="703"/>
      <c r="K96" s="696"/>
      <c r="L96" s="749"/>
      <c r="M96" s="703"/>
      <c r="N96" s="696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749"/>
      <c r="D97" s="700">
        <f>+ROUND(+SUM('TRIAL-BALANCE'!T817:T821)-SUM('TRIAL-BALANCE'!S817:S821),2)</f>
        <v>0</v>
      </c>
      <c r="E97" s="694">
        <f>+ROUND(+SUM('R &amp; E data-2020'!P450:P454)-SUM('R &amp; E data-2020'!O450:O454),2)</f>
        <v>0</v>
      </c>
      <c r="F97" s="749"/>
      <c r="G97" s="700">
        <f>+ROUND(+SUM('TRIAL-BALANCE'!AA817:AA821)-SUM('TRIAL-BALANCE'!Z817:Z821),2)</f>
        <v>0</v>
      </c>
      <c r="H97" s="694">
        <f>+ROUND(+SUM('R &amp; E data-2020'!S450:S454)-SUM('R &amp; E data-2020'!R450:R454),2)</f>
        <v>0</v>
      </c>
      <c r="I97" s="749"/>
      <c r="J97" s="700">
        <f>+ROUND(+SUM('TRIAL-BALANCE'!AH817:AH821)-SUM('TRIAL-BALANCE'!AG817:AG821),2)</f>
        <v>0</v>
      </c>
      <c r="K97" s="694">
        <f>+ROUND(+SUM('R &amp; E data-2020'!V450:V454)-SUM('R &amp; E data-2020'!U450:U454),2)</f>
        <v>0</v>
      </c>
      <c r="L97" s="749"/>
      <c r="M97" s="700">
        <f t="shared" ref="M97:N101" si="10">+ROUND(+D97+G97+J97,2)</f>
        <v>0</v>
      </c>
      <c r="N97" s="694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749"/>
      <c r="D98" s="700">
        <f>+ROUND(+SUM('TRIAL-BALANCE'!T805:T816)-SUM('TRIAL-BALANCE'!S805:S816),2)</f>
        <v>0</v>
      </c>
      <c r="E98" s="694">
        <f>+ROUND(+SUM('R &amp; E data-2020'!P438:P449)-SUM('R &amp; E data-2020'!O438:O449),2)</f>
        <v>0</v>
      </c>
      <c r="F98" s="749"/>
      <c r="G98" s="700">
        <f>+ROUND(+SUM('TRIAL-BALANCE'!AA805:AA816)-SUM('TRIAL-BALANCE'!Z805:Z816),2)</f>
        <v>0</v>
      </c>
      <c r="H98" s="694">
        <f>+ROUND(+SUM('R &amp; E data-2020'!S438:S449)-SUM('R &amp; E data-2020'!R438:R449),2)</f>
        <v>0</v>
      </c>
      <c r="I98" s="749"/>
      <c r="J98" s="700">
        <f>+ROUND(+SUM('TRIAL-BALANCE'!AH805:AH816)-SUM('TRIAL-BALANCE'!AG805:AG816),2)</f>
        <v>0</v>
      </c>
      <c r="K98" s="694">
        <f>+ROUND(+SUM('R &amp; E data-2020'!V438:V449)-SUM('R &amp; E data-2020'!U438:U449),2)</f>
        <v>0</v>
      </c>
      <c r="L98" s="749"/>
      <c r="M98" s="700">
        <f t="shared" si="10"/>
        <v>0</v>
      </c>
      <c r="N98" s="694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749"/>
      <c r="D99" s="700">
        <f>+ROUND(+SUM('TRIAL-BALANCE'!T822:T823)-SUM('TRIAL-BALANCE'!S822:S823),2)</f>
        <v>563</v>
      </c>
      <c r="E99" s="694">
        <f>+ROUND(+SUM('R &amp; E data-2020'!P455:P456)-SUM('R &amp; E data-2020'!O455:O456),2)</f>
        <v>6037.29</v>
      </c>
      <c r="F99" s="749"/>
      <c r="G99" s="700">
        <f>+ROUND(+SUM('TRIAL-BALANCE'!AA822:AA823)-SUM('TRIAL-BALANCE'!Z822:Z823),2)</f>
        <v>0</v>
      </c>
      <c r="H99" s="694">
        <f>+ROUND(+SUM('R &amp; E data-2020'!S455:S456)-SUM('R &amp; E data-2020'!R455:R456),2)</f>
        <v>0</v>
      </c>
      <c r="I99" s="749"/>
      <c r="J99" s="700">
        <f>+ROUND(+SUM('TRIAL-BALANCE'!AH822:AH823)-SUM('TRIAL-BALANCE'!AG822:AG823),2)</f>
        <v>7734</v>
      </c>
      <c r="K99" s="694">
        <f>+ROUND(+SUM('R &amp; E data-2020'!V455:V456)-SUM('R &amp; E data-2020'!U455:U456),2)</f>
        <v>100622.9</v>
      </c>
      <c r="L99" s="749"/>
      <c r="M99" s="700">
        <f t="shared" si="10"/>
        <v>8297</v>
      </c>
      <c r="N99" s="694">
        <f t="shared" si="10"/>
        <v>106660.19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749"/>
      <c r="D100" s="700">
        <f>+ROUND(+SUM('TRIAL-BALANCE'!T824:T826)-SUM('TRIAL-BALANCE'!S824:S826),2)</f>
        <v>0</v>
      </c>
      <c r="E100" s="694">
        <f>+ROUND(+SUM('R &amp; E data-2020'!P457:P459)-SUM('R &amp; E data-2020'!O457:O459),2)</f>
        <v>126284.44</v>
      </c>
      <c r="F100" s="749"/>
      <c r="G100" s="700">
        <f>+ROUND(+SUM('TRIAL-BALANCE'!AA824:AA826)-SUM('TRIAL-BALANCE'!Z824:Z826),2)</f>
        <v>0</v>
      </c>
      <c r="H100" s="694">
        <f>+ROUND(+SUM('R &amp; E data-2020'!S457:S459)-SUM('R &amp; E data-2020'!R457:R459),2)</f>
        <v>0</v>
      </c>
      <c r="I100" s="749"/>
      <c r="J100" s="700">
        <f>+ROUND(+SUM('TRIAL-BALANCE'!AH824:AH826)-SUM('TRIAL-BALANCE'!AG824:AG826),2)</f>
        <v>0</v>
      </c>
      <c r="K100" s="694">
        <f>+ROUND(+SUM('R &amp; E data-2020'!V457:V459)-SUM('R &amp; E data-2020'!U457:U459),2)</f>
        <v>0</v>
      </c>
      <c r="L100" s="749"/>
      <c r="M100" s="700">
        <f t="shared" si="10"/>
        <v>0</v>
      </c>
      <c r="N100" s="694">
        <f t="shared" si="10"/>
        <v>126284.44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749"/>
      <c r="D101" s="701">
        <f>+ROUND(+SUM('TRIAL-BALANCE'!T827:T828)-SUM('TRIAL-BALANCE'!S827:S828),2)</f>
        <v>0</v>
      </c>
      <c r="E101" s="695">
        <f>+ROUND(+SUM('R &amp; E data-2020'!P460:P461)-SUM('R &amp; E data-2020'!O460:O461),2)</f>
        <v>0</v>
      </c>
      <c r="F101" s="749"/>
      <c r="G101" s="701">
        <f>+ROUND(+SUM('TRIAL-BALANCE'!AA827:AA828)-SUM('TRIAL-BALANCE'!Z827:Z828),2)</f>
        <v>0</v>
      </c>
      <c r="H101" s="695">
        <f>+ROUND(+SUM('R &amp; E data-2020'!S460:S461)-SUM('R &amp; E data-2020'!R460:R461),2)</f>
        <v>0</v>
      </c>
      <c r="I101" s="749"/>
      <c r="J101" s="701">
        <f>+ROUND(+SUM('TRIAL-BALANCE'!AH827:AH828)-SUM('TRIAL-BALANCE'!AG827:AG828),2)</f>
        <v>0</v>
      </c>
      <c r="K101" s="695">
        <f>+ROUND(+SUM('R &amp; E data-2020'!V460:V461)-SUM('R &amp; E data-2020'!U460:U461),2)</f>
        <v>44232.19</v>
      </c>
      <c r="L101" s="749"/>
      <c r="M101" s="701">
        <f t="shared" si="10"/>
        <v>0</v>
      </c>
      <c r="N101" s="695">
        <f t="shared" si="10"/>
        <v>44232.19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749"/>
      <c r="D102" s="736">
        <f>+ROUND(+SUM(D97:D101),2)</f>
        <v>563</v>
      </c>
      <c r="E102" s="737">
        <f>+ROUND(+SUM(E97:E101),2)</f>
        <v>132321.73000000001</v>
      </c>
      <c r="F102" s="749"/>
      <c r="G102" s="736">
        <f>+ROUND(+SUM(G97:G101),2)</f>
        <v>0</v>
      </c>
      <c r="H102" s="737">
        <f>+ROUND(+SUM(H97:H101),2)</f>
        <v>0</v>
      </c>
      <c r="I102" s="749"/>
      <c r="J102" s="736">
        <f>+ROUND(+SUM(J97:J101),2)</f>
        <v>7734</v>
      </c>
      <c r="K102" s="737">
        <f>+ROUND(+SUM(K97:K101),2)</f>
        <v>144855.09</v>
      </c>
      <c r="L102" s="749"/>
      <c r="M102" s="736">
        <f>+ROUND(+SUM(M97:M101),2)</f>
        <v>8297</v>
      </c>
      <c r="N102" s="737">
        <f>+ROUND(+SUM(N97:N101),2)</f>
        <v>277176.82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749"/>
      <c r="D103" s="703"/>
      <c r="E103" s="696"/>
      <c r="F103" s="749"/>
      <c r="G103" s="703"/>
      <c r="H103" s="696"/>
      <c r="I103" s="749"/>
      <c r="J103" s="703"/>
      <c r="K103" s="696"/>
      <c r="L103" s="749"/>
      <c r="M103" s="703"/>
      <c r="N103" s="696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749"/>
      <c r="D104" s="700">
        <f>+ROUND(+'TRIAL-BALANCE'!S587-'TRIAL-BALANCE'!T587,2)</f>
        <v>0</v>
      </c>
      <c r="E104" s="694">
        <f>+ROUND(+'R &amp; E data-2020'!O220-'R &amp; E data-2020'!P220,2)</f>
        <v>0</v>
      </c>
      <c r="F104" s="749"/>
      <c r="G104" s="700">
        <f>+ROUND(+'TRIAL-BALANCE'!Z587-'TRIAL-BALANCE'!AA587,2)</f>
        <v>0</v>
      </c>
      <c r="H104" s="694">
        <f>+ROUND(+'R &amp; E data-2020'!R220-'R &amp; E data-2020'!S220,2)</f>
        <v>0</v>
      </c>
      <c r="I104" s="749"/>
      <c r="J104" s="700">
        <f>+ROUND(+'TRIAL-BALANCE'!AG587-'TRIAL-BALANCE'!AH587,2)</f>
        <v>0</v>
      </c>
      <c r="K104" s="694">
        <f>+ROUND(+'R &amp; E data-2020'!U220-'R &amp; E data-2020'!V220,2)</f>
        <v>0</v>
      </c>
      <c r="L104" s="749"/>
      <c r="M104" s="700">
        <f t="shared" ref="M104:N108" si="11">+ROUND(+D104+G104+J104,2)</f>
        <v>0</v>
      </c>
      <c r="N104" s="694">
        <f t="shared" si="11"/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749"/>
      <c r="D105" s="700">
        <f>+ROUND(+SUM('TRIAL-BALANCE'!S581:S586)+SUM('TRIAL-BALANCE'!S588:S593)-SUM('TRIAL-BALANCE'!T581:T586)-SUM('TRIAL-BALANCE'!T588:T593),2)</f>
        <v>0</v>
      </c>
      <c r="E105" s="694">
        <f>+ROUND(+SUM('R &amp; E data-2020'!O214:O219)+SUM('R &amp; E data-2020'!O221:O226)-SUM('R &amp; E data-2020'!P214:P219)-SUM('R &amp; E data-2020'!P221:P226),2)</f>
        <v>0</v>
      </c>
      <c r="F105" s="749"/>
      <c r="G105" s="700">
        <f>+ROUND(+SUM('TRIAL-BALANCE'!Z581:Z586)+SUM('TRIAL-BALANCE'!Z588:Z593)-SUM('TRIAL-BALANCE'!AA581:AA586)-SUM('TRIAL-BALANCE'!AA588:AA593),2)</f>
        <v>0</v>
      </c>
      <c r="H105" s="694">
        <f>+ROUND(+SUM('R &amp; E data-2020'!R214:R219)+SUM('R &amp; E data-2020'!R221:R226)-SUM('R &amp; E data-2020'!S214:S219)-SUM('R &amp; E data-2020'!S221:S226),2)</f>
        <v>0</v>
      </c>
      <c r="I105" s="749"/>
      <c r="J105" s="700">
        <f>+ROUND(+SUM('TRIAL-BALANCE'!AG581:AG586)+SUM('TRIAL-BALANCE'!AG588:AG593)-SUM('TRIAL-BALANCE'!AH581:AH586)-SUM('TRIAL-BALANCE'!AH588:AH593),2)</f>
        <v>0</v>
      </c>
      <c r="K105" s="694">
        <f>+ROUND(+SUM('R &amp; E data-2020'!U214:U219)+SUM('R &amp; E data-2020'!U221:U226)-SUM('R &amp; E data-2020'!V214:V219)-SUM('R &amp; E data-2020'!V221:V226),2)</f>
        <v>0</v>
      </c>
      <c r="L105" s="749"/>
      <c r="M105" s="700">
        <f t="shared" si="11"/>
        <v>0</v>
      </c>
      <c r="N105" s="694">
        <f t="shared" si="11"/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749"/>
      <c r="D106" s="700">
        <f>+ROUND(+SUM('TRIAL-BALANCE'!S594:S595)-SUM('TRIAL-BALANCE'!T594:T595),2)</f>
        <v>52.96</v>
      </c>
      <c r="E106" s="694">
        <f>+ROUND(+SUM('R &amp; E data-2020'!O227:O228)-SUM('R &amp; E data-2020'!P227:P228),2)</f>
        <v>9479.81</v>
      </c>
      <c r="F106" s="749"/>
      <c r="G106" s="700">
        <f>+ROUND(+SUM('TRIAL-BALANCE'!Z594:Z595)-SUM('TRIAL-BALANCE'!AA594:AA595),2)</f>
        <v>0</v>
      </c>
      <c r="H106" s="694">
        <f>+ROUND(+SUM('R &amp; E data-2020'!R227:R228)-SUM('R &amp; E data-2020'!S227:S228),2)</f>
        <v>0</v>
      </c>
      <c r="I106" s="749"/>
      <c r="J106" s="700">
        <f>+ROUND(+SUM('TRIAL-BALANCE'!AG594:AG595)-SUM('TRIAL-BALANCE'!AH594:AH595),2)</f>
        <v>0</v>
      </c>
      <c r="K106" s="694">
        <f>+ROUND(+SUM('R &amp; E data-2020'!U227:U228)-SUM('R &amp; E data-2020'!V227:V228),2)</f>
        <v>0</v>
      </c>
      <c r="L106" s="749"/>
      <c r="M106" s="700">
        <f t="shared" si="11"/>
        <v>52.96</v>
      </c>
      <c r="N106" s="694">
        <f t="shared" si="11"/>
        <v>9479.81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749"/>
      <c r="D107" s="700">
        <f>+ROUND(+SUM('TRIAL-BALANCE'!S596:S598)-SUM('TRIAL-BALANCE'!T596:T598),2)</f>
        <v>0</v>
      </c>
      <c r="E107" s="694">
        <f>+ROUND(+SUM('R &amp; E data-2020'!O229:O231)-SUM('R &amp; E data-2020'!P229:P231),2)</f>
        <v>0</v>
      </c>
      <c r="F107" s="749"/>
      <c r="G107" s="700">
        <f>+ROUND(+SUM('TRIAL-BALANCE'!Z596:Z598)-SUM('TRIAL-BALANCE'!AA596:AA598),2)</f>
        <v>0</v>
      </c>
      <c r="H107" s="694">
        <f>+ROUND(+SUM('R &amp; E data-2020'!R229:R231)-SUM('R &amp; E data-2020'!S229:S231),2)</f>
        <v>0</v>
      </c>
      <c r="I107" s="749"/>
      <c r="J107" s="700">
        <f>+ROUND(+SUM('TRIAL-BALANCE'!AG596:AG598)-SUM('TRIAL-BALANCE'!AH596:AH598),2)</f>
        <v>0</v>
      </c>
      <c r="K107" s="694">
        <f>+ROUND(+SUM('R &amp; E data-2020'!U229:U231)-SUM('R &amp; E data-2020'!V229:V231),2)</f>
        <v>0</v>
      </c>
      <c r="L107" s="749"/>
      <c r="M107" s="700">
        <f t="shared" si="11"/>
        <v>0</v>
      </c>
      <c r="N107" s="694">
        <f t="shared" si="11"/>
        <v>0</v>
      </c>
      <c r="O107" s="152"/>
      <c r="P107" s="1883"/>
      <c r="Q107" s="1903" t="s">
        <v>1875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749"/>
      <c r="D108" s="701">
        <f>+ROUND(+SUM('TRIAL-BALANCE'!S599:S600)-SUM('TRIAL-BALANCE'!T599:T600),2)</f>
        <v>0</v>
      </c>
      <c r="E108" s="695">
        <f>+ROUND(+SUM('R &amp; E data-2020'!O232:O233)-SUM('R &amp; E data-2020'!P232:P233),2)</f>
        <v>0</v>
      </c>
      <c r="F108" s="749"/>
      <c r="G108" s="701">
        <f>+ROUND(+SUM('TRIAL-BALANCE'!Z599:Z600)-SUM('TRIAL-BALANCE'!AA599:AA600),2)</f>
        <v>0</v>
      </c>
      <c r="H108" s="695">
        <f>+ROUND(+SUM('R &amp; E data-2020'!R232:R233)-SUM('R &amp; E data-2020'!S232:S233),2)</f>
        <v>0</v>
      </c>
      <c r="I108" s="749"/>
      <c r="J108" s="701">
        <f>+ROUND(+SUM('TRIAL-BALANCE'!AG599:AG600)-SUM('TRIAL-BALANCE'!AH599:AH600),2)</f>
        <v>0</v>
      </c>
      <c r="K108" s="695">
        <f>+ROUND(+SUM('R &amp; E data-2020'!U232:U233)-SUM('R &amp; E data-2020'!V232:V233),2)</f>
        <v>0</v>
      </c>
      <c r="L108" s="749"/>
      <c r="M108" s="701">
        <f t="shared" si="11"/>
        <v>0</v>
      </c>
      <c r="N108" s="695">
        <f t="shared" si="11"/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749"/>
      <c r="D109" s="736">
        <f>+ROUND(+SUM(D104:D108),2)</f>
        <v>52.96</v>
      </c>
      <c r="E109" s="737">
        <f>+ROUND(+SUM(E104:E108),2)</f>
        <v>9479.81</v>
      </c>
      <c r="F109" s="749"/>
      <c r="G109" s="736">
        <f>+ROUND(+SUM(G104:G108),2)</f>
        <v>0</v>
      </c>
      <c r="H109" s="737">
        <f>+ROUND(+SUM(H104:H108),2)</f>
        <v>0</v>
      </c>
      <c r="I109" s="749"/>
      <c r="J109" s="736">
        <f>+ROUND(+SUM(J104:J108),2)</f>
        <v>0</v>
      </c>
      <c r="K109" s="737">
        <f>+ROUND(+SUM(K104:K108),2)</f>
        <v>0</v>
      </c>
      <c r="L109" s="749"/>
      <c r="M109" s="736">
        <f>+ROUND(+SUM(M104:M108),2)</f>
        <v>52.96</v>
      </c>
      <c r="N109" s="737">
        <f>+ROUND(+SUM(N104:N108),2)</f>
        <v>9479.81</v>
      </c>
      <c r="O109" s="152"/>
      <c r="P109" s="2599" t="s">
        <v>1300</v>
      </c>
      <c r="Q109" s="2600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49"/>
      <c r="D110" s="703"/>
      <c r="E110" s="696"/>
      <c r="F110" s="749"/>
      <c r="G110" s="703"/>
      <c r="H110" s="696"/>
      <c r="I110" s="749"/>
      <c r="J110" s="703"/>
      <c r="K110" s="696"/>
      <c r="L110" s="749"/>
      <c r="M110" s="703"/>
      <c r="N110" s="696"/>
      <c r="O110" s="152"/>
      <c r="P110" s="2601"/>
      <c r="Q110" s="260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749"/>
      <c r="D111" s="740">
        <f>+D90+D95+D102-D109</f>
        <v>128545.75</v>
      </c>
      <c r="E111" s="741">
        <f>+E90+E95+E102-E109</f>
        <v>327798.21000000002</v>
      </c>
      <c r="F111" s="749"/>
      <c r="G111" s="740">
        <f>+G90+G95+G102-G109</f>
        <v>-30716.01</v>
      </c>
      <c r="H111" s="741">
        <f>+H90+H95+H102-H109</f>
        <v>-47878.83</v>
      </c>
      <c r="I111" s="749"/>
      <c r="J111" s="740">
        <f>+J90+J95+J102-J109</f>
        <v>7734</v>
      </c>
      <c r="K111" s="741">
        <f>+K90+K95+K102-K109</f>
        <v>-11059.709999999992</v>
      </c>
      <c r="L111" s="749"/>
      <c r="M111" s="740">
        <f>+M90+M95+M102-M109</f>
        <v>105563.73999999999</v>
      </c>
      <c r="N111" s="741">
        <f>+N90+N95+N102-N109</f>
        <v>268859.67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49"/>
      <c r="D112" s="703"/>
      <c r="E112" s="696"/>
      <c r="F112" s="749"/>
      <c r="G112" s="703"/>
      <c r="H112" s="696"/>
      <c r="I112" s="749"/>
      <c r="J112" s="703"/>
      <c r="K112" s="696"/>
      <c r="L112" s="749"/>
      <c r="M112" s="703"/>
      <c r="N112" s="696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749"/>
      <c r="D113" s="706">
        <f>+ROUND(+D40+D81+D85+D111-D77,2)</f>
        <v>-5433.92</v>
      </c>
      <c r="E113" s="699">
        <f>+ROUND(+E40+E81+E85+E111-E77,2)</f>
        <v>1979287.74</v>
      </c>
      <c r="F113" s="749"/>
      <c r="G113" s="706">
        <f>+ROUND(+G40+G81+G85+G111-G77,2)</f>
        <v>3336874.39</v>
      </c>
      <c r="H113" s="699">
        <f>+ROUND(+H40+H81+H85+H111-H77,2)</f>
        <v>-5881025.1500000004</v>
      </c>
      <c r="I113" s="749"/>
      <c r="J113" s="706">
        <f>+ROUND(+J40+J81+J85+J111-J77,2)</f>
        <v>-734438.85</v>
      </c>
      <c r="K113" s="699">
        <f>+ROUND(+K40+K81+K85+K111-K77,2)</f>
        <v>4862291.9000000004</v>
      </c>
      <c r="L113" s="749"/>
      <c r="M113" s="706">
        <f>+ROUND(+M40+M81+M85+M111-M77,2)</f>
        <v>2597001.62</v>
      </c>
      <c r="N113" s="699">
        <f>+ROUND(+N40+N81+N85+N111-N77,2)</f>
        <v>960554.49</v>
      </c>
      <c r="O113" s="152"/>
      <c r="P113" s="1678">
        <f>+ROUND(P29,2)-ROUND(P53,2)-ROUND(P74,2)</f>
        <v>0</v>
      </c>
      <c r="Q113" s="1679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59"/>
      <c r="B114" s="753"/>
      <c r="C114" s="749"/>
      <c r="D114" s="760"/>
      <c r="E114" s="760"/>
      <c r="F114" s="749"/>
      <c r="G114" s="760"/>
      <c r="H114" s="760"/>
      <c r="I114" s="749"/>
      <c r="J114" s="760"/>
      <c r="K114" s="760"/>
      <c r="L114" s="749"/>
      <c r="M114" s="760"/>
      <c r="N114" s="760"/>
      <c r="O114" s="152"/>
      <c r="P114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4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61" t="s">
        <v>695</v>
      </c>
      <c r="B115" s="762"/>
      <c r="C115" s="749"/>
      <c r="D115" s="2033">
        <f>+'TRIAL-BALANCE'!K10</f>
        <v>0</v>
      </c>
      <c r="E115" s="2017" t="s">
        <v>1975</v>
      </c>
      <c r="F115" s="749"/>
      <c r="G115" s="763"/>
      <c r="H115" s="767"/>
      <c r="I115" s="767"/>
      <c r="J115" s="767"/>
      <c r="K115" s="2016" t="s">
        <v>1973</v>
      </c>
      <c r="L115" s="749"/>
      <c r="M115" s="768"/>
      <c r="N115" s="769"/>
      <c r="O115" s="152"/>
      <c r="P115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597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64"/>
      <c r="B116" s="764"/>
      <c r="C116" s="749"/>
      <c r="D116" s="764"/>
      <c r="E116" s="764"/>
      <c r="F116" s="749"/>
      <c r="G116" s="763"/>
      <c r="H116" s="2610">
        <f>+'BALANCE-SHEET-2021-leva'!H97:J97</f>
        <v>0</v>
      </c>
      <c r="I116" s="2610"/>
      <c r="J116" s="2610"/>
      <c r="K116" s="763"/>
      <c r="L116" s="749"/>
      <c r="M116" s="2609">
        <f>+'BALANCE-SHEET-2021-leva'!M97:N97</f>
        <v>0</v>
      </c>
      <c r="N116" s="2609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64"/>
      <c r="B117" s="764"/>
      <c r="C117" s="749"/>
      <c r="D117" s="764"/>
      <c r="E117" s="764"/>
      <c r="F117" s="749"/>
      <c r="G117" s="763"/>
      <c r="H117" s="765"/>
      <c r="I117" s="749"/>
      <c r="J117" s="766"/>
      <c r="K117" s="763"/>
      <c r="L117" s="749"/>
      <c r="M117" s="766"/>
      <c r="N117" s="76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6"/>
      <c r="C118" s="1886"/>
      <c r="D118" s="1886"/>
      <c r="E118" s="1886"/>
      <c r="F118" s="1886"/>
      <c r="G118" s="1882"/>
      <c r="H118" s="1887"/>
      <c r="I118" s="1884"/>
      <c r="J118" s="1881"/>
      <c r="K118" s="1883"/>
      <c r="L118" s="1883"/>
      <c r="M118" s="1883"/>
      <c r="N118" s="1883"/>
      <c r="O118" s="152"/>
      <c r="P118" s="1883"/>
      <c r="Q118" s="1903" t="s">
        <v>1875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8"/>
      <c r="D119" s="152"/>
      <c r="E119" s="152"/>
      <c r="F119" s="198"/>
      <c r="G119" s="152"/>
      <c r="H119" s="152"/>
      <c r="I119" s="152"/>
      <c r="J119" s="152"/>
      <c r="K119" s="152"/>
      <c r="L119" s="198"/>
      <c r="M119" s="152"/>
      <c r="N119" s="152"/>
      <c r="O119" s="152"/>
      <c r="P119" s="1673" t="s">
        <v>1302</v>
      </c>
      <c r="Q119" s="1674"/>
      <c r="R119" s="152"/>
      <c r="S119" s="152"/>
      <c r="T119" s="152"/>
      <c r="U119" s="198"/>
      <c r="V119" s="152"/>
      <c r="W119" s="152"/>
      <c r="X119" s="152"/>
      <c r="Y119" s="152"/>
      <c r="Z119" s="152"/>
    </row>
    <row r="120" spans="1:26" ht="15.75">
      <c r="A120" s="937" t="s">
        <v>1144</v>
      </c>
      <c r="B120" s="938"/>
      <c r="C120" s="198"/>
      <c r="D120" s="929" t="str">
        <f>+IF(+ROUND(D123,2)=0,"O K","НЕРАВНЕНИЕ !")</f>
        <v>O K</v>
      </c>
      <c r="E120" s="1966" t="str">
        <f>+IF(+ROUND(E123,2)=0,"O K","НЕРАВНЕНИЕ !")</f>
        <v>O K</v>
      </c>
      <c r="F120" s="198"/>
      <c r="G120" s="931" t="str">
        <f>+IF(+ROUND(G123,2)=0,"O K","НЕРАВНЕНИЕ !")</f>
        <v>O K</v>
      </c>
      <c r="H120" s="1968" t="str">
        <f>+IF(+ROUND(H123,2)=0,"O K","НЕРАВНЕНИЕ !")</f>
        <v>O K</v>
      </c>
      <c r="I120" s="152"/>
      <c r="J120" s="933" t="str">
        <f>+IF(+ROUND(J123,2)=0,"O K","НЕРАВНЕНИЕ !")</f>
        <v>O K</v>
      </c>
      <c r="K120" s="1970" t="str">
        <f>+IF(+ROUND(K123,2)=0,"O K","НЕРАВНЕНИЕ !")</f>
        <v>O K</v>
      </c>
      <c r="L120" s="198"/>
      <c r="M120" s="935" t="str">
        <f>+IF(+ROUND(M123,2)=0,"O K","НЕРАВНЕНИЕ !")</f>
        <v>O K</v>
      </c>
      <c r="N120" s="1972" t="str">
        <f>+IF(+ROUND(N123,2)=0,"O K","НЕРАВНЕНИЕ !")</f>
        <v>O K</v>
      </c>
      <c r="O120" s="152"/>
      <c r="P120" s="1237" t="str">
        <f>+IF(ROUND(+P121,2)=0,"O K","НЕРАВНЕНИЕ !")</f>
        <v>O K</v>
      </c>
      <c r="Q120" s="1237" t="str">
        <f>+IF(ROUND(+Q121,2)=0,"O K","НЕРАВНЕНИЕ !")</f>
        <v>O K</v>
      </c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6.5" thickBot="1">
      <c r="A121" s="939" t="s">
        <v>1145</v>
      </c>
      <c r="B121" s="940"/>
      <c r="C121" s="198"/>
      <c r="D121" s="930" t="str">
        <f>+IF(+ROUND(D124,2)=0,"O K","НЕРАВНЕНИЕ !")</f>
        <v>O K</v>
      </c>
      <c r="E121" s="1967" t="str">
        <f>+IF(+ROUND(E124,2)=0,"O K","НЕРАВНЕНИЕ !")</f>
        <v>O K</v>
      </c>
      <c r="F121" s="198"/>
      <c r="G121" s="932" t="str">
        <f>+IF(+ROUND(G124,2)=0,"O K","НЕРАВНЕНИЕ !")</f>
        <v>O K</v>
      </c>
      <c r="H121" s="1969" t="str">
        <f>+IF(+ROUND(H124,2)=0,"O K","НЕРАВНЕНИЕ !")</f>
        <v>O K</v>
      </c>
      <c r="I121" s="152"/>
      <c r="J121" s="934" t="str">
        <f>+IF(+ROUND(J124,2)=0,"O K","НЕРАВНЕНИЕ !")</f>
        <v>O K</v>
      </c>
      <c r="K121" s="1971" t="str">
        <f>+IF(+ROUND(K124,2)=0,"O K","НЕРАВНЕНИЕ !")</f>
        <v>O K</v>
      </c>
      <c r="L121" s="198"/>
      <c r="M121" s="936" t="str">
        <f>+IF(+ROUND(M124,2)=0,"O K","НЕРАВНЕНИЕ !")</f>
        <v>O K</v>
      </c>
      <c r="N121" s="1973" t="str">
        <f>+IF(+ROUND(N124,2)=0,"O K","НЕРАВНЕНИЕ !")</f>
        <v>O K</v>
      </c>
      <c r="O121" s="152"/>
      <c r="P121" s="1704">
        <f>+ROUND(+P113,2)-ROUND('BALANCE-SHEET-2021-leva'!P65,2)</f>
        <v>0</v>
      </c>
      <c r="Q121" s="1704">
        <f>+ROUND(+Q113,2)-ROUND('BALANCE-SHEET-2021-leva'!Q65,2)</f>
        <v>0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8"/>
      <c r="D122" s="152"/>
      <c r="E122" s="152"/>
      <c r="F122" s="198"/>
      <c r="G122" s="152"/>
      <c r="H122" s="152"/>
      <c r="I122" s="152"/>
      <c r="J122" s="152"/>
      <c r="K122" s="152"/>
      <c r="L122" s="198"/>
      <c r="M122" s="152"/>
      <c r="N122" s="152"/>
      <c r="O122" s="152"/>
      <c r="P122" s="1705" t="s">
        <v>1870</v>
      </c>
      <c r="Q122" s="1706"/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5.75">
      <c r="A123" s="937" t="s">
        <v>1131</v>
      </c>
      <c r="B123" s="938"/>
      <c r="C123" s="198"/>
      <c r="D123" s="929">
        <f>+ROUND(D113-'BALANCE-SHEET-2021-leva'!D65,2)</f>
        <v>0</v>
      </c>
      <c r="E123" s="1966">
        <f>+ROUND(E113-'BALANCE-SHEET-2021-leva'!E65,2)</f>
        <v>0</v>
      </c>
      <c r="F123" s="198"/>
      <c r="G123" s="931">
        <f>+ROUND(G113-'BALANCE-SHEET-2021-leva'!G65,2)</f>
        <v>0</v>
      </c>
      <c r="H123" s="1968">
        <f>+ROUND(H113-'BALANCE-SHEET-2021-leva'!H65,2)</f>
        <v>0</v>
      </c>
      <c r="I123" s="152"/>
      <c r="J123" s="933">
        <f>+ROUND(J113-'BALANCE-SHEET-2021-leva'!J65,2)</f>
        <v>0</v>
      </c>
      <c r="K123" s="1970">
        <f>+ROUND(K113-'BALANCE-SHEET-2021-leva'!K65,2)</f>
        <v>0</v>
      </c>
      <c r="L123" s="198"/>
      <c r="M123" s="967">
        <f>+ROUND(M113,2)-ROUND('BALANCE-SHEET-2021-leva'!M65,2)</f>
        <v>0</v>
      </c>
      <c r="N123" s="1974">
        <f>+ROUND(N113,2)-ROUND('BALANCE-SHEET-2021-leva'!N65,2)</f>
        <v>0</v>
      </c>
      <c r="O123" s="152"/>
      <c r="P123" s="1707" t="s">
        <v>1871</v>
      </c>
      <c r="Q123" s="1708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6.5" thickBot="1">
      <c r="A124" s="939" t="s">
        <v>1140</v>
      </c>
      <c r="B124" s="940"/>
      <c r="C124" s="198"/>
      <c r="D124" s="930">
        <f>+ROUND(D113-(SUM('TRIAL-BALANCE'!T384:T828)-SUM('TRIAL-BALANCE'!S384:S828)),2)</f>
        <v>0</v>
      </c>
      <c r="E124" s="1967">
        <f>+ROUND(E113-'R &amp; E data-2020'!P464,2)</f>
        <v>0</v>
      </c>
      <c r="F124" s="198"/>
      <c r="G124" s="932">
        <f>+ROUND(G113-(SUM('TRIAL-BALANCE'!AA384:AA828)-SUM('TRIAL-BALANCE'!Z384:Z828)),2)</f>
        <v>0</v>
      </c>
      <c r="H124" s="1969">
        <f>+ROUND(H113-'R &amp; E data-2020'!S464,2)</f>
        <v>0</v>
      </c>
      <c r="I124" s="152"/>
      <c r="J124" s="934">
        <f>+ROUND(J113-(SUM('TRIAL-BALANCE'!AH384:AH828)-SUM('TRIAL-BALANCE'!AG384:AG828)),2)</f>
        <v>0</v>
      </c>
      <c r="K124" s="1971">
        <f>+ROUND(K113-'R &amp; E data-2020'!V464,2)</f>
        <v>0</v>
      </c>
      <c r="L124" s="198"/>
      <c r="M124" s="968">
        <f>+ROUND(M113-P113,2)-ROUND(SUM('TRIAL-BALANCE'!AP384:AP828)-SUM('TRIAL-BALANCE'!AO384:AO828),2)</f>
        <v>0</v>
      </c>
      <c r="N124" s="1975">
        <f>+ROUND(N113-Q113,2)-ROUND('R &amp; E data-2020'!Y464,2)</f>
        <v>0</v>
      </c>
      <c r="O124" s="152"/>
      <c r="P124" s="1709" t="s">
        <v>1872</v>
      </c>
      <c r="Q124" s="1896" t="str">
        <f>+Q69</f>
        <v>'Municipal-Bal'</v>
      </c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5.75">
      <c r="A125" s="152"/>
      <c r="B125" s="152"/>
      <c r="C125" s="198"/>
      <c r="D125" s="152"/>
      <c r="E125" s="152"/>
      <c r="F125" s="198"/>
      <c r="G125" s="152"/>
      <c r="H125" s="152"/>
      <c r="I125" s="198"/>
      <c r="J125" s="152"/>
      <c r="K125" s="152"/>
      <c r="L125" s="198"/>
      <c r="M125" s="152"/>
      <c r="N125" s="152"/>
      <c r="O125" s="152"/>
      <c r="P125" s="1710" t="s">
        <v>1305</v>
      </c>
      <c r="Q125" s="1711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4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 objects="1" scenarios="1"/>
  <mergeCells count="26">
    <mergeCell ref="M116:N116"/>
    <mergeCell ref="H116:J116"/>
    <mergeCell ref="J5:K5"/>
    <mergeCell ref="B7:B9"/>
    <mergeCell ref="M7:N8"/>
    <mergeCell ref="B5:G5"/>
    <mergeCell ref="A1:D1"/>
    <mergeCell ref="G1:H1"/>
    <mergeCell ref="A2:D2"/>
    <mergeCell ref="A3:D3"/>
    <mergeCell ref="G3:H3"/>
    <mergeCell ref="E2:H2"/>
    <mergeCell ref="P115:Q115"/>
    <mergeCell ref="P54:Q54"/>
    <mergeCell ref="P55:Q55"/>
    <mergeCell ref="P109:Q110"/>
    <mergeCell ref="P114:Q114"/>
    <mergeCell ref="P75:Q75"/>
    <mergeCell ref="P76:Q76"/>
    <mergeCell ref="P77:Q77"/>
    <mergeCell ref="J2:K2"/>
    <mergeCell ref="K3:N3"/>
    <mergeCell ref="P30:Q30"/>
    <mergeCell ref="P32:Q32"/>
    <mergeCell ref="P31:Q31"/>
    <mergeCell ref="M2:N2"/>
  </mergeCells>
  <conditionalFormatting sqref="G123:H124 J123:K124 D123:E124 M123:N124">
    <cfRule type="cellIs" dxfId="1280" priority="422" stopIfTrue="1" operator="notEqual">
      <formula>0</formula>
    </cfRule>
  </conditionalFormatting>
  <conditionalFormatting sqref="M5">
    <cfRule type="cellIs" dxfId="1279" priority="423" stopIfTrue="1" operator="equal">
      <formula>0</formula>
    </cfRule>
  </conditionalFormatting>
  <conditionalFormatting sqref="A1:D1 G1:H1 G3:H3 K1">
    <cfRule type="cellIs" dxfId="1278" priority="424" stopIfTrue="1" operator="equal">
      <formula>0</formula>
    </cfRule>
  </conditionalFormatting>
  <conditionalFormatting sqref="D120:E121">
    <cfRule type="cellIs" dxfId="1277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76" priority="82" stopIfTrue="1" operator="equal">
      <formula>"НЕРАВНЕНИЕ !"</formula>
    </cfRule>
  </conditionalFormatting>
  <conditionalFormatting sqref="J120:K121 M120:N121">
    <cfRule type="cellIs" dxfId="1275" priority="79" stopIfTrue="1" operator="equal">
      <formula>"НЕРАВНЕНИЕ !"</formula>
    </cfRule>
  </conditionalFormatting>
  <conditionalFormatting sqref="K3">
    <cfRule type="cellIs" dxfId="1274" priority="78" stopIfTrue="1" operator="equal">
      <formula>0</formula>
    </cfRule>
  </conditionalFormatting>
  <conditionalFormatting sqref="N1">
    <cfRule type="cellIs" dxfId="1273" priority="77" stopIfTrue="1" operator="equal">
      <formula>0</formula>
    </cfRule>
  </conditionalFormatting>
  <conditionalFormatting sqref="P54">
    <cfRule type="cellIs" dxfId="1272" priority="60" stopIfTrue="1" operator="notEqual">
      <formula>"O K"</formula>
    </cfRule>
  </conditionalFormatting>
  <conditionalFormatting sqref="P55">
    <cfRule type="cellIs" dxfId="1271" priority="59" stopIfTrue="1" operator="notEqual">
      <formula>"O K"</formula>
    </cfRule>
  </conditionalFormatting>
  <conditionalFormatting sqref="P54:Q55">
    <cfRule type="cellIs" dxfId="1270" priority="58" stopIfTrue="1" operator="equal">
      <formula>"O K"</formula>
    </cfRule>
  </conditionalFormatting>
  <conditionalFormatting sqref="P120">
    <cfRule type="cellIs" dxfId="1269" priority="45" stopIfTrue="1" operator="equal">
      <formula>"НЕРАВНЕНИЕ !"</formula>
    </cfRule>
  </conditionalFormatting>
  <conditionalFormatting sqref="P121">
    <cfRule type="cellIs" dxfId="1268" priority="44" stopIfTrue="1" operator="notEqual">
      <formula>0</formula>
    </cfRule>
  </conditionalFormatting>
  <conditionalFormatting sqref="Q121">
    <cfRule type="cellIs" dxfId="1267" priority="43" stopIfTrue="1" operator="notEqual">
      <formula>0</formula>
    </cfRule>
  </conditionalFormatting>
  <conditionalFormatting sqref="Q120">
    <cfRule type="cellIs" dxfId="1266" priority="42" stopIfTrue="1" operator="equal">
      <formula>"НЕРАВНЕНИЕ !"</formula>
    </cfRule>
  </conditionalFormatting>
  <conditionalFormatting sqref="P114">
    <cfRule type="cellIs" dxfId="1265" priority="19" stopIfTrue="1" operator="notEqual">
      <formula>"O K"</formula>
    </cfRule>
  </conditionalFormatting>
  <conditionalFormatting sqref="P115">
    <cfRule type="cellIs" dxfId="1264" priority="18" stopIfTrue="1" operator="notEqual">
      <formula>"O K"</formula>
    </cfRule>
  </conditionalFormatting>
  <conditionalFormatting sqref="P114:Q115">
    <cfRule type="cellIs" dxfId="1263" priority="17" stopIfTrue="1" operator="equal">
      <formula>"O K"</formula>
    </cfRule>
  </conditionalFormatting>
  <conditionalFormatting sqref="A9">
    <cfRule type="cellIs" dxfId="1262" priority="16" operator="equal">
      <formula>"Непопълнен ред в таблица 'Cash-deficit'!"</formula>
    </cfRule>
  </conditionalFormatting>
  <conditionalFormatting sqref="A3:D3">
    <cfRule type="cellIs" dxfId="1261" priority="15" stopIfTrue="1" operator="equal">
      <formula>0</formula>
    </cfRule>
  </conditionalFormatting>
  <conditionalFormatting sqref="P75">
    <cfRule type="cellIs" dxfId="1260" priority="14" stopIfTrue="1" operator="notEqual">
      <formula>"O K"</formula>
    </cfRule>
  </conditionalFormatting>
  <conditionalFormatting sqref="P75:Q75">
    <cfRule type="cellIs" dxfId="1259" priority="13" stopIfTrue="1" operator="equal">
      <formula>"O K"</formula>
    </cfRule>
  </conditionalFormatting>
  <conditionalFormatting sqref="P77">
    <cfRule type="cellIs" dxfId="1258" priority="12" stopIfTrue="1" operator="notEqual">
      <formula>"O K"</formula>
    </cfRule>
  </conditionalFormatting>
  <conditionalFormatting sqref="P77:Q77">
    <cfRule type="cellIs" dxfId="1257" priority="11" stopIfTrue="1" operator="equal">
      <formula>"O K"</formula>
    </cfRule>
  </conditionalFormatting>
  <conditionalFormatting sqref="P76:Q76">
    <cfRule type="cellIs" dxfId="1256" priority="10" operator="notEqual">
      <formula>0</formula>
    </cfRule>
  </conditionalFormatting>
  <conditionalFormatting sqref="P30">
    <cfRule type="cellIs" dxfId="1255" priority="9" stopIfTrue="1" operator="notEqual">
      <formula>"O K"</formula>
    </cfRule>
  </conditionalFormatting>
  <conditionalFormatting sqref="P30:Q30">
    <cfRule type="cellIs" dxfId="1254" priority="8" stopIfTrue="1" operator="equal">
      <formula>"O K"</formula>
    </cfRule>
  </conditionalFormatting>
  <conditionalFormatting sqref="P32">
    <cfRule type="cellIs" dxfId="1253" priority="7" stopIfTrue="1" operator="notEqual">
      <formula>"O K"</formula>
    </cfRule>
  </conditionalFormatting>
  <conditionalFormatting sqref="P32:Q32">
    <cfRule type="cellIs" dxfId="1252" priority="6" stopIfTrue="1" operator="equal">
      <formula>"O K"</formula>
    </cfRule>
  </conditionalFormatting>
  <conditionalFormatting sqref="P31:Q31">
    <cfRule type="cellIs" dxfId="1251" priority="5" operator="notEqual">
      <formula>0</formula>
    </cfRule>
  </conditionalFormatting>
  <conditionalFormatting sqref="E2:H2">
    <cfRule type="cellIs" dxfId="1250" priority="3" operator="equal">
      <formula>"отчетено НЕРАВНЕНИЕ в таблица 'Status'!"</formula>
    </cfRule>
    <cfRule type="cellIs" dxfId="1249" priority="4" operator="equal">
      <formula>0</formula>
    </cfRule>
  </conditionalFormatting>
  <conditionalFormatting sqref="J2:K2">
    <cfRule type="cellIs" dxfId="1248" priority="2" operator="notEqual">
      <formula>0</formula>
    </cfRule>
  </conditionalFormatting>
  <conditionalFormatting sqref="M2:N2">
    <cfRule type="cellIs" dxfId="1247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Z152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9.85546875" style="1397" customWidth="1"/>
    <col min="2" max="2" width="6.7109375" style="1397" customWidth="1"/>
    <col min="3" max="3" width="0.85546875" style="1397" customWidth="1"/>
    <col min="4" max="5" width="19.5703125" style="1397" customWidth="1"/>
    <col min="6" max="6" width="1" style="1397" customWidth="1"/>
    <col min="7" max="8" width="19.5703125" style="1397" customWidth="1"/>
    <col min="9" max="9" width="1" style="1397" customWidth="1"/>
    <col min="10" max="11" width="19.5703125" style="1397" customWidth="1"/>
    <col min="12" max="12" width="1" style="1397" customWidth="1"/>
    <col min="13" max="14" width="19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617">
        <f>+'TRIAL-BALANCE'!E2</f>
        <v>0</v>
      </c>
      <c r="B1" s="2618"/>
      <c r="C1" s="2618"/>
      <c r="D1" s="2619"/>
      <c r="E1" s="800" t="s">
        <v>1087</v>
      </c>
      <c r="F1" s="801"/>
      <c r="G1" s="2620">
        <f>+'TRIAL-BALANCE'!C6</f>
        <v>0</v>
      </c>
      <c r="H1" s="2621"/>
      <c r="I1" s="801"/>
      <c r="J1" s="802" t="s">
        <v>1088</v>
      </c>
      <c r="K1" s="1264">
        <f>+'TRIAL-BALANCE'!C8</f>
        <v>0</v>
      </c>
      <c r="L1" s="801"/>
      <c r="M1" s="153" t="s">
        <v>1209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586">
        <f>+'BALANCE-SHEET-2021-leva'!E2</f>
        <v>0</v>
      </c>
      <c r="F2" s="2586"/>
      <c r="G2" s="2586"/>
      <c r="H2" s="2586"/>
      <c r="I2" s="801"/>
      <c r="J2" s="2589">
        <f>+'BALANCE-SHEET-2021-leva'!J2:K2</f>
        <v>0</v>
      </c>
      <c r="K2" s="2589"/>
      <c r="L2" s="801"/>
      <c r="M2" s="2589">
        <f>+'BALANCE-SHEET-2021-leva'!M2:N2</f>
        <v>0</v>
      </c>
      <c r="N2" s="2589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481">
        <f>+'TRIAL-BALANCE'!G4</f>
        <v>0</v>
      </c>
      <c r="B3" s="2482"/>
      <c r="C3" s="2482"/>
      <c r="D3" s="2483"/>
      <c r="E3" s="804" t="s">
        <v>1205</v>
      </c>
      <c r="F3" s="803"/>
      <c r="G3" s="2622">
        <f>+'TRIAL-BALANCE'!J8</f>
        <v>0</v>
      </c>
      <c r="H3" s="2623"/>
      <c r="I3" s="801"/>
      <c r="J3" s="2213" t="s">
        <v>2107</v>
      </c>
      <c r="K3" s="2486">
        <f>+'TRIAL-BALANCE'!J8</f>
        <v>0</v>
      </c>
      <c r="L3" s="2502"/>
      <c r="M3" s="2502"/>
      <c r="N3" s="2487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801"/>
      <c r="B4" s="801"/>
      <c r="C4" s="801"/>
      <c r="D4" s="801"/>
      <c r="E4" s="805"/>
      <c r="F4" s="801"/>
      <c r="G4" s="805"/>
      <c r="H4" s="806"/>
      <c r="I4" s="801"/>
      <c r="J4" s="803"/>
      <c r="K4" s="803"/>
      <c r="L4" s="801"/>
      <c r="M4" s="803"/>
      <c r="N4" s="80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807" t="s">
        <v>1105</v>
      </c>
      <c r="B5" s="2624">
        <f>+A1</f>
        <v>0</v>
      </c>
      <c r="C5" s="2624"/>
      <c r="D5" s="2624"/>
      <c r="E5" s="2624"/>
      <c r="F5" s="2624"/>
      <c r="G5" s="2624"/>
      <c r="H5" s="808" t="s">
        <v>1004</v>
      </c>
      <c r="I5" s="809"/>
      <c r="J5" s="1265" t="str">
        <f>+'TRIAL-BALANCE'!H12</f>
        <v>30 септември 2021 г.</v>
      </c>
      <c r="K5" s="519"/>
      <c r="L5" s="810"/>
      <c r="M5" s="811" t="str">
        <f>+'TRIAL-BALANCE'!C10</f>
        <v>/с б о р е н/</v>
      </c>
      <c r="N5" s="811" t="str">
        <f>+'BALANCE-SHEET-2021'!N5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812"/>
      <c r="B6" s="813"/>
      <c r="C6" s="658"/>
      <c r="D6" s="814"/>
      <c r="E6" s="815"/>
      <c r="F6" s="658"/>
      <c r="G6" s="815"/>
      <c r="H6" s="816"/>
      <c r="I6" s="817"/>
      <c r="J6" s="816"/>
      <c r="K6" s="816"/>
      <c r="L6" s="658"/>
      <c r="M6" s="812"/>
      <c r="N6" s="818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12" t="s">
        <v>2181</v>
      </c>
      <c r="C7" s="817"/>
      <c r="D7" s="638" t="s">
        <v>1102</v>
      </c>
      <c r="E7" s="644"/>
      <c r="F7" s="817"/>
      <c r="G7" s="634" t="s">
        <v>1099</v>
      </c>
      <c r="H7" s="635"/>
      <c r="I7" s="817"/>
      <c r="J7" s="638" t="s">
        <v>1098</v>
      </c>
      <c r="K7" s="639"/>
      <c r="L7" s="817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22" t="s">
        <v>399</v>
      </c>
      <c r="B8" s="2613"/>
      <c r="C8" s="817"/>
      <c r="D8" s="645" t="s">
        <v>1103</v>
      </c>
      <c r="E8" s="646"/>
      <c r="F8" s="817"/>
      <c r="G8" s="636" t="s">
        <v>1096</v>
      </c>
      <c r="H8" s="637"/>
      <c r="I8" s="817"/>
      <c r="J8" s="640" t="s">
        <v>1097</v>
      </c>
      <c r="K8" s="641"/>
      <c r="L8" s="817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5" t="str">
        <f>+'Income-2021-leva'!A9</f>
        <v>Непопълнен ред в таблица 'Cash-deficit'!</v>
      </c>
      <c r="B9" s="2614"/>
      <c r="C9" s="658"/>
      <c r="D9" s="725" t="s">
        <v>1086</v>
      </c>
      <c r="E9" s="770" t="s">
        <v>1148</v>
      </c>
      <c r="F9" s="658"/>
      <c r="G9" s="725" t="str">
        <f>+D9</f>
        <v xml:space="preserve">Текуща година           </v>
      </c>
      <c r="H9" s="771" t="str">
        <f>+E9</f>
        <v xml:space="preserve">Предходна година                          (31 декември) </v>
      </c>
      <c r="I9" s="658"/>
      <c r="J9" s="725" t="str">
        <f>+G9</f>
        <v xml:space="preserve">Текуща година           </v>
      </c>
      <c r="K9" s="771" t="str">
        <f>+H9</f>
        <v xml:space="preserve">Предходна година                          (31 декември) </v>
      </c>
      <c r="L9" s="658"/>
      <c r="M9" s="725" t="str">
        <f>+J9</f>
        <v xml:space="preserve">Текуща година           </v>
      </c>
      <c r="N9" s="771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658"/>
      <c r="D10" s="727">
        <v>1</v>
      </c>
      <c r="E10" s="728">
        <f>1+D10</f>
        <v>2</v>
      </c>
      <c r="F10" s="658"/>
      <c r="G10" s="727">
        <f>1+E10</f>
        <v>3</v>
      </c>
      <c r="H10" s="728">
        <f>1+G10</f>
        <v>4</v>
      </c>
      <c r="I10" s="658"/>
      <c r="J10" s="727">
        <f>1+H10</f>
        <v>5</v>
      </c>
      <c r="K10" s="728">
        <f>1+J10</f>
        <v>6</v>
      </c>
      <c r="L10" s="658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817"/>
      <c r="D11" s="709"/>
      <c r="E11" s="707"/>
      <c r="F11" s="817"/>
      <c r="G11" s="709"/>
      <c r="H11" s="707"/>
      <c r="I11" s="817"/>
      <c r="J11" s="709"/>
      <c r="K11" s="707"/>
      <c r="L11" s="817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658"/>
      <c r="D12" s="772"/>
      <c r="E12" s="773"/>
      <c r="F12" s="658"/>
      <c r="G12" s="772"/>
      <c r="H12" s="773"/>
      <c r="I12" s="658"/>
      <c r="J12" s="772"/>
      <c r="K12" s="773"/>
      <c r="L12" s="658"/>
      <c r="M12" s="772"/>
      <c r="N12" s="773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658"/>
      <c r="D13" s="774">
        <f>+'Income-2021-leva'!D13/1000+IF(+Rounding!$C$131=$B13,+Rounding!D$131,0)+IF(+Rounding!$C$132=$B13,+Rounding!D$132,0)+IF(+Rounding!$C$133=$B13,+Rounding!D$133,0)</f>
        <v>571.84205000000009</v>
      </c>
      <c r="E13" s="775">
        <f>+'Income-2021-leva'!E13/1000+IF(+Rounding!$C$131=$B13,+Rounding!E$131,0)+IF(+Rounding!$C$132=$B13,+Rounding!E$132,0)+IF(+Rounding!$C$133=$B13,+Rounding!E$133,0)</f>
        <v>636.62443999999994</v>
      </c>
      <c r="F13" s="658"/>
      <c r="G13" s="774">
        <f>+'Income-2021-leva'!G13/1000+IF(+Rounding!$G$131=$B13,+Rounding!H$131,0)+IF(+Rounding!$G$132=$B13,+Rounding!H$132,0)+IF(+Rounding!$G$133=$B13,+Rounding!H$133,0)</f>
        <v>0</v>
      </c>
      <c r="H13" s="775">
        <f>+'Income-2021-leva'!H13/1000+IF(+Rounding!$G$131=$B13,+Rounding!I$131,0)+IF(+Rounding!$G$132=$B13,+Rounding!I$132,0)+IF(+Rounding!$G$133=$B13,+Rounding!I$133,0)</f>
        <v>0</v>
      </c>
      <c r="I13" s="658"/>
      <c r="J13" s="774">
        <f>+'Income-2021-leva'!J13/1000+IF(+Rounding!$K$131=$B13,+Rounding!L$131,0)+IF(+Rounding!$K$132=$B13,+Rounding!L$132,0)+IF(+Rounding!$K$133=$B13,+Rounding!L$133,0)</f>
        <v>0</v>
      </c>
      <c r="K13" s="775">
        <f>+'Income-2021-leva'!K13/1000+IF(+Rounding!$K$131=$B13,+Rounding!M$131,0)+IF(+Rounding!$K$132=$B13,+Rounding!M$132,0)+IF(+Rounding!$K$133=$B13,+Rounding!M$133,0)</f>
        <v>0</v>
      </c>
      <c r="L13" s="658"/>
      <c r="M13" s="774">
        <f>++D13+G13+J13+IF(+Rounding!$O$131=$B13,+Rounding!P$131,0)+IF(+Rounding!$O$132=$B13,+Rounding!P$132,0)+IF(+Rounding!$O$133=$B13,+Rounding!P$133,0)</f>
        <v>571.84205000000009</v>
      </c>
      <c r="N13" s="775">
        <f>++E13+H13+K13+IF(+Rounding!$O$131=$B13,+Rounding!Q$131,0)+IF(+Rounding!$O$132=$B13,+Rounding!Q$132,0)+IF(+Rounding!$O$133=$B13,+Rounding!Q$133,0)</f>
        <v>636.62443999999994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658"/>
      <c r="D14" s="774">
        <f>+'Income-2021-leva'!D14/1000+IF(+Rounding!$C$131=$B14,+Rounding!D$131,0)+IF(+Rounding!$C$132=$B14,+Rounding!D$132,0)+IF(+Rounding!$C$133=$B14,+Rounding!D$133,0)</f>
        <v>492.51772999999997</v>
      </c>
      <c r="E14" s="775">
        <f>+'Income-2021-leva'!E14/1000+IF(+Rounding!$C$131=$B14,+Rounding!E$131,0)+IF(+Rounding!$C$132=$B14,+Rounding!E$132,0)+IF(+Rounding!$C$133=$B14,+Rounding!E$133,0)</f>
        <v>623.96871999999996</v>
      </c>
      <c r="F14" s="658"/>
      <c r="G14" s="774">
        <f>+'Income-2021-leva'!G14/1000+IF(+Rounding!$G$131=$B14,+Rounding!H$131,0)+IF(+Rounding!$G$132=$B14,+Rounding!H$132,0)+IF(+Rounding!$G$133=$B14,+Rounding!H$133,0)</f>
        <v>0</v>
      </c>
      <c r="H14" s="775">
        <f>+'Income-2021-leva'!H14/1000+IF(+Rounding!$G$131=$B14,+Rounding!I$131,0)+IF(+Rounding!$G$132=$B14,+Rounding!I$132,0)+IF(+Rounding!$G$133=$B14,+Rounding!I$133,0)</f>
        <v>0</v>
      </c>
      <c r="I14" s="658"/>
      <c r="J14" s="774">
        <f>+'Income-2021-leva'!J14/1000+IF(+Rounding!$K$131=$B14,+Rounding!L$131,0)+IF(+Rounding!$K$132=$B14,+Rounding!L$132,0)+IF(+Rounding!$K$133=$B14,+Rounding!L$133,0)</f>
        <v>0</v>
      </c>
      <c r="K14" s="775">
        <f>+'Income-2021-leva'!K14/1000+IF(+Rounding!$K$131=$B14,+Rounding!M$131,0)+IF(+Rounding!$K$132=$B14,+Rounding!M$132,0)+IF(+Rounding!$K$133=$B14,+Rounding!M$133,0)</f>
        <v>0</v>
      </c>
      <c r="L14" s="658"/>
      <c r="M14" s="774">
        <f>++D14+G14+J14+IF(+Rounding!$O$131=$B14,+Rounding!P$131,0)+IF(+Rounding!$O$132=$B14,+Rounding!P$132,0)+IF(+Rounding!$O$133=$B14,+Rounding!P$133,0)</f>
        <v>492.51772999999997</v>
      </c>
      <c r="N14" s="775">
        <f>++E14+H14+K14+IF(+Rounding!$O$131=$B14,+Rounding!Q$131,0)+IF(+Rounding!$O$132=$B14,+Rounding!Q$132,0)+IF(+Rounding!$O$133=$B14,+Rounding!Q$133,0)</f>
        <v>623.96871999999996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87" t="s">
        <v>1108</v>
      </c>
      <c r="B15" s="335">
        <f t="shared" ref="B15:B21" si="0">1+B14</f>
        <v>713</v>
      </c>
      <c r="C15" s="658"/>
      <c r="D15" s="774">
        <f>+'Income-2021-leva'!D15/1000+IF(+Rounding!$C$131=$B15,+Rounding!D$131,0)+IF(+Rounding!$C$132=$B15,+Rounding!D$132,0)+IF(+Rounding!$C$133=$B15,+Rounding!D$133,0)</f>
        <v>20.643750000000001</v>
      </c>
      <c r="E15" s="775">
        <f>+'Income-2021-leva'!E15/1000+IF(+Rounding!$C$131=$B15,+Rounding!E$131,0)+IF(+Rounding!$C$132=$B15,+Rounding!E$132,0)+IF(+Rounding!$C$133=$B15,+Rounding!E$133,0)</f>
        <v>210.98430999999999</v>
      </c>
      <c r="F15" s="658"/>
      <c r="G15" s="774">
        <f>+'Income-2021-leva'!G15/1000+IF(+Rounding!$G$131=$B15,+Rounding!H$131,0)+IF(+Rounding!$G$132=$B15,+Rounding!H$132,0)+IF(+Rounding!$G$133=$B15,+Rounding!H$133,0)</f>
        <v>0</v>
      </c>
      <c r="H15" s="775">
        <f>+'Income-2021-leva'!H15/1000+IF(+Rounding!$G$131=$B15,+Rounding!I$131,0)+IF(+Rounding!$G$132=$B15,+Rounding!I$132,0)+IF(+Rounding!$G$133=$B15,+Rounding!I$133,0)</f>
        <v>0</v>
      </c>
      <c r="I15" s="658"/>
      <c r="J15" s="774">
        <f>+'Income-2021-leva'!J15/1000+IF(+Rounding!$K$131=$B15,+Rounding!L$131,0)+IF(+Rounding!$K$132=$B15,+Rounding!L$132,0)+IF(+Rounding!$K$133=$B15,+Rounding!L$133,0)</f>
        <v>0</v>
      </c>
      <c r="K15" s="775">
        <f>+'Income-2021-leva'!K15/1000+IF(+Rounding!$K$131=$B15,+Rounding!M$131,0)+IF(+Rounding!$K$132=$B15,+Rounding!M$132,0)+IF(+Rounding!$K$133=$B15,+Rounding!M$133,0)</f>
        <v>0</v>
      </c>
      <c r="L15" s="658"/>
      <c r="M15" s="774">
        <f>++D15+G15+J15+IF(+Rounding!$O$131=$B15,+Rounding!P$131,0)+IF(+Rounding!$O$132=$B15,+Rounding!P$132,0)+IF(+Rounding!$O$133=$B15,+Rounding!P$133,0)</f>
        <v>20.643750000000001</v>
      </c>
      <c r="N15" s="775">
        <f>++E15+H15+K15+IF(+Rounding!$O$131=$B15,+Rounding!Q$131,0)+IF(+Rounding!$O$132=$B15,+Rounding!Q$132,0)+IF(+Rounding!$O$133=$B15,+Rounding!Q$133,0)</f>
        <v>210.98430999999999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0"/>
        <v>714</v>
      </c>
      <c r="C16" s="658"/>
      <c r="D16" s="774">
        <f>+'Income-2021-leva'!D16/1000+IF(+Rounding!$C$131=$B16,+Rounding!D$131,0)+IF(+Rounding!$C$132=$B16,+Rounding!D$132,0)+IF(+Rounding!$C$133=$B16,+Rounding!D$133,0)</f>
        <v>7.5999999999999998E-2</v>
      </c>
      <c r="E16" s="775">
        <f>+'Income-2021-leva'!E16/1000+IF(+Rounding!$C$131=$B16,+Rounding!E$131,0)+IF(+Rounding!$C$132=$B16,+Rounding!E$132,0)+IF(+Rounding!$C$133=$B16,+Rounding!E$133,0)</f>
        <v>0.78673000000000004</v>
      </c>
      <c r="F16" s="658"/>
      <c r="G16" s="774">
        <f>+'Income-2021-leva'!G16/1000+IF(+Rounding!$G$131=$B16,+Rounding!H$131,0)+IF(+Rounding!$G$132=$B16,+Rounding!H$132,0)+IF(+Rounding!$G$133=$B16,+Rounding!H$133,0)</f>
        <v>0</v>
      </c>
      <c r="H16" s="775">
        <f>+'Income-2021-leva'!H16/1000+IF(+Rounding!$G$131=$B16,+Rounding!I$131,0)+IF(+Rounding!$G$132=$B16,+Rounding!I$132,0)+IF(+Rounding!$G$133=$B16,+Rounding!I$133,0)</f>
        <v>0</v>
      </c>
      <c r="I16" s="658"/>
      <c r="J16" s="774">
        <f>+'Income-2021-leva'!J16/1000+IF(+Rounding!$K$131=$B16,+Rounding!L$131,0)+IF(+Rounding!$K$132=$B16,+Rounding!L$132,0)+IF(+Rounding!$K$133=$B16,+Rounding!L$133,0)</f>
        <v>0</v>
      </c>
      <c r="K16" s="775">
        <f>+'Income-2021-leva'!K16/1000+IF(+Rounding!$K$131=$B16,+Rounding!M$131,0)+IF(+Rounding!$K$132=$B16,+Rounding!M$132,0)+IF(+Rounding!$K$133=$B16,+Rounding!M$133,0)</f>
        <v>0</v>
      </c>
      <c r="L16" s="658"/>
      <c r="M16" s="774">
        <f>++D16+G16+J16+IF(+Rounding!$O$131=$B16,+Rounding!P$131,0)+IF(+Rounding!$O$132=$B16,+Rounding!P$132,0)+IF(+Rounding!$O$133=$B16,+Rounding!P$133,0)</f>
        <v>7.5999999999999998E-2</v>
      </c>
      <c r="N16" s="775">
        <f>++E16+H16+K16+IF(+Rounding!$O$131=$B16,+Rounding!Q$131,0)+IF(+Rounding!$O$132=$B16,+Rounding!Q$132,0)+IF(+Rounding!$O$133=$B16,+Rounding!Q$133,0)</f>
        <v>0.78673000000000004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0"/>
        <v>715</v>
      </c>
      <c r="C17" s="658"/>
      <c r="D17" s="774">
        <f>+'Income-2021-leva'!D17/1000+IF(+Rounding!$C$131=$B17,+Rounding!D$131,0)+IF(+Rounding!$C$132=$B17,+Rounding!D$132,0)+IF(+Rounding!$C$133=$B17,+Rounding!D$133,0)</f>
        <v>473.01951000000003</v>
      </c>
      <c r="E17" s="775">
        <f>+'Income-2021-leva'!E17/1000+IF(+Rounding!$C$131=$B17,+Rounding!E$131,0)+IF(+Rounding!$C$132=$B17,+Rounding!E$132,0)+IF(+Rounding!$C$133=$B17,+Rounding!E$133,0)</f>
        <v>727.94164000000001</v>
      </c>
      <c r="F17" s="658"/>
      <c r="G17" s="774">
        <f>+'Income-2021-leva'!G17/1000+IF(+Rounding!$G$131=$B17,+Rounding!H$131,0)+IF(+Rounding!$G$132=$B17,+Rounding!H$132,0)+IF(+Rounding!$G$133=$B17,+Rounding!H$133,0)</f>
        <v>0</v>
      </c>
      <c r="H17" s="775">
        <f>+'Income-2021-leva'!H17/1000+IF(+Rounding!$G$131=$B17,+Rounding!I$131,0)+IF(+Rounding!$G$132=$B17,+Rounding!I$132,0)+IF(+Rounding!$G$133=$B17,+Rounding!I$133,0)</f>
        <v>0</v>
      </c>
      <c r="I17" s="658"/>
      <c r="J17" s="774">
        <f>+'Income-2021-leva'!J17/1000+IF(+Rounding!$K$131=$B17,+Rounding!L$131,0)+IF(+Rounding!$K$132=$B17,+Rounding!L$132,0)+IF(+Rounding!$K$133=$B17,+Rounding!L$133,0)</f>
        <v>0</v>
      </c>
      <c r="K17" s="775">
        <f>+'Income-2021-leva'!K17/1000+IF(+Rounding!$K$131=$B17,+Rounding!M$131,0)+IF(+Rounding!$K$132=$B17,+Rounding!M$132,0)+IF(+Rounding!$K$133=$B17,+Rounding!M$133,0)</f>
        <v>0</v>
      </c>
      <c r="L17" s="658"/>
      <c r="M17" s="774">
        <f>++D17+G17+J17+IF(+Rounding!$O$131=$B17,+Rounding!P$131,0)+IF(+Rounding!$O$132=$B17,+Rounding!P$132,0)+IF(+Rounding!$O$133=$B17,+Rounding!P$133,0)</f>
        <v>473.01951000000003</v>
      </c>
      <c r="N17" s="775">
        <f>++E17+H17+K17+IF(+Rounding!$O$131=$B17,+Rounding!Q$131,0)+IF(+Rounding!$O$132=$B17,+Rounding!Q$132,0)+IF(+Rounding!$O$133=$B17,+Rounding!Q$133,0)</f>
        <v>727.94164000000001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0"/>
        <v>716</v>
      </c>
      <c r="C18" s="658"/>
      <c r="D18" s="774">
        <f>+'Income-2021-leva'!D18/1000+IF(+Rounding!$C$131=$B18,+Rounding!D$131,0)+IF(+Rounding!$C$132=$B18,+Rounding!D$132,0)+IF(+Rounding!$C$133=$B18,+Rounding!D$133,0)</f>
        <v>0</v>
      </c>
      <c r="E18" s="775">
        <f>+'Income-2021-leva'!E18/1000+IF(+Rounding!$C$131=$B18,+Rounding!E$131,0)+IF(+Rounding!$C$132=$B18,+Rounding!E$132,0)+IF(+Rounding!$C$133=$B18,+Rounding!E$133,0)</f>
        <v>0</v>
      </c>
      <c r="F18" s="658"/>
      <c r="G18" s="774">
        <f>+'Income-2021-leva'!G18/1000+IF(+Rounding!$G$131=$B18,+Rounding!H$131,0)+IF(+Rounding!$G$132=$B18,+Rounding!H$132,0)+IF(+Rounding!$G$133=$B18,+Rounding!H$133,0)</f>
        <v>0</v>
      </c>
      <c r="H18" s="775">
        <f>+'Income-2021-leva'!H18/1000+IF(+Rounding!$G$131=$B18,+Rounding!I$131,0)+IF(+Rounding!$G$132=$B18,+Rounding!I$132,0)+IF(+Rounding!$G$133=$B18,+Rounding!I$133,0)</f>
        <v>0</v>
      </c>
      <c r="I18" s="658"/>
      <c r="J18" s="774">
        <f>+'Income-2021-leva'!J18/1000+IF(+Rounding!$K$131=$B18,+Rounding!L$131,0)+IF(+Rounding!$K$132=$B18,+Rounding!L$132,0)+IF(+Rounding!$K$133=$B18,+Rounding!L$133,0)</f>
        <v>0</v>
      </c>
      <c r="K18" s="775">
        <f>+'Income-2021-leva'!K18/1000+IF(+Rounding!$K$131=$B18,+Rounding!M$131,0)+IF(+Rounding!$K$132=$B18,+Rounding!M$132,0)+IF(+Rounding!$K$133=$B18,+Rounding!M$133,0)</f>
        <v>0</v>
      </c>
      <c r="L18" s="658"/>
      <c r="M18" s="774">
        <f>++D18+G18+J18+IF(+Rounding!$O$131=$B18,+Rounding!P$131,0)+IF(+Rounding!$O$132=$B18,+Rounding!P$132,0)+IF(+Rounding!$O$133=$B18,+Rounding!P$133,0)</f>
        <v>0</v>
      </c>
      <c r="N18" s="775">
        <f>++E18+H18+K18+IF(+Rounding!$O$131=$B18,+Rounding!Q$131,0)+IF(+Rounding!$O$132=$B18,+Rounding!Q$132,0)+IF(+Rounding!$O$133=$B18,+Rounding!Q$133,0)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0"/>
        <v>717</v>
      </c>
      <c r="C19" s="658"/>
      <c r="D19" s="774">
        <f>+'Income-2021-leva'!D19/1000+IF(+Rounding!$C$131=$B19,+Rounding!D$131,0)+IF(+Rounding!$C$132=$B19,+Rounding!D$132,0)+IF(+Rounding!$C$133=$B19,+Rounding!D$133,0)</f>
        <v>24.091900000000003</v>
      </c>
      <c r="E19" s="775">
        <f>+'Income-2021-leva'!E19/1000+IF(+Rounding!$C$131=$B19,+Rounding!E$131,0)+IF(+Rounding!$C$132=$B19,+Rounding!E$132,0)+IF(+Rounding!$C$133=$B19,+Rounding!E$133,0)</f>
        <v>35.895789999999998</v>
      </c>
      <c r="F19" s="658"/>
      <c r="G19" s="774">
        <f>+'Income-2021-leva'!G19/1000+IF(+Rounding!$G$131=$B19,+Rounding!H$131,0)+IF(+Rounding!$G$132=$B19,+Rounding!H$132,0)+IF(+Rounding!$G$133=$B19,+Rounding!H$133,0)</f>
        <v>1.392E-2</v>
      </c>
      <c r="H19" s="775">
        <f>+'Income-2021-leva'!H19/1000+IF(+Rounding!$G$131=$B19,+Rounding!I$131,0)+IF(+Rounding!$G$132=$B19,+Rounding!I$132,0)+IF(+Rounding!$G$133=$B19,+Rounding!I$133,0)</f>
        <v>2.1940000000000001E-2</v>
      </c>
      <c r="I19" s="658"/>
      <c r="J19" s="774">
        <f>+'Income-2021-leva'!J19/1000+IF(+Rounding!$K$131=$B19,+Rounding!L$131,0)+IF(+Rounding!$K$132=$B19,+Rounding!L$132,0)+IF(+Rounding!$K$133=$B19,+Rounding!L$133,0)</f>
        <v>0</v>
      </c>
      <c r="K19" s="775">
        <f>+'Income-2021-leva'!K19/1000+IF(+Rounding!$K$131=$B19,+Rounding!M$131,0)+IF(+Rounding!$K$132=$B19,+Rounding!M$132,0)+IF(+Rounding!$K$133=$B19,+Rounding!M$133,0)</f>
        <v>0</v>
      </c>
      <c r="L19" s="658"/>
      <c r="M19" s="774">
        <f>++D19+G19+J19+IF(+Rounding!$O$131=$B19,+Rounding!P$131,0)+IF(+Rounding!$O$132=$B19,+Rounding!P$132,0)+IF(+Rounding!$O$133=$B19,+Rounding!P$133,0)</f>
        <v>24.105820000000001</v>
      </c>
      <c r="N19" s="775">
        <f>++E19+H19+K19+IF(+Rounding!$O$131=$B19,+Rounding!Q$131,0)+IF(+Rounding!$O$132=$B19,+Rounding!Q$132,0)+IF(+Rounding!$O$133=$B19,+Rounding!Q$133,0)</f>
        <v>35.917729999999999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0"/>
        <v>718</v>
      </c>
      <c r="C20" s="658"/>
      <c r="D20" s="774">
        <f>+'Income-2021-leva'!D20/1000+IF(+Rounding!$C$131=$B20,+Rounding!D$131,0)+IF(+Rounding!$C$132=$B20,+Rounding!D$132,0)+IF(+Rounding!$C$133=$B20,+Rounding!D$133,0)</f>
        <v>-1.13917</v>
      </c>
      <c r="E20" s="775">
        <f>+'Income-2021-leva'!E20/1000+IF(+Rounding!$C$131=$B20,+Rounding!E$131,0)+IF(+Rounding!$C$132=$B20,+Rounding!E$132,0)+IF(+Rounding!$C$133=$B20,+Rounding!E$133,0)</f>
        <v>105.52903999999999</v>
      </c>
      <c r="F20" s="658"/>
      <c r="G20" s="774">
        <f>+'Income-2021-leva'!G20/1000+IF(+Rounding!$G$131=$B20,+Rounding!H$131,0)+IF(+Rounding!$G$132=$B20,+Rounding!H$132,0)+IF(+Rounding!$G$133=$B20,+Rounding!H$133,0)</f>
        <v>0</v>
      </c>
      <c r="H20" s="775">
        <f>+'Income-2021-leva'!H20/1000+IF(+Rounding!$G$131=$B20,+Rounding!I$131,0)+IF(+Rounding!$G$132=$B20,+Rounding!I$132,0)+IF(+Rounding!$G$133=$B20,+Rounding!I$133,0)</f>
        <v>0</v>
      </c>
      <c r="I20" s="658"/>
      <c r="J20" s="774">
        <f>+'Income-2021-leva'!J20/1000+IF(+Rounding!$K$131=$B20,+Rounding!L$131,0)+IF(+Rounding!$K$132=$B20,+Rounding!L$132,0)+IF(+Rounding!$K$133=$B20,+Rounding!L$133,0)</f>
        <v>0</v>
      </c>
      <c r="K20" s="775">
        <f>+'Income-2021-leva'!K20/1000+IF(+Rounding!$K$131=$B20,+Rounding!M$131,0)+IF(+Rounding!$K$132=$B20,+Rounding!M$132,0)+IF(+Rounding!$K$133=$B20,+Rounding!M$133,0)</f>
        <v>0</v>
      </c>
      <c r="L20" s="658"/>
      <c r="M20" s="774">
        <f>++D20+G20+J20+IF(+Rounding!$O$131=$B20,+Rounding!P$131,0)+IF(+Rounding!$O$132=$B20,+Rounding!P$132,0)+IF(+Rounding!$O$133=$B20,+Rounding!P$133,0)</f>
        <v>-1.13917</v>
      </c>
      <c r="N20" s="775">
        <f>++E20+H20+K20+IF(+Rounding!$O$131=$B20,+Rounding!Q$131,0)+IF(+Rounding!$O$132=$B20,+Rounding!Q$132,0)+IF(+Rounding!$O$133=$B20,+Rounding!Q$133,0)</f>
        <v>105.52903999999999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36" t="s">
        <v>1023</v>
      </c>
      <c r="B21" s="337">
        <f t="shared" si="0"/>
        <v>719</v>
      </c>
      <c r="C21" s="658"/>
      <c r="D21" s="776">
        <f>+'Income-2021-leva'!D21/1000+IF(+Rounding!$C$131=$B21,+Rounding!D$131,0)+IF(+Rounding!$C$132=$B21,+Rounding!D$132,0)+IF(+Rounding!$C$133=$B21,+Rounding!D$133,0)</f>
        <v>1.5940000000000001</v>
      </c>
      <c r="E21" s="777">
        <f>+'Income-2021-leva'!E21/1000+IF(+Rounding!$C$131=$B21,+Rounding!E$131,0)+IF(+Rounding!$C$132=$B21,+Rounding!E$132,0)+IF(+Rounding!$C$133=$B21,+Rounding!E$133,0)</f>
        <v>177.70495000000003</v>
      </c>
      <c r="F21" s="658"/>
      <c r="G21" s="776">
        <f>+'Income-2021-leva'!G21/1000+IF(+Rounding!$G$131=$B21,+Rounding!H$131,0)+IF(+Rounding!$G$132=$B21,+Rounding!H$132,0)+IF(+Rounding!$G$133=$B21,+Rounding!H$133,0)</f>
        <v>0</v>
      </c>
      <c r="H21" s="777">
        <f>+'Income-2021-leva'!H21/1000+IF(+Rounding!$G$131=$B21,+Rounding!I$131,0)+IF(+Rounding!$G$132=$B21,+Rounding!I$132,0)+IF(+Rounding!$G$133=$B21,+Rounding!I$133,0)</f>
        <v>0</v>
      </c>
      <c r="I21" s="658"/>
      <c r="J21" s="776">
        <f>+'Income-2021-leva'!J21/1000+IF(+Rounding!$K$131=$B21,+Rounding!L$131,0)+IF(+Rounding!$K$132=$B21,+Rounding!L$132,0)+IF(+Rounding!$K$133=$B21,+Rounding!L$133,0)</f>
        <v>0</v>
      </c>
      <c r="K21" s="777">
        <f>+'Income-2021-leva'!K21/1000+IF(+Rounding!$K$131=$B21,+Rounding!M$131,0)+IF(+Rounding!$K$132=$B21,+Rounding!M$132,0)+IF(+Rounding!$K$133=$B21,+Rounding!M$133,0)</f>
        <v>0</v>
      </c>
      <c r="L21" s="658"/>
      <c r="M21" s="776">
        <f>++D21+G21+J21+IF(+Rounding!$O$131=$B21,+Rounding!P$131,0)+IF(+Rounding!$O$132=$B21,+Rounding!P$132,0)+IF(+Rounding!$O$133=$B21,+Rounding!P$133,0)</f>
        <v>1.5940000000000001</v>
      </c>
      <c r="N21" s="777">
        <f>++E21+H21+K21+IF(+Rounding!$O$131=$B21,+Rounding!Q$131,0)+IF(+Rounding!$O$132=$B21,+Rounding!Q$132,0)+IF(+Rounding!$O$133=$B21,+Rounding!Q$133,0)</f>
        <v>177.70495000000003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658"/>
      <c r="D22" s="778">
        <f>+SUM(D13:D21)</f>
        <v>1582.6457700000001</v>
      </c>
      <c r="E22" s="779">
        <f>+SUM(E13:E21)</f>
        <v>2519.4356199999997</v>
      </c>
      <c r="F22" s="658"/>
      <c r="G22" s="778">
        <f>+SUM(G13:G21)</f>
        <v>1.392E-2</v>
      </c>
      <c r="H22" s="779">
        <f>+SUM(H13:H21)</f>
        <v>2.1940000000000001E-2</v>
      </c>
      <c r="I22" s="658"/>
      <c r="J22" s="778">
        <f>+SUM(J13:J21)</f>
        <v>0</v>
      </c>
      <c r="K22" s="779">
        <f>+SUM(K13:K21)</f>
        <v>0</v>
      </c>
      <c r="L22" s="658"/>
      <c r="M22" s="778">
        <f>+SUM(M13:M21)</f>
        <v>1582.6596900000002</v>
      </c>
      <c r="N22" s="779">
        <f>+SUM(N13:N21)</f>
        <v>2519.4575599999998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658"/>
      <c r="D23" s="780"/>
      <c r="E23" s="781"/>
      <c r="F23" s="658"/>
      <c r="G23" s="780"/>
      <c r="H23" s="781"/>
      <c r="I23" s="658"/>
      <c r="J23" s="780"/>
      <c r="K23" s="781"/>
      <c r="L23" s="658"/>
      <c r="M23" s="780"/>
      <c r="N23" s="781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658"/>
      <c r="D24" s="774">
        <f>+'Income-2021-leva'!D24/1000+IF(+Rounding!$C$131=$B24,+Rounding!D$131,0)+IF(+Rounding!$C$132=$B24,+Rounding!D$132,0)+IF(+Rounding!$C$133=$B24,+Rounding!D$133,0)</f>
        <v>14.19744</v>
      </c>
      <c r="E24" s="775">
        <f>+'Income-2021-leva'!E24/1000+IF(+Rounding!$C$131=$B24,+Rounding!E$131,0)+IF(+Rounding!$C$132=$B24,+Rounding!E$132,0)+IF(+Rounding!$C$133=$B24,+Rounding!E$133,0)</f>
        <v>22.20262</v>
      </c>
      <c r="F24" s="658"/>
      <c r="G24" s="774">
        <f>+'Income-2021-leva'!G24/1000+IF(+Rounding!$G$131=$B24,+Rounding!H$131,0)+IF(+Rounding!$G$132=$B24,+Rounding!H$132,0)+IF(+Rounding!$G$133=$B24,+Rounding!H$133,0)</f>
        <v>0</v>
      </c>
      <c r="H24" s="775">
        <f>+'Income-2021-leva'!H24/1000+IF(+Rounding!$G$131=$B24,+Rounding!I$131,0)+IF(+Rounding!$G$132=$B24,+Rounding!I$132,0)+IF(+Rounding!$G$133=$B24,+Rounding!I$133,0)</f>
        <v>0</v>
      </c>
      <c r="I24" s="658"/>
      <c r="J24" s="774">
        <f>+'Income-2021-leva'!J24/1000+IF(+Rounding!$K$131=$B24,+Rounding!L$131,0)+IF(+Rounding!$K$132=$B24,+Rounding!L$132,0)+IF(+Rounding!$K$133=$B24,+Rounding!L$133,0)</f>
        <v>0</v>
      </c>
      <c r="K24" s="775">
        <f>+'Income-2021-leva'!K24/1000+IF(+Rounding!$K$131=$B24,+Rounding!M$131,0)+IF(+Rounding!$K$132=$B24,+Rounding!M$132,0)+IF(+Rounding!$K$133=$B24,+Rounding!M$133,0)</f>
        <v>0</v>
      </c>
      <c r="L24" s="658"/>
      <c r="M24" s="774">
        <f>++D24+G24+J24+IF(+Rounding!$O$131=$B24,+Rounding!P$131,0)+IF(+Rounding!$O$132=$B24,+Rounding!P$132,0)+IF(+Rounding!$O$133=$B24,+Rounding!P$133,0)</f>
        <v>14.19744</v>
      </c>
      <c r="N24" s="775">
        <f>++E24+H24+K24+IF(+Rounding!$O$131=$B24,+Rounding!Q$131,0)+IF(+Rounding!$O$132=$B24,+Rounding!Q$132,0)+IF(+Rounding!$O$133=$B24,+Rounding!Q$133,0)</f>
        <v>22.20262</v>
      </c>
      <c r="O24" s="152"/>
      <c r="P24" s="152"/>
      <c r="Q24" s="1897" t="s">
        <v>1873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658"/>
      <c r="D25" s="774">
        <f>+'Income-2021-leva'!D25/1000+IF(+Rounding!$C$131=$B25,+Rounding!D$131,0)+IF(+Rounding!$C$132=$B25,+Rounding!D$132,0)+IF(+Rounding!$C$133=$B25,+Rounding!D$133,0)</f>
        <v>50.2</v>
      </c>
      <c r="E25" s="775">
        <f>+'Income-2021-leva'!E25/1000+IF(+Rounding!$C$131=$B25,+Rounding!E$131,0)+IF(+Rounding!$C$132=$B25,+Rounding!E$132,0)+IF(+Rounding!$C$133=$B25,+Rounding!E$133,0)</f>
        <v>352.28871000000004</v>
      </c>
      <c r="F25" s="658"/>
      <c r="G25" s="774">
        <f>+'Income-2021-leva'!G25/1000+IF(+Rounding!$G$131=$B25,+Rounding!H$131,0)+IF(+Rounding!$G$132=$B25,+Rounding!H$132,0)+IF(+Rounding!$G$133=$B25,+Rounding!H$133,0)</f>
        <v>0</v>
      </c>
      <c r="H25" s="775">
        <f>+'Income-2021-leva'!H25/1000+IF(+Rounding!$G$131=$B25,+Rounding!I$131,0)+IF(+Rounding!$G$132=$B25,+Rounding!I$132,0)+IF(+Rounding!$G$133=$B25,+Rounding!I$133,0)</f>
        <v>0</v>
      </c>
      <c r="I25" s="658"/>
      <c r="J25" s="774">
        <f>+'Income-2021-leva'!J25/1000+IF(+Rounding!$K$131=$B25,+Rounding!L$131,0)+IF(+Rounding!$K$132=$B25,+Rounding!L$132,0)+IF(+Rounding!$K$133=$B25,+Rounding!L$133,0)</f>
        <v>0</v>
      </c>
      <c r="K25" s="775">
        <f>+'Income-2021-leva'!K25/1000+IF(+Rounding!$K$131=$B25,+Rounding!M$131,0)+IF(+Rounding!$K$132=$B25,+Rounding!M$132,0)+IF(+Rounding!$K$133=$B25,+Rounding!M$133,0)</f>
        <v>0</v>
      </c>
      <c r="L25" s="658"/>
      <c r="M25" s="774">
        <f>++D25+G25+J25+IF(+Rounding!$O$131=$B25,+Rounding!P$131,0)+IF(+Rounding!$O$132=$B25,+Rounding!P$132,0)+IF(+Rounding!$O$133=$B25,+Rounding!P$133,0)</f>
        <v>50.2</v>
      </c>
      <c r="N25" s="775">
        <f>++E25+H25+K25+IF(+Rounding!$O$131=$B25,+Rounding!Q$131,0)+IF(+Rounding!$O$132=$B25,+Rounding!Q$132,0)+IF(+Rounding!$O$133=$B25,+Rounding!Q$133,0)</f>
        <v>352.28871000000004</v>
      </c>
      <c r="O25" s="152"/>
      <c r="P25" s="1667" t="s">
        <v>1869</v>
      </c>
      <c r="Q25" s="1895" t="str">
        <f>+'Income-2021-leva'!Q25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658"/>
      <c r="D26" s="776">
        <f>+'Income-2021-leva'!D26/1000+IF(+Rounding!$C$131=$B26,+Rounding!D$131,0)+IF(+Rounding!$C$132=$B26,+Rounding!D$132,0)+IF(+Rounding!$C$133=$B26,+Rounding!D$133,0)</f>
        <v>0</v>
      </c>
      <c r="E26" s="777">
        <f>+'Income-2021-leva'!E26/1000+IF(+Rounding!$C$131=$B26,+Rounding!E$131,0)+IF(+Rounding!$C$132=$B26,+Rounding!E$132,0)+IF(+Rounding!$C$133=$B26,+Rounding!E$133,0)</f>
        <v>0</v>
      </c>
      <c r="F26" s="658"/>
      <c r="G26" s="776">
        <f>+'Income-2021-leva'!G26/1000+IF(+Rounding!$G$131=$B26,+Rounding!H$131,0)+IF(+Rounding!$G$132=$B26,+Rounding!H$132,0)+IF(+Rounding!$G$133=$B26,+Rounding!H$133,0)</f>
        <v>0</v>
      </c>
      <c r="H26" s="777">
        <f>+'Income-2021-leva'!H26/1000+IF(+Rounding!$G$131=$B26,+Rounding!I$131,0)+IF(+Rounding!$G$132=$B26,+Rounding!I$132,0)+IF(+Rounding!$G$133=$B26,+Rounding!I$133,0)</f>
        <v>0</v>
      </c>
      <c r="I26" s="658"/>
      <c r="J26" s="776">
        <f>+'Income-2021-leva'!J26/1000+IF(+Rounding!$K$131=$B26,+Rounding!L$131,0)+IF(+Rounding!$K$132=$B26,+Rounding!L$132,0)+IF(+Rounding!$K$133=$B26,+Rounding!L$133,0)</f>
        <v>0</v>
      </c>
      <c r="K26" s="777">
        <f>+'Income-2021-leva'!K26/1000+IF(+Rounding!$K$131=$B26,+Rounding!M$131,0)+IF(+Rounding!$K$132=$B26,+Rounding!M$132,0)+IF(+Rounding!$K$133=$B26,+Rounding!M$133,0)</f>
        <v>0</v>
      </c>
      <c r="L26" s="658"/>
      <c r="M26" s="776">
        <f>++D26+G26+J26+IF(+Rounding!$O$131=$B26,+Rounding!P$131,0)+IF(+Rounding!$O$132=$B26,+Rounding!P$132,0)+IF(+Rounding!$O$133=$B26,+Rounding!P$133,0)</f>
        <v>0</v>
      </c>
      <c r="N26" s="777">
        <f>++E26+H26+K26+IF(+Rounding!$O$131=$B26,+Rounding!Q$131,0)+IF(+Rounding!$O$132=$B26,+Rounding!Q$132,0)+IF(+Rounding!$O$133=$B26,+Rounding!Q$133,0)</f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658"/>
      <c r="D27" s="778">
        <f>+SUM(D24:D26)</f>
        <v>64.397440000000003</v>
      </c>
      <c r="E27" s="779">
        <f>+SUM(E24:E26)</f>
        <v>374.49133000000006</v>
      </c>
      <c r="F27" s="658"/>
      <c r="G27" s="778">
        <f>+SUM(G24:G26)</f>
        <v>0</v>
      </c>
      <c r="H27" s="779">
        <f>+SUM(H24:H26)</f>
        <v>0</v>
      </c>
      <c r="I27" s="658"/>
      <c r="J27" s="778">
        <f>+SUM(J24:J26)</f>
        <v>0</v>
      </c>
      <c r="K27" s="779">
        <f>+SUM(K24:K26)</f>
        <v>0</v>
      </c>
      <c r="L27" s="658"/>
      <c r="M27" s="778">
        <f>+SUM(M24:M26)</f>
        <v>64.397440000000003</v>
      </c>
      <c r="N27" s="779">
        <f>+SUM(N24:N26)</f>
        <v>374.49133000000006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58"/>
      <c r="D28" s="780"/>
      <c r="E28" s="781"/>
      <c r="F28" s="658"/>
      <c r="G28" s="780"/>
      <c r="H28" s="781"/>
      <c r="I28" s="658"/>
      <c r="J28" s="780"/>
      <c r="K28" s="781"/>
      <c r="L28" s="658"/>
      <c r="M28" s="780"/>
      <c r="N28" s="781"/>
      <c r="O28" s="152"/>
      <c r="P28" s="1901"/>
      <c r="Q28" s="1901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658"/>
      <c r="D29" s="778">
        <f>+'Income-2021-leva'!D29/1000+IF(+Rounding!$C$131=$B29,+Rounding!D$131,0)+IF(+Rounding!$C$132=$B29,+Rounding!D$132,0)+IF(+Rounding!$C$133=$B29,+Rounding!D$133,0)</f>
        <v>-21.007720000000003</v>
      </c>
      <c r="E29" s="779">
        <f>+'Income-2021-leva'!E29/1000+IF(+Rounding!$C$131=$B29,+Rounding!E$131,0)+IF(+Rounding!$C$132=$B29,+Rounding!E$132,0)+IF(+Rounding!$C$133=$B29,+Rounding!E$133,0)</f>
        <v>-0.21199000000000001</v>
      </c>
      <c r="F29" s="658"/>
      <c r="G29" s="778">
        <f>+'Income-2021-leva'!G29/1000+IF(+Rounding!$G$131=$B29,+Rounding!H$131,0)+IF(+Rounding!$G$132=$B29,+Rounding!H$132,0)+IF(+Rounding!$G$133=$B29,+Rounding!H$133,0)</f>
        <v>0</v>
      </c>
      <c r="H29" s="779">
        <f>+'Income-2021-leva'!H29/1000+IF(+Rounding!$G$131=$B29,+Rounding!I$131,0)+IF(+Rounding!$G$132=$B29,+Rounding!I$132,0)+IF(+Rounding!$G$133=$B29,+Rounding!I$133,0)</f>
        <v>0</v>
      </c>
      <c r="I29" s="658"/>
      <c r="J29" s="778">
        <f>+'Income-2021-leva'!J29/1000+IF(+Rounding!$K$131=$B29,+Rounding!L$131,0)+IF(+Rounding!$K$132=$B29,+Rounding!L$132,0)+IF(+Rounding!$K$133=$B29,+Rounding!L$133,0)</f>
        <v>0</v>
      </c>
      <c r="K29" s="779">
        <f>+'Income-2021-leva'!K29/1000+IF(+Rounding!$K$131=$B29,+Rounding!M$131,0)+IF(+Rounding!$K$132=$B29,+Rounding!M$132,0)+IF(+Rounding!$K$133=$B29,+Rounding!M$133,0)</f>
        <v>0</v>
      </c>
      <c r="L29" s="658"/>
      <c r="M29" s="778">
        <f>++D29+G29+J29+IF(+Rounding!$O$131=$B29,+Rounding!P$131,0)+IF(+Rounding!$O$132=$B29,+Rounding!P$132,0)+IF(+Rounding!$O$133=$B29,+Rounding!P$133,0)+P29</f>
        <v>-21.007720000000003</v>
      </c>
      <c r="N29" s="779">
        <f>+E29+H29+K29+IF(+Rounding!$O$131=$B29,+Rounding!Q$131,0)+IF(+Rounding!$O$132=$B29,+Rounding!Q$132,0)+IF(+Rounding!$O$133=$B29,+Rounding!Q$133,0)+Q29</f>
        <v>-0.21199000000000001</v>
      </c>
      <c r="O29" s="152"/>
      <c r="P29" s="1221">
        <f>+'Income-2021-leva'!P29/1000</f>
        <v>0</v>
      </c>
      <c r="Q29" s="2094">
        <f>+'Income-2021-leva'!Q29/1000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88" t="s">
        <v>1863</v>
      </c>
      <c r="B30" s="1889">
        <v>739</v>
      </c>
      <c r="C30" s="658"/>
      <c r="D30" s="1892">
        <f>+'Income-2021-leva'!D30/1000</f>
        <v>-21.007720000000003</v>
      </c>
      <c r="E30" s="1893">
        <f>+'Income-2021-leva'!E30/1000</f>
        <v>-0.21199000000000001</v>
      </c>
      <c r="F30" s="658"/>
      <c r="G30" s="1892">
        <f>+'Income-2021-leva'!G30/1000</f>
        <v>0</v>
      </c>
      <c r="H30" s="1893">
        <f>+'Income-2021-leva'!H30/1000</f>
        <v>0</v>
      </c>
      <c r="I30" s="658"/>
      <c r="J30" s="1892">
        <f>+'Income-2021-leva'!J30/1000</f>
        <v>0</v>
      </c>
      <c r="K30" s="1893">
        <f>+'Income-2021-leva'!K30/1000</f>
        <v>0</v>
      </c>
      <c r="L30" s="658"/>
      <c r="M30" s="1892">
        <f>++D30+G30+J30</f>
        <v>-21.007720000000003</v>
      </c>
      <c r="N30" s="1893">
        <f>+E30+H30+K30</f>
        <v>-0.21199000000000001</v>
      </c>
      <c r="O30" s="152"/>
      <c r="P30" s="2542" t="str">
        <f>+'Income-2021-leva'!P30:Q30</f>
        <v>O K</v>
      </c>
      <c r="Q30" s="254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58"/>
      <c r="D31" s="780"/>
      <c r="E31" s="781"/>
      <c r="F31" s="658"/>
      <c r="G31" s="780"/>
      <c r="H31" s="781"/>
      <c r="I31" s="658"/>
      <c r="J31" s="780"/>
      <c r="K31" s="781"/>
      <c r="L31" s="658"/>
      <c r="M31" s="780"/>
      <c r="N31" s="781"/>
      <c r="O31" s="152"/>
      <c r="P31" s="2598">
        <f>+IF(P30="O K",0,"N o ")</f>
        <v>0</v>
      </c>
      <c r="Q31" s="2598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658"/>
      <c r="D32" s="778">
        <f>+'Income-2021-leva'!D32/1000+IF(+Rounding!$C$131=$B32,+Rounding!D$131,0)+IF(+Rounding!$C$132=$B32,+Rounding!D$132,0)+IF(+Rounding!$C$133=$B32,+Rounding!D$133,0)</f>
        <v>0</v>
      </c>
      <c r="E32" s="779">
        <f>+'Income-2021-leva'!E32/1000+IF(+Rounding!$C$131=$B32,+Rounding!E$131,0)+IF(+Rounding!$C$132=$B32,+Rounding!E$132,0)+IF(+Rounding!$C$133=$B32,+Rounding!E$133,0)</f>
        <v>0</v>
      </c>
      <c r="F32" s="658"/>
      <c r="G32" s="778">
        <f>+'Income-2021-leva'!G32/1000+IF(+Rounding!$G$131=$B32,+Rounding!H$131,0)+IF(+Rounding!$G$132=$B32,+Rounding!H$132,0)+IF(+Rounding!$G$133=$B32,+Rounding!H$133,0)</f>
        <v>0</v>
      </c>
      <c r="H32" s="779">
        <f>+'Income-2021-leva'!H32/1000+IF(+Rounding!$G$131=$B32,+Rounding!I$131,0)+IF(+Rounding!$G$132=$B32,+Rounding!I$132,0)+IF(+Rounding!$G$133=$B32,+Rounding!I$133,0)</f>
        <v>0</v>
      </c>
      <c r="I32" s="658"/>
      <c r="J32" s="778">
        <f>+'Income-2021-leva'!J32/1000+IF(+Rounding!$K$131=$B32,+Rounding!L$131,0)+IF(+Rounding!$K$132=$B32,+Rounding!L$132,0)+IF(+Rounding!$K$133=$B32,+Rounding!L$133,0)</f>
        <v>0</v>
      </c>
      <c r="K32" s="779">
        <f>+'Income-2021-leva'!K32/1000+IF(+Rounding!$K$131=$B32,+Rounding!M$131,0)+IF(+Rounding!$K$132=$B32,+Rounding!M$132,0)+IF(+Rounding!$K$133=$B32,+Rounding!M$133,0)</f>
        <v>0</v>
      </c>
      <c r="L32" s="658"/>
      <c r="M32" s="778">
        <f>++D32+G32+J32+IF(+Rounding!$O$131=$B32,+Rounding!P$131,0)+IF(+Rounding!$O$132=$B32,+Rounding!P$132,0)+IF(+Rounding!$O$133=$B32,+Rounding!P$133,0)</f>
        <v>0</v>
      </c>
      <c r="N32" s="779">
        <f>++E32+H32+K32+IF(+Rounding!$O$131=$B32,+Rounding!Q$131,0)+IF(+Rounding!$O$132=$B32,+Rounding!Q$132,0)+IF(+Rounding!$O$133=$B32,+Rounding!Q$133,0)</f>
        <v>0</v>
      </c>
      <c r="O32" s="152"/>
      <c r="P32" s="2597" t="str">
        <f>+'Income-2021-leva'!P32:Q32</f>
        <v>O K</v>
      </c>
      <c r="Q32" s="2597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658"/>
      <c r="D33" s="780"/>
      <c r="E33" s="781"/>
      <c r="F33" s="658"/>
      <c r="G33" s="780"/>
      <c r="H33" s="781"/>
      <c r="I33" s="658"/>
      <c r="J33" s="780"/>
      <c r="K33" s="781"/>
      <c r="L33" s="658"/>
      <c r="M33" s="780"/>
      <c r="N33" s="781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658"/>
      <c r="D34" s="774">
        <f>+'Income-2021-leva'!D34/1000+IF(+Rounding!$C$131=$B34,+Rounding!D$131,0)+IF(+Rounding!$C$132=$B34,+Rounding!D$132,0)+IF(+Rounding!$C$133=$B34,+Rounding!D$133,0)</f>
        <v>0</v>
      </c>
      <c r="E34" s="775">
        <f>+'Income-2021-leva'!E34/1000+IF(+Rounding!$C$131=$B34,+Rounding!E$131,0)+IF(+Rounding!$C$132=$B34,+Rounding!E$132,0)+IF(+Rounding!$C$133=$B34,+Rounding!E$133,0)</f>
        <v>0</v>
      </c>
      <c r="F34" s="658"/>
      <c r="G34" s="774">
        <f>+'Income-2021-leva'!G34/1000+IF(+Rounding!$G$131=$B34,+Rounding!H$131,0)+IF(+Rounding!$G$132=$B34,+Rounding!H$132,0)+IF(+Rounding!$G$133=$B34,+Rounding!H$133,0)</f>
        <v>2.0087799999999998</v>
      </c>
      <c r="H34" s="775">
        <f>+'Income-2021-leva'!H34/1000+IF(+Rounding!$G$131=$B34,+Rounding!I$131,0)+IF(+Rounding!$G$132=$B34,+Rounding!I$132,0)+IF(+Rounding!$G$133=$B34,+Rounding!I$133,0)</f>
        <v>0</v>
      </c>
      <c r="I34" s="658"/>
      <c r="J34" s="774">
        <f>+'Income-2021-leva'!J34/1000+IF(+Rounding!$K$131=$B34,+Rounding!L$131,0)+IF(+Rounding!$K$132=$B34,+Rounding!L$132,0)+IF(+Rounding!$K$133=$B34,+Rounding!L$133,0)</f>
        <v>0</v>
      </c>
      <c r="K34" s="775">
        <f>+'Income-2021-leva'!K34/1000+IF(+Rounding!$K$131=$B34,+Rounding!M$131,0)+IF(+Rounding!$K$132=$B34,+Rounding!M$132,0)+IF(+Rounding!$K$133=$B34,+Rounding!M$133,0)</f>
        <v>0</v>
      </c>
      <c r="L34" s="658"/>
      <c r="M34" s="774">
        <f>++D34+G34+J34+IF(+Rounding!$O$131=$B34,+Rounding!P$131,0)+IF(+Rounding!$O$132=$B34,+Rounding!P$132,0)+IF(+Rounding!$O$133=$B34,+Rounding!P$133,0)</f>
        <v>2.0087799999999998</v>
      </c>
      <c r="N34" s="775">
        <f>++E34+H34+K34+IF(+Rounding!$O$131=$B34,+Rounding!Q$131,0)+IF(+Rounding!$O$132=$B34,+Rounding!Q$132,0)+IF(+Rounding!$O$133=$B34,+Rounding!Q$133,0)</f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658"/>
      <c r="D35" s="774">
        <f>+'Income-2021-leva'!D35/1000+IF(+Rounding!$C$131=$B35,+Rounding!D$131,0)+IF(+Rounding!$C$132=$B35,+Rounding!D$132,0)+IF(+Rounding!$C$133=$B35,+Rounding!D$133,0)</f>
        <v>0</v>
      </c>
      <c r="E35" s="775">
        <f>+'Income-2021-leva'!E35/1000+IF(+Rounding!$C$131=$B35,+Rounding!E$131,0)+IF(+Rounding!$C$132=$B35,+Rounding!E$132,0)+IF(+Rounding!$C$133=$B35,+Rounding!E$133,0)</f>
        <v>0</v>
      </c>
      <c r="F35" s="658"/>
      <c r="G35" s="774">
        <f>+'Income-2021-leva'!G35/1000+IF(+Rounding!$G$131=$B35,+Rounding!H$131,0)+IF(+Rounding!$G$132=$B35,+Rounding!H$132,0)+IF(+Rounding!$G$133=$B35,+Rounding!H$133,0)</f>
        <v>0</v>
      </c>
      <c r="H35" s="775">
        <f>+'Income-2021-leva'!H35/1000+IF(+Rounding!$G$131=$B35,+Rounding!I$131,0)+IF(+Rounding!$G$132=$B35,+Rounding!I$132,0)+IF(+Rounding!$G$133=$B35,+Rounding!I$133,0)</f>
        <v>0</v>
      </c>
      <c r="I35" s="658"/>
      <c r="J35" s="774">
        <f>+'Income-2021-leva'!J35/1000+IF(+Rounding!$K$131=$B35,+Rounding!L$131,0)+IF(+Rounding!$K$132=$B35,+Rounding!L$132,0)+IF(+Rounding!$K$133=$B35,+Rounding!L$133,0)</f>
        <v>0</v>
      </c>
      <c r="K35" s="775">
        <f>+'Income-2021-leva'!K35/1000+IF(+Rounding!$K$131=$B35,+Rounding!M$131,0)+IF(+Rounding!$K$132=$B35,+Rounding!M$132,0)+IF(+Rounding!$K$133=$B35,+Rounding!M$133,0)</f>
        <v>0</v>
      </c>
      <c r="L35" s="658"/>
      <c r="M35" s="774">
        <f>++D35+G35+J35+IF(+Rounding!$O$131=$B35,+Rounding!P$131,0)+IF(+Rounding!$O$132=$B35,+Rounding!P$132,0)+IF(+Rounding!$O$133=$B35,+Rounding!P$133,0)</f>
        <v>0</v>
      </c>
      <c r="N35" s="775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2092</v>
      </c>
      <c r="B36" s="335">
        <f>1+B35</f>
        <v>753</v>
      </c>
      <c r="C36" s="658"/>
      <c r="D36" s="774">
        <f>+'Income-2021-leva'!D36/1000+IF(+Rounding!$C$131=$B36,+Rounding!D$131,0)+IF(+Rounding!$C$132=$B36,+Rounding!D$132,0)+IF(+Rounding!$C$133=$B36,+Rounding!D$133,0)</f>
        <v>0</v>
      </c>
      <c r="E36" s="775">
        <f>+'Income-2021-leva'!E36/1000+IF(+Rounding!$C$131=$B36,+Rounding!E$131,0)+IF(+Rounding!$C$132=$B36,+Rounding!E$132,0)+IF(+Rounding!$C$133=$B36,+Rounding!E$133,0)</f>
        <v>0</v>
      </c>
      <c r="F36" s="658"/>
      <c r="G36" s="774">
        <f>+'Income-2021-leva'!G36/1000+IF(+Rounding!$G$131=$B36,+Rounding!H$131,0)+IF(+Rounding!$G$132=$B36,+Rounding!H$132,0)+IF(+Rounding!$G$133=$B36,+Rounding!H$133,0)</f>
        <v>0</v>
      </c>
      <c r="H36" s="775">
        <f>+'Income-2021-leva'!H36/1000+IF(+Rounding!$G$131=$B36,+Rounding!I$131,0)+IF(+Rounding!$G$132=$B36,+Rounding!I$132,0)+IF(+Rounding!$G$133=$B36,+Rounding!I$133,0)</f>
        <v>0</v>
      </c>
      <c r="I36" s="658"/>
      <c r="J36" s="774">
        <f>+'Income-2021-leva'!J36/1000+IF(+Rounding!$K$131=$B36,+Rounding!L$131,0)+IF(+Rounding!$K$132=$B36,+Rounding!L$132,0)+IF(+Rounding!$K$133=$B36,+Rounding!L$133,0)</f>
        <v>0</v>
      </c>
      <c r="K36" s="775">
        <f>+'Income-2021-leva'!K36/1000+IF(+Rounding!$K$131=$B36,+Rounding!M$131,0)+IF(+Rounding!$K$132=$B36,+Rounding!M$132,0)+IF(+Rounding!$K$133=$B36,+Rounding!M$133,0)</f>
        <v>0</v>
      </c>
      <c r="L36" s="658"/>
      <c r="M36" s="774">
        <f>++D36+G36+J36+IF(+Rounding!$O$131=$B36,+Rounding!P$131,0)+IF(+Rounding!$O$132=$B36,+Rounding!P$132,0)+IF(+Rounding!$O$133=$B36,+Rounding!P$133,0)</f>
        <v>0</v>
      </c>
      <c r="N36" s="775">
        <f>++E36+H36+K36+IF(+Rounding!$O$131=$B36,+Rounding!Q$131,0)+IF(+Rounding!$O$132=$B36,+Rounding!Q$132,0)+IF(+Rounding!$O$133=$B36,+Rounding!Q$133,0)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658"/>
      <c r="D37" s="776">
        <f>+'Income-2021-leva'!D37/1000+IF(+Rounding!$C$131=$B37,+Rounding!D$131,0)+IF(+Rounding!$C$132=$B37,+Rounding!D$132,0)+IF(+Rounding!$C$133=$B37,+Rounding!D$133,0)</f>
        <v>18.179110000000001</v>
      </c>
      <c r="E37" s="777">
        <f>+'Income-2021-leva'!E37/1000+IF(+Rounding!$C$131=$B37,+Rounding!E$131,0)+IF(+Rounding!$C$132=$B37,+Rounding!E$132,0)+IF(+Rounding!$C$133=$B37,+Rounding!E$133,0)</f>
        <v>21.896259999999998</v>
      </c>
      <c r="F37" s="658"/>
      <c r="G37" s="776">
        <f>+'Income-2021-leva'!G37/1000+IF(+Rounding!$G$131=$B37,+Rounding!H$131,0)+IF(+Rounding!$G$132=$B37,+Rounding!H$132,0)+IF(+Rounding!$G$133=$B37,+Rounding!H$133,0)</f>
        <v>0</v>
      </c>
      <c r="H37" s="777">
        <f>+'Income-2021-leva'!H37/1000+IF(+Rounding!$G$131=$B37,+Rounding!I$131,0)+IF(+Rounding!$G$132=$B37,+Rounding!I$132,0)+IF(+Rounding!$G$133=$B37,+Rounding!I$133,0)</f>
        <v>0</v>
      </c>
      <c r="I37" s="658"/>
      <c r="J37" s="776">
        <f>+'Income-2021-leva'!J37/1000+IF(+Rounding!$K$131=$B37,+Rounding!L$131,0)+IF(+Rounding!$K$132=$B37,+Rounding!L$132,0)+IF(+Rounding!$K$133=$B37,+Rounding!L$133,0)</f>
        <v>0</v>
      </c>
      <c r="K37" s="777">
        <f>+'Income-2021-leva'!K37/1000+IF(+Rounding!$K$131=$B37,+Rounding!M$131,0)+IF(+Rounding!$K$132=$B37,+Rounding!M$132,0)+IF(+Rounding!$K$133=$B37,+Rounding!M$133,0)</f>
        <v>0</v>
      </c>
      <c r="L37" s="658"/>
      <c r="M37" s="776">
        <f>++D37+G37+J37+IF(+Rounding!$O$131=$B37,+Rounding!P$131,0)+IF(+Rounding!$O$132=$B37,+Rounding!P$132,0)+IF(+Rounding!$O$133=$B37,+Rounding!P$133,0)</f>
        <v>18.179110000000001</v>
      </c>
      <c r="N37" s="777">
        <f>++E37+H37+K37+IF(+Rounding!$O$131=$B37,+Rounding!Q$131,0)+IF(+Rounding!$O$132=$B37,+Rounding!Q$132,0)+IF(+Rounding!$O$133=$B37,+Rounding!Q$133,0)</f>
        <v>21.896259999999998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658"/>
      <c r="D38" s="778">
        <f>+SUM(D34:D37)</f>
        <v>18.179110000000001</v>
      </c>
      <c r="E38" s="779">
        <f>+SUM(E34:E37)</f>
        <v>21.896259999999998</v>
      </c>
      <c r="F38" s="658"/>
      <c r="G38" s="778">
        <f>+SUM(G34:G37)</f>
        <v>2.0087799999999998</v>
      </c>
      <c r="H38" s="779">
        <f>+SUM(H34:H37)</f>
        <v>0</v>
      </c>
      <c r="I38" s="658"/>
      <c r="J38" s="778">
        <f>+SUM(J34:J37)</f>
        <v>0</v>
      </c>
      <c r="K38" s="779">
        <f>+SUM(K34:K37)</f>
        <v>0</v>
      </c>
      <c r="L38" s="658"/>
      <c r="M38" s="778">
        <f>+SUM(M34:M37)</f>
        <v>20.187890000000003</v>
      </c>
      <c r="N38" s="779">
        <f>+SUM(N34:N37)</f>
        <v>21.896259999999998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58"/>
      <c r="D39" s="780"/>
      <c r="E39" s="781"/>
      <c r="F39" s="658"/>
      <c r="G39" s="780"/>
      <c r="H39" s="781"/>
      <c r="I39" s="658"/>
      <c r="J39" s="780"/>
      <c r="K39" s="781"/>
      <c r="L39" s="658"/>
      <c r="M39" s="780"/>
      <c r="N39" s="781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658"/>
      <c r="D40" s="782">
        <f>+D22+D27+D29+D32+D38</f>
        <v>1644.2146</v>
      </c>
      <c r="E40" s="783">
        <f>+E22+E27+E29+E32+E38</f>
        <v>2915.6112200000002</v>
      </c>
      <c r="F40" s="658"/>
      <c r="G40" s="782">
        <f>+G22+G27+G29+G32+G38</f>
        <v>2.0226999999999999</v>
      </c>
      <c r="H40" s="783">
        <f>+H22+H27+H29+H32+H38</f>
        <v>2.1940000000000001E-2</v>
      </c>
      <c r="I40" s="658"/>
      <c r="J40" s="782">
        <f>+J22+J27+J29+J32+J38</f>
        <v>0</v>
      </c>
      <c r="K40" s="783">
        <f>+K22+K27+K29+K32+K38</f>
        <v>0</v>
      </c>
      <c r="L40" s="658"/>
      <c r="M40" s="782">
        <f>+M22+M27+M29+M32+M38</f>
        <v>1646.2373</v>
      </c>
      <c r="N40" s="783">
        <f>+N22+N27+N29+N32+N38</f>
        <v>2915.6331599999999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658"/>
      <c r="D41" s="784"/>
      <c r="E41" s="785"/>
      <c r="F41" s="658"/>
      <c r="G41" s="784"/>
      <c r="H41" s="785"/>
      <c r="I41" s="658"/>
      <c r="J41" s="784"/>
      <c r="K41" s="785"/>
      <c r="L41" s="658"/>
      <c r="M41" s="784"/>
      <c r="N41" s="785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658"/>
      <c r="D42" s="780"/>
      <c r="E42" s="781"/>
      <c r="F42" s="658"/>
      <c r="G42" s="780"/>
      <c r="H42" s="781"/>
      <c r="I42" s="658"/>
      <c r="J42" s="780"/>
      <c r="K42" s="781"/>
      <c r="L42" s="658"/>
      <c r="M42" s="780"/>
      <c r="N42" s="78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658"/>
      <c r="D43" s="774">
        <f>+'Income-2021-leva'!D43/1000+IF(+Rounding!$C$131=$B43,+Rounding!D$131,0)+IF(+Rounding!$C$132=$B43,+Rounding!D$132,0)+IF(+Rounding!$C$133=$B43,+Rounding!D$133,0)</f>
        <v>965.44965999999999</v>
      </c>
      <c r="E43" s="775">
        <f>+'Income-2021-leva'!E43/1000+IF(+Rounding!$C$131=$B43,+Rounding!E$131,0)+IF(+Rounding!$C$132=$B43,+Rounding!E$132,0)+IF(+Rounding!$C$133=$B43,+Rounding!E$133,0)</f>
        <v>1341.2610300000001</v>
      </c>
      <c r="F43" s="658"/>
      <c r="G43" s="774">
        <f>+'Income-2021-leva'!G43/1000+IF(+Rounding!$G$131=$B43,+Rounding!H$131,0)+IF(+Rounding!$G$132=$B43,+Rounding!H$132,0)+IF(+Rounding!$G$133=$B43,+Rounding!H$133,0)</f>
        <v>158.62456</v>
      </c>
      <c r="H43" s="775">
        <f>+'Income-2021-leva'!H43/1000+IF(+Rounding!$G$131=$B43,+Rounding!I$131,0)+IF(+Rounding!$G$132=$B43,+Rounding!I$132,0)+IF(+Rounding!$G$133=$B43,+Rounding!I$133,0)</f>
        <v>99.242940000000004</v>
      </c>
      <c r="I43" s="658"/>
      <c r="J43" s="774">
        <f>+'Income-2021-leva'!J43/1000+IF(+Rounding!$K$131=$B43,+Rounding!L$131,0)+IF(+Rounding!$K$132=$B43,+Rounding!L$132,0)+IF(+Rounding!$K$133=$B43,+Rounding!L$133,0)</f>
        <v>0</v>
      </c>
      <c r="K43" s="775">
        <f>+'Income-2021-leva'!K43/1000+IF(+Rounding!$K$131=$B43,+Rounding!M$131,0)+IF(+Rounding!$K$132=$B43,+Rounding!M$132,0)+IF(+Rounding!$K$133=$B43,+Rounding!M$133,0)</f>
        <v>0</v>
      </c>
      <c r="L43" s="658"/>
      <c r="M43" s="774">
        <f>++D43+G43+J43+IF(+Rounding!$O$131=$B43,+Rounding!P$131,0)+IF(+Rounding!$O$132=$B43,+Rounding!P$132,0)+IF(+Rounding!$O$133=$B43,+Rounding!P$133,0)</f>
        <v>1124.07422</v>
      </c>
      <c r="N43" s="775">
        <f>++E43+H43+K43+IF(+Rounding!$O$131=$B43,+Rounding!Q$131,0)+IF(+Rounding!$O$132=$B43,+Rounding!Q$132,0)+IF(+Rounding!$O$133=$B43,+Rounding!Q$133,0)</f>
        <v>1440.5039700000002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658"/>
      <c r="D44" s="774">
        <f>+'Income-2021-leva'!D44/1000+IF(+Rounding!$C$131=$B44,+Rounding!D$131,0)+IF(+Rounding!$C$132=$B44,+Rounding!D$132,0)+IF(+Rounding!$C$133=$B44,+Rounding!D$133,0)</f>
        <v>574.92899</v>
      </c>
      <c r="E44" s="775">
        <f>+'Income-2021-leva'!E44/1000+IF(+Rounding!$C$131=$B44,+Rounding!E$131,0)+IF(+Rounding!$C$132=$B44,+Rounding!E$132,0)+IF(+Rounding!$C$133=$B44,+Rounding!E$133,0)</f>
        <v>878.60136</v>
      </c>
      <c r="F44" s="658"/>
      <c r="G44" s="774">
        <f>+'Income-2021-leva'!G44/1000+IF(+Rounding!$G$131=$B44,+Rounding!H$131,0)+IF(+Rounding!$G$132=$B44,+Rounding!H$132,0)+IF(+Rounding!$G$133=$B44,+Rounding!H$133,0)</f>
        <v>50.056309999999996</v>
      </c>
      <c r="H44" s="775">
        <f>+'Income-2021-leva'!H44/1000+IF(+Rounding!$G$131=$B44,+Rounding!I$131,0)+IF(+Rounding!$G$132=$B44,+Rounding!I$132,0)+IF(+Rounding!$G$133=$B44,+Rounding!I$133,0)</f>
        <v>118.63571</v>
      </c>
      <c r="I44" s="658"/>
      <c r="J44" s="774">
        <f>+'Income-2021-leva'!J44/1000+IF(+Rounding!$K$131=$B44,+Rounding!L$131,0)+IF(+Rounding!$K$132=$B44,+Rounding!L$132,0)+IF(+Rounding!$K$133=$B44,+Rounding!L$133,0)</f>
        <v>0</v>
      </c>
      <c r="K44" s="775">
        <f>+'Income-2021-leva'!K44/1000+IF(+Rounding!$K$131=$B44,+Rounding!M$131,0)+IF(+Rounding!$K$132=$B44,+Rounding!M$132,0)+IF(+Rounding!$K$133=$B44,+Rounding!M$133,0)</f>
        <v>0</v>
      </c>
      <c r="L44" s="658"/>
      <c r="M44" s="774">
        <f>++D44+G44+J44+IF(+Rounding!$O$131=$B44,+Rounding!P$131,0)+IF(+Rounding!$O$132=$B44,+Rounding!P$132,0)+IF(+Rounding!$O$133=$B44,+Rounding!P$133,0)</f>
        <v>624.98530000000005</v>
      </c>
      <c r="N44" s="775">
        <f>++E44+H44+K44+IF(+Rounding!$O$131=$B44,+Rounding!Q$131,0)+IF(+Rounding!$O$132=$B44,+Rounding!Q$132,0)+IF(+Rounding!$O$133=$B44,+Rounding!Q$133,0)</f>
        <v>997.23707000000002</v>
      </c>
      <c r="O44" s="152"/>
      <c r="P44" s="152"/>
      <c r="Q44" s="1897" t="s">
        <v>1873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1">1+B44</f>
        <v>603</v>
      </c>
      <c r="C45" s="658"/>
      <c r="D45" s="774">
        <f>+'Income-2021-leva'!D45/1000+IF(+Rounding!$C$131=$B45,+Rounding!D$131,0)+IF(+Rounding!$C$132=$B45,+Rounding!D$132,0)+IF(+Rounding!$C$133=$B45,+Rounding!D$133,0)</f>
        <v>545.01171999999997</v>
      </c>
      <c r="E45" s="775">
        <f>+'Income-2021-leva'!E45/1000+IF(+Rounding!$C$131=$B45,+Rounding!E$131,0)+IF(+Rounding!$C$132=$B45,+Rounding!E$132,0)+IF(+Rounding!$C$133=$B45,+Rounding!E$133,0)</f>
        <v>704.53318000000002</v>
      </c>
      <c r="F45" s="658"/>
      <c r="G45" s="774">
        <f>+'Income-2021-leva'!G45/1000+IF(+Rounding!$G$131=$B45,+Rounding!H$131,0)+IF(+Rounding!$G$132=$B45,+Rounding!H$132,0)+IF(+Rounding!$G$133=$B45,+Rounding!H$133,0)</f>
        <v>0</v>
      </c>
      <c r="H45" s="775">
        <f>+'Income-2021-leva'!H45/1000+IF(+Rounding!$G$131=$B45,+Rounding!I$131,0)+IF(+Rounding!$G$132=$B45,+Rounding!I$132,0)+IF(+Rounding!$G$133=$B45,+Rounding!I$133,0)</f>
        <v>0</v>
      </c>
      <c r="I45" s="658"/>
      <c r="J45" s="774">
        <f>+'Income-2021-leva'!J45/1000+IF(+Rounding!$K$131=$B45,+Rounding!L$131,0)+IF(+Rounding!$K$132=$B45,+Rounding!L$132,0)+IF(+Rounding!$K$133=$B45,+Rounding!L$133,0)</f>
        <v>1642.8359599999999</v>
      </c>
      <c r="K45" s="775">
        <f>+'Income-2021-leva'!K45/1000+IF(+Rounding!$K$131=$B45,+Rounding!M$131,0)+IF(+Rounding!$K$132=$B45,+Rounding!M$132,0)+IF(+Rounding!$K$133=$B45,+Rounding!M$133,0)</f>
        <v>1683.7336699999998</v>
      </c>
      <c r="L45" s="658"/>
      <c r="M45" s="774">
        <f>++D45+G45+J45+IF(+Rounding!$O$131=$B45,+Rounding!P$131,0)+IF(+Rounding!$O$132=$B45,+Rounding!P$132,0)+IF(+Rounding!$O$133=$B45,+Rounding!P$133,0)</f>
        <v>2187.8476799999999</v>
      </c>
      <c r="N45" s="775">
        <f>++E45+H45+K45+IF(+Rounding!$O$131=$B45,+Rounding!Q$131,0)+IF(+Rounding!$O$132=$B45,+Rounding!Q$132,0)+IF(+Rounding!$O$133=$B45,+Rounding!Q$133,0)</f>
        <v>2388.26685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1"/>
        <v>604</v>
      </c>
      <c r="C46" s="658"/>
      <c r="D46" s="774">
        <f>+'Income-2021-leva'!D46/1000+IF(+Rounding!$C$131=$B46,+Rounding!D$131,0)+IF(+Rounding!$C$132=$B46,+Rounding!D$132,0)+IF(+Rounding!$C$133=$B46,+Rounding!D$133,0)</f>
        <v>4872.8387400000001</v>
      </c>
      <c r="E46" s="775">
        <f>+'Income-2021-leva'!E46/1000+IF(+Rounding!$C$131=$B46,+Rounding!E$131,0)+IF(+Rounding!$C$132=$B46,+Rounding!E$132,0)+IF(+Rounding!$C$133=$B46,+Rounding!E$133,0)</f>
        <v>6228.8636200000001</v>
      </c>
      <c r="F46" s="658"/>
      <c r="G46" s="774">
        <f>+'Income-2021-leva'!G46/1000+IF(+Rounding!$G$131=$B46,+Rounding!H$131,0)+IF(+Rounding!$G$132=$B46,+Rounding!H$132,0)+IF(+Rounding!$G$133=$B46,+Rounding!H$133,0)</f>
        <v>262.98903000000001</v>
      </c>
      <c r="H46" s="775">
        <f>+'Income-2021-leva'!H46/1000+IF(+Rounding!$G$131=$B46,+Rounding!I$131,0)+IF(+Rounding!$G$132=$B46,+Rounding!I$132,0)+IF(+Rounding!$G$133=$B46,+Rounding!I$133,0)</f>
        <v>668.70798000000002</v>
      </c>
      <c r="I46" s="658"/>
      <c r="J46" s="774">
        <f>+'Income-2021-leva'!J46/1000+IF(+Rounding!$K$131=$B46,+Rounding!L$131,0)+IF(+Rounding!$K$132=$B46,+Rounding!L$132,0)+IF(+Rounding!$K$133=$B46,+Rounding!L$133,0)</f>
        <v>0</v>
      </c>
      <c r="K46" s="775">
        <f>+'Income-2021-leva'!K46/1000+IF(+Rounding!$K$131=$B46,+Rounding!M$131,0)+IF(+Rounding!$K$132=$B46,+Rounding!M$132,0)+IF(+Rounding!$K$133=$B46,+Rounding!M$133,0)</f>
        <v>0</v>
      </c>
      <c r="L46" s="658"/>
      <c r="M46" s="774">
        <f>++D46+G46+J46+IF(+Rounding!$O$131=$B46,+Rounding!P$131,0)+IF(+Rounding!$O$132=$B46,+Rounding!P$132,0)+IF(+Rounding!$O$133=$B46,+Rounding!P$133,0)</f>
        <v>5135.8277699999999</v>
      </c>
      <c r="N46" s="775">
        <f>++E46+H46+K46+IF(+Rounding!$O$131=$B46,+Rounding!Q$131,0)+IF(+Rounding!$O$132=$B46,+Rounding!Q$132,0)+IF(+Rounding!$O$133=$B46,+Rounding!Q$133,0)</f>
        <v>6897.5716000000002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1"/>
        <v>605</v>
      </c>
      <c r="C47" s="658"/>
      <c r="D47" s="774">
        <f>+'Income-2021-leva'!D47/1000+IF(+Rounding!$C$131=$B47,+Rounding!D$131,0)+IF(+Rounding!$C$132=$B47,+Rounding!D$132,0)+IF(+Rounding!$C$133=$B47,+Rounding!D$133,0)</f>
        <v>1037.88795</v>
      </c>
      <c r="E47" s="775">
        <f>+'Income-2021-leva'!E47/1000+IF(+Rounding!$C$131=$B47,+Rounding!E$131,0)+IF(+Rounding!$C$132=$B47,+Rounding!E$132,0)+IF(+Rounding!$C$133=$B47,+Rounding!E$133,0)</f>
        <v>1240.08825</v>
      </c>
      <c r="F47" s="658"/>
      <c r="G47" s="774">
        <f>+'Income-2021-leva'!G47/1000+IF(+Rounding!$G$131=$B47,+Rounding!H$131,0)+IF(+Rounding!$G$132=$B47,+Rounding!H$132,0)+IF(+Rounding!$G$133=$B47,+Rounding!H$133,0)</f>
        <v>53.605150000000002</v>
      </c>
      <c r="H47" s="775">
        <f>+'Income-2021-leva'!H47/1000+IF(+Rounding!$G$131=$B47,+Rounding!I$131,0)+IF(+Rounding!$G$132=$B47,+Rounding!I$132,0)+IF(+Rounding!$G$133=$B47,+Rounding!I$133,0)</f>
        <v>134.82830999999999</v>
      </c>
      <c r="I47" s="658"/>
      <c r="J47" s="774">
        <f>+'Income-2021-leva'!J47/1000+IF(+Rounding!$K$131=$B47,+Rounding!L$131,0)+IF(+Rounding!$K$132=$B47,+Rounding!L$132,0)+IF(+Rounding!$K$133=$B47,+Rounding!L$133,0)</f>
        <v>0</v>
      </c>
      <c r="K47" s="775">
        <f>+'Income-2021-leva'!K47/1000+IF(+Rounding!$K$131=$B47,+Rounding!M$131,0)+IF(+Rounding!$K$132=$B47,+Rounding!M$132,0)+IF(+Rounding!$K$133=$B47,+Rounding!M$133,0)</f>
        <v>0</v>
      </c>
      <c r="L47" s="658"/>
      <c r="M47" s="774">
        <f>++D47+G47+J47+IF(+Rounding!$O$131=$B47,+Rounding!P$131,0)+IF(+Rounding!$O$132=$B47,+Rounding!P$132,0)+IF(+Rounding!$O$133=$B47,+Rounding!P$133,0)</f>
        <v>1091.4931000000001</v>
      </c>
      <c r="N47" s="775">
        <f>++E47+H47+K47+IF(+Rounding!$O$131=$B47,+Rounding!Q$131,0)+IF(+Rounding!$O$132=$B47,+Rounding!Q$132,0)+IF(+Rounding!$O$133=$B47,+Rounding!Q$133,0)</f>
        <v>1374.9165600000001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1"/>
        <v>606</v>
      </c>
      <c r="C48" s="658"/>
      <c r="D48" s="774">
        <f>+'Income-2021-leva'!D48/1000+IF(+Rounding!$C$131=$B48,+Rounding!D$131,0)+IF(+Rounding!$C$132=$B48,+Rounding!D$132,0)+IF(+Rounding!$C$133=$B48,+Rounding!D$133,0)</f>
        <v>19.059909999999999</v>
      </c>
      <c r="E48" s="775">
        <f>+'Income-2021-leva'!E48/1000+IF(+Rounding!$C$131=$B48,+Rounding!E$131,0)+IF(+Rounding!$C$132=$B48,+Rounding!E$132,0)+IF(+Rounding!$C$133=$B48,+Rounding!E$133,0)</f>
        <v>33.21875</v>
      </c>
      <c r="F48" s="658"/>
      <c r="G48" s="774">
        <f>+'Income-2021-leva'!G48/1000+IF(+Rounding!$G$131=$B48,+Rounding!H$131,0)+IF(+Rounding!$G$132=$B48,+Rounding!H$132,0)+IF(+Rounding!$G$133=$B48,+Rounding!H$133,0)</f>
        <v>0</v>
      </c>
      <c r="H48" s="775">
        <f>+'Income-2021-leva'!H48/1000+IF(+Rounding!$G$131=$B48,+Rounding!I$131,0)+IF(+Rounding!$G$132=$B48,+Rounding!I$132,0)+IF(+Rounding!$G$133=$B48,+Rounding!I$133,0)</f>
        <v>0</v>
      </c>
      <c r="I48" s="658"/>
      <c r="J48" s="774">
        <f>+'Income-2021-leva'!J48/1000+IF(+Rounding!$K$131=$B48,+Rounding!L$131,0)+IF(+Rounding!$K$132=$B48,+Rounding!L$132,0)+IF(+Rounding!$K$133=$B48,+Rounding!L$133,0)</f>
        <v>0</v>
      </c>
      <c r="K48" s="775">
        <f>+'Income-2021-leva'!K48/1000+IF(+Rounding!$K$131=$B48,+Rounding!M$131,0)+IF(+Rounding!$K$132=$B48,+Rounding!M$132,0)+IF(+Rounding!$K$133=$B48,+Rounding!M$133,0)</f>
        <v>0</v>
      </c>
      <c r="L48" s="658"/>
      <c r="M48" s="774">
        <f>++D48+G48+J48+IF(+Rounding!$O$131=$B48,+Rounding!P$131,0)+IF(+Rounding!$O$132=$B48,+Rounding!P$132,0)+IF(+Rounding!$O$133=$B48,+Rounding!P$133,0)+P48</f>
        <v>19.059909999999999</v>
      </c>
      <c r="N48" s="775">
        <f>+E48+H48+K48+IF(+Rounding!$O$131=$B48,+Rounding!Q$131,0)+IF(+Rounding!$O$132=$B48,+Rounding!Q$132,0)+IF(+Rounding!$O$133=$B48,+Rounding!Q$133,0)+Q48</f>
        <v>33.21875</v>
      </c>
      <c r="O48" s="152"/>
      <c r="P48" s="1220">
        <f>+'Income-2021-leva'!P48/1000</f>
        <v>0</v>
      </c>
      <c r="Q48" s="1682">
        <f>+'Income-2021-leva'!Q48/1000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1"/>
        <v>607</v>
      </c>
      <c r="C49" s="658"/>
      <c r="D49" s="774">
        <f>+'Income-2021-leva'!D49/1000+IF(+Rounding!$C$131=$B49,+Rounding!D$131,0)+IF(+Rounding!$C$132=$B49,+Rounding!D$132,0)+IF(+Rounding!$C$133=$B49,+Rounding!D$133,0)</f>
        <v>10.35014</v>
      </c>
      <c r="E49" s="775">
        <f>+'Income-2021-leva'!E49/1000+IF(+Rounding!$C$131=$B49,+Rounding!E$131,0)+IF(+Rounding!$C$132=$B49,+Rounding!E$132,0)+IF(+Rounding!$C$133=$B49,+Rounding!E$133,0)</f>
        <v>13.886839999999999</v>
      </c>
      <c r="F49" s="658"/>
      <c r="G49" s="774">
        <f>+'Income-2021-leva'!G49/1000+IF(+Rounding!$G$131=$B49,+Rounding!H$131,0)+IF(+Rounding!$G$132=$B49,+Rounding!H$132,0)+IF(+Rounding!$G$133=$B49,+Rounding!H$133,0)</f>
        <v>4.02658</v>
      </c>
      <c r="H49" s="775">
        <f>+'Income-2021-leva'!H49/1000+IF(+Rounding!$G$131=$B49,+Rounding!I$131,0)+IF(+Rounding!$G$132=$B49,+Rounding!I$132,0)+IF(+Rounding!$G$133=$B49,+Rounding!I$133,0)</f>
        <v>3.4626000000000001</v>
      </c>
      <c r="I49" s="658"/>
      <c r="J49" s="774">
        <f>+'Income-2021-leva'!J49/1000+IF(+Rounding!$K$131=$B49,+Rounding!L$131,0)+IF(+Rounding!$K$132=$B49,+Rounding!L$132,0)+IF(+Rounding!$K$133=$B49,+Rounding!L$133,0)</f>
        <v>0</v>
      </c>
      <c r="K49" s="775">
        <f>+'Income-2021-leva'!K49/1000+IF(+Rounding!$K$131=$B49,+Rounding!M$131,0)+IF(+Rounding!$K$132=$B49,+Rounding!M$132,0)+IF(+Rounding!$K$133=$B49,+Rounding!M$133,0)</f>
        <v>0</v>
      </c>
      <c r="L49" s="658"/>
      <c r="M49" s="774">
        <f>++D49+G49+J49+IF(+Rounding!$O$131=$B49,+Rounding!P$131,0)+IF(+Rounding!$O$132=$B49,+Rounding!P$132,0)+IF(+Rounding!$O$133=$B49,+Rounding!P$133,0)</f>
        <v>14.376719999999999</v>
      </c>
      <c r="N49" s="775">
        <f>++E49+H49+K49+IF(+Rounding!$O$131=$B49,+Rounding!Q$131,0)+IF(+Rounding!$O$132=$B49,+Rounding!Q$132,0)+IF(+Rounding!$O$133=$B49,+Rounding!Q$133,0)</f>
        <v>17.349440000000001</v>
      </c>
      <c r="O49" s="152"/>
      <c r="P49" s="1683"/>
      <c r="Q49" s="1684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1"/>
        <v>608</v>
      </c>
      <c r="C50" s="658"/>
      <c r="D50" s="774">
        <f>+'Income-2021-leva'!D50/1000+IF(+Rounding!$C$131=$B50,+Rounding!D$131,0)+IF(+Rounding!$C$132=$B50,+Rounding!D$132,0)+IF(+Rounding!$C$133=$B50,+Rounding!D$133,0)</f>
        <v>21.981950000000001</v>
      </c>
      <c r="E50" s="775">
        <f>+'Income-2021-leva'!E50/1000+IF(+Rounding!$C$131=$B50,+Rounding!E$131,0)+IF(+Rounding!$C$132=$B50,+Rounding!E$132,0)+IF(+Rounding!$C$133=$B50,+Rounding!E$133,0)</f>
        <v>76.603560000000002</v>
      </c>
      <c r="F50" s="658"/>
      <c r="G50" s="774">
        <f>+'Income-2021-leva'!G50/1000+IF(+Rounding!$G$131=$B50,+Rounding!H$131,0)+IF(+Rounding!$G$132=$B50,+Rounding!H$132,0)+IF(+Rounding!$G$133=$B50,+Rounding!H$133,0)</f>
        <v>6.1439999999999995E-2</v>
      </c>
      <c r="H50" s="775">
        <f>+'Income-2021-leva'!H50/1000+IF(+Rounding!$G$131=$B50,+Rounding!I$131,0)+IF(+Rounding!$G$132=$B50,+Rounding!I$132,0)+IF(+Rounding!$G$133=$B50,+Rounding!I$133,0)</f>
        <v>0</v>
      </c>
      <c r="I50" s="658"/>
      <c r="J50" s="774">
        <f>+'Income-2021-leva'!J50/1000+IF(+Rounding!$K$131=$B50,+Rounding!L$131,0)+IF(+Rounding!$K$132=$B50,+Rounding!L$132,0)+IF(+Rounding!$K$133=$B50,+Rounding!L$133,0)</f>
        <v>0</v>
      </c>
      <c r="K50" s="775">
        <f>+'Income-2021-leva'!K50/1000+IF(+Rounding!$K$131=$B50,+Rounding!M$131,0)+IF(+Rounding!$K$132=$B50,+Rounding!M$132,0)+IF(+Rounding!$K$133=$B50,+Rounding!M$133,0)</f>
        <v>0</v>
      </c>
      <c r="L50" s="658"/>
      <c r="M50" s="774">
        <f>++D50+G50+J50+IF(+Rounding!$O$131=$B50,+Rounding!P$131,0)+IF(+Rounding!$O$132=$B50,+Rounding!P$132,0)+IF(+Rounding!$O$133=$B50,+Rounding!P$133,0)</f>
        <v>22.043390000000002</v>
      </c>
      <c r="N50" s="775">
        <f>++E50+H50+K50+IF(+Rounding!$O$131=$B50,+Rounding!Q$131,0)+IF(+Rounding!$O$132=$B50,+Rounding!Q$132,0)+IF(+Rounding!$O$133=$B50,+Rounding!Q$133,0)</f>
        <v>76.603560000000002</v>
      </c>
      <c r="O50" s="152"/>
      <c r="P50" s="1683"/>
      <c r="Q50" s="1684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34" t="s">
        <v>1867</v>
      </c>
      <c r="B51" s="335">
        <f>1+B50</f>
        <v>609</v>
      </c>
      <c r="C51" s="658"/>
      <c r="D51" s="774">
        <f>+'Income-2021-leva'!D51/1000+IF(+Rounding!$C$131=$B51,+Rounding!D$131,0)+IF(+Rounding!$C$132=$B51,+Rounding!D$132,0)+IF(+Rounding!$C$133=$B51,+Rounding!D$133,0)</f>
        <v>146.57451</v>
      </c>
      <c r="E51" s="775">
        <f>+'Income-2021-leva'!E51/1000+IF(+Rounding!$C$131=$B51,+Rounding!E$131,0)+IF(+Rounding!$C$132=$B51,+Rounding!E$132,0)+IF(+Rounding!$C$133=$B51,+Rounding!E$133,0)</f>
        <v>197.40957</v>
      </c>
      <c r="F51" s="658"/>
      <c r="G51" s="774">
        <f>+'Income-2021-leva'!G51/1000+IF(+Rounding!$G$131=$B51,+Rounding!H$131,0)+IF(+Rounding!$G$132=$B51,+Rounding!H$132,0)+IF(+Rounding!$G$133=$B51,+Rounding!H$133,0)</f>
        <v>0.21475</v>
      </c>
      <c r="H51" s="775">
        <f>+'Income-2021-leva'!H51/1000+IF(+Rounding!$G$131=$B51,+Rounding!I$131,0)+IF(+Rounding!$G$132=$B51,+Rounding!I$132,0)+IF(+Rounding!$G$133=$B51,+Rounding!I$133,0)</f>
        <v>0</v>
      </c>
      <c r="I51" s="658"/>
      <c r="J51" s="774">
        <f>+'Income-2021-leva'!J51/1000+IF(+Rounding!$K$131=$B51,+Rounding!L$131,0)+IF(+Rounding!$K$132=$B51,+Rounding!L$132,0)+IF(+Rounding!$K$133=$B51,+Rounding!L$133,0)</f>
        <v>0</v>
      </c>
      <c r="K51" s="775">
        <f>+'Income-2021-leva'!K51/1000+IF(+Rounding!$K$131=$B51,+Rounding!M$131,0)+IF(+Rounding!$K$132=$B51,+Rounding!M$132,0)+IF(+Rounding!$K$133=$B51,+Rounding!M$133,0)</f>
        <v>0</v>
      </c>
      <c r="L51" s="658"/>
      <c r="M51" s="774">
        <f>++D51+G51+J51+IF(+Rounding!$O$131=$B51,+Rounding!P$131,0)+IF(+Rounding!$O$132=$B51,+Rounding!P$132,0)+IF(+Rounding!$O$133=$B51,+Rounding!P$133,0)</f>
        <v>146.78926000000001</v>
      </c>
      <c r="N51" s="775">
        <f>++E51+H51+K51+IF(+Rounding!$O$131=$B51,+Rounding!Q$131,0)+IF(+Rounding!$O$132=$B51,+Rounding!Q$132,0)+IF(+Rounding!$O$133=$B51,+Rounding!Q$133,0)</f>
        <v>197.40957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658"/>
      <c r="D52" s="776">
        <f>+'Income-2021-leva'!D52/1000+IF(+Rounding!$C$131=$B52,+Rounding!D$131,0)+IF(+Rounding!$C$132=$B52,+Rounding!D$132,0)+IF(+Rounding!$C$133=$B52,+Rounding!D$133,0)</f>
        <v>0</v>
      </c>
      <c r="E52" s="777">
        <f>+'Income-2021-leva'!E52/1000+IF(+Rounding!$C$131=$B52,+Rounding!E$131,0)+IF(+Rounding!$C$132=$B52,+Rounding!E$132,0)+IF(+Rounding!$C$133=$B52,+Rounding!E$133,0)</f>
        <v>-208.96715</v>
      </c>
      <c r="F52" s="658"/>
      <c r="G52" s="776">
        <f>+'Income-2021-leva'!G52/1000+IF(+Rounding!$G$131=$B52,+Rounding!H$131,0)+IF(+Rounding!$G$132=$B52,+Rounding!H$132,0)+IF(+Rounding!$G$133=$B52,+Rounding!H$133,0)</f>
        <v>0</v>
      </c>
      <c r="H52" s="777">
        <f>+'Income-2021-leva'!H52/1000+IF(+Rounding!$G$131=$B52,+Rounding!I$131,0)+IF(+Rounding!$G$132=$B52,+Rounding!I$132,0)+IF(+Rounding!$G$133=$B52,+Rounding!I$133,0)</f>
        <v>0</v>
      </c>
      <c r="I52" s="658"/>
      <c r="J52" s="776">
        <f>+'Income-2021-leva'!J52/1000+IF(+Rounding!$K$131=$B52,+Rounding!L$131,0)+IF(+Rounding!$K$132=$B52,+Rounding!L$132,0)+IF(+Rounding!$K$133=$B52,+Rounding!L$133,0)</f>
        <v>0</v>
      </c>
      <c r="K52" s="777">
        <f>+'Income-2021-leva'!K52/1000+IF(+Rounding!$K$131=$B52,+Rounding!M$131,0)+IF(+Rounding!$K$132=$B52,+Rounding!M$132,0)+IF(+Rounding!$K$133=$B52,+Rounding!M$133,0)</f>
        <v>0</v>
      </c>
      <c r="L52" s="658"/>
      <c r="M52" s="776">
        <f>++D52+G52+J52+IF(+Rounding!$O$131=$B52,+Rounding!P$131,0)+IF(+Rounding!$O$132=$B52,+Rounding!P$132,0)+IF(+Rounding!$O$133=$B52,+Rounding!P$133,0)</f>
        <v>0</v>
      </c>
      <c r="N52" s="777">
        <f>++E52+H52+K52+IF(+Rounding!$O$131=$B52,+Rounding!Q$131,0)+IF(+Rounding!$O$132=$B52,+Rounding!Q$132,0)+IF(+Rounding!$O$133=$B52,+Rounding!Q$133,0)</f>
        <v>-208.96715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658"/>
      <c r="D53" s="786">
        <f>+SUM(D43:D52)</f>
        <v>8194.0835700000007</v>
      </c>
      <c r="E53" s="787">
        <f>+SUM(E43:E52)</f>
        <v>10505.49901</v>
      </c>
      <c r="F53" s="658"/>
      <c r="G53" s="786">
        <f>+SUM(G43:G52)</f>
        <v>529.57781999999986</v>
      </c>
      <c r="H53" s="787">
        <f>+SUM(H43:H52)</f>
        <v>1024.87754</v>
      </c>
      <c r="I53" s="658"/>
      <c r="J53" s="786">
        <f>+SUM(J43:J52)</f>
        <v>1642.8359599999999</v>
      </c>
      <c r="K53" s="787">
        <f>+SUM(K43:K52)</f>
        <v>1683.7336699999998</v>
      </c>
      <c r="L53" s="658"/>
      <c r="M53" s="786">
        <f>+SUM(M43:M52)</f>
        <v>10366.49735</v>
      </c>
      <c r="N53" s="787">
        <f>+SUM(N43:N52)</f>
        <v>13214.110219999999</v>
      </c>
      <c r="O53" s="152"/>
      <c r="P53" s="1681">
        <f>+SUM(P48:P51)</f>
        <v>0</v>
      </c>
      <c r="Q53" s="1681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2173</v>
      </c>
      <c r="B54" s="173"/>
      <c r="C54" s="658"/>
      <c r="D54" s="780"/>
      <c r="E54" s="781"/>
      <c r="F54" s="658"/>
      <c r="G54" s="780"/>
      <c r="H54" s="781"/>
      <c r="I54" s="658"/>
      <c r="J54" s="780"/>
      <c r="K54" s="781"/>
      <c r="L54" s="658"/>
      <c r="M54" s="780"/>
      <c r="N54" s="781"/>
      <c r="O54" s="152"/>
      <c r="P54" s="2542" t="str">
        <f>+'Income-2021-leva'!P54:Q54</f>
        <v>O K</v>
      </c>
      <c r="Q54" s="254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658"/>
      <c r="D55" s="774">
        <f>+'Income-2021-leva'!D55/1000+IF(+Rounding!$C$131=$B55,+Rounding!D$131,0)+IF(+Rounding!$C$132=$B55,+Rounding!D$132,0)+IF(+Rounding!$C$133=$B55,+Rounding!D$133,0)</f>
        <v>12.95182</v>
      </c>
      <c r="E55" s="775">
        <f>+'Income-2021-leva'!E55/1000+IF(+Rounding!$C$131=$B55,+Rounding!E$131,0)+IF(+Rounding!$C$132=$B55,+Rounding!E$132,0)+IF(+Rounding!$C$133=$B55,+Rounding!E$133,0)</f>
        <v>13.844049999999999</v>
      </c>
      <c r="F55" s="658"/>
      <c r="G55" s="774">
        <f>+'Income-2021-leva'!G55/1000+IF(+Rounding!$G$131=$B55,+Rounding!H$131,0)+IF(+Rounding!$G$132=$B55,+Rounding!H$132,0)+IF(+Rounding!$G$133=$B55,+Rounding!H$133,0)</f>
        <v>0</v>
      </c>
      <c r="H55" s="775">
        <f>+'Income-2021-leva'!H55/1000+IF(+Rounding!$G$131=$B55,+Rounding!I$131,0)+IF(+Rounding!$G$132=$B55,+Rounding!I$132,0)+IF(+Rounding!$G$133=$B55,+Rounding!I$133,0)</f>
        <v>0</v>
      </c>
      <c r="I55" s="658"/>
      <c r="J55" s="774">
        <f>+'Income-2021-leva'!J55/1000+IF(+Rounding!$K$131=$B55,+Rounding!L$131,0)+IF(+Rounding!$K$132=$B55,+Rounding!L$132,0)+IF(+Rounding!$K$133=$B55,+Rounding!L$133,0)</f>
        <v>0</v>
      </c>
      <c r="K55" s="775">
        <f>+'Income-2021-leva'!K55/1000+IF(+Rounding!$K$131=$B55,+Rounding!M$131,0)+IF(+Rounding!$K$132=$B55,+Rounding!M$132,0)+IF(+Rounding!$K$133=$B55,+Rounding!M$133,0)</f>
        <v>0</v>
      </c>
      <c r="L55" s="658"/>
      <c r="M55" s="774">
        <f>++D55+G55+J55+IF(+Rounding!$O$131=$B55,+Rounding!P$131,0)+IF(+Rounding!$O$132=$B55,+Rounding!P$132,0)+IF(+Rounding!$O$133=$B55,+Rounding!P$133,0)</f>
        <v>12.95182</v>
      </c>
      <c r="N55" s="775">
        <f>++E55+H55+K55+IF(+Rounding!$O$131=$B55,+Rounding!Q$131,0)+IF(+Rounding!$O$132=$B55,+Rounding!Q$132,0)+IF(+Rounding!$O$133=$B55,+Rounding!Q$133,0)</f>
        <v>13.844049999999999</v>
      </c>
      <c r="O55" s="152"/>
      <c r="P55" s="2597" t="str">
        <f>+'Income-2021-leva'!P55:Q55</f>
        <v>O K</v>
      </c>
      <c r="Q55" s="2597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658"/>
      <c r="D56" s="774">
        <f>+'Income-2021-leva'!D56/1000+IF(+Rounding!$C$131=$B56,+Rounding!D$131,0)+IF(+Rounding!$C$132=$B56,+Rounding!D$132,0)+IF(+Rounding!$C$133=$B56,+Rounding!D$133,0)</f>
        <v>0</v>
      </c>
      <c r="E56" s="775">
        <f>+'Income-2021-leva'!E56/1000+IF(+Rounding!$C$131=$B56,+Rounding!E$131,0)+IF(+Rounding!$C$132=$B56,+Rounding!E$132,0)+IF(+Rounding!$C$133=$B56,+Rounding!E$133,0)</f>
        <v>155.91479999999999</v>
      </c>
      <c r="F56" s="658"/>
      <c r="G56" s="774">
        <f>+'Income-2021-leva'!G56/1000+IF(+Rounding!$G$131=$B56,+Rounding!H$131,0)+IF(+Rounding!$G$132=$B56,+Rounding!H$132,0)+IF(+Rounding!$G$133=$B56,+Rounding!H$133,0)</f>
        <v>0</v>
      </c>
      <c r="H56" s="775">
        <f>+'Income-2021-leva'!H56/1000+IF(+Rounding!$G$131=$B56,+Rounding!I$131,0)+IF(+Rounding!$G$132=$B56,+Rounding!I$132,0)+IF(+Rounding!$G$133=$B56,+Rounding!I$133,0)</f>
        <v>0</v>
      </c>
      <c r="I56" s="658"/>
      <c r="J56" s="774">
        <f>+'Income-2021-leva'!J56/1000+IF(+Rounding!$K$131=$B56,+Rounding!L$131,0)+IF(+Rounding!$K$132=$B56,+Rounding!L$132,0)+IF(+Rounding!$K$133=$B56,+Rounding!L$133,0)</f>
        <v>0</v>
      </c>
      <c r="K56" s="775">
        <f>+'Income-2021-leva'!K56/1000+IF(+Rounding!$K$131=$B56,+Rounding!M$131,0)+IF(+Rounding!$K$132=$B56,+Rounding!M$132,0)+IF(+Rounding!$K$133=$B56,+Rounding!M$133,0)</f>
        <v>0</v>
      </c>
      <c r="L56" s="658"/>
      <c r="M56" s="774">
        <f>++D56+G56+J56+IF(+Rounding!$O$131=$B56,+Rounding!P$131,0)+IF(+Rounding!$O$132=$B56,+Rounding!P$132,0)+IF(+Rounding!$O$133=$B56,+Rounding!P$133,0)</f>
        <v>0</v>
      </c>
      <c r="N56" s="775">
        <f>++E56+H56+K56+IF(+Rounding!$O$131=$B56,+Rounding!Q$131,0)+IF(+Rounding!$O$132=$B56,+Rounding!Q$132,0)+IF(+Rounding!$O$133=$B56,+Rounding!Q$133,0)</f>
        <v>155.91479999999999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658"/>
      <c r="D57" s="776">
        <f>+'Income-2021-leva'!D57/1000+IF(+Rounding!$C$131=$B57,+Rounding!D$131,0)+IF(+Rounding!$C$132=$B57,+Rounding!D$132,0)+IF(+Rounding!$C$133=$B57,+Rounding!D$133,0)</f>
        <v>0</v>
      </c>
      <c r="E57" s="777">
        <f>+'Income-2021-leva'!E57/1000+IF(+Rounding!$C$131=$B57,+Rounding!E$131,0)+IF(+Rounding!$C$132=$B57,+Rounding!E$132,0)+IF(+Rounding!$C$133=$B57,+Rounding!E$133,0)</f>
        <v>0</v>
      </c>
      <c r="F57" s="658"/>
      <c r="G57" s="776">
        <f>+'Income-2021-leva'!G57/1000+IF(+Rounding!$G$131=$B57,+Rounding!H$131,0)+IF(+Rounding!$G$132=$B57,+Rounding!H$132,0)+IF(+Rounding!$G$133=$B57,+Rounding!H$133,0)</f>
        <v>0</v>
      </c>
      <c r="H57" s="777">
        <f>+'Income-2021-leva'!H57/1000+IF(+Rounding!$G$131=$B57,+Rounding!I$131,0)+IF(+Rounding!$G$132=$B57,+Rounding!I$132,0)+IF(+Rounding!$G$133=$B57,+Rounding!I$133,0)</f>
        <v>0</v>
      </c>
      <c r="I57" s="658"/>
      <c r="J57" s="776">
        <f>+'Income-2021-leva'!J57/1000+IF(+Rounding!$K$131=$B57,+Rounding!L$131,0)+IF(+Rounding!$K$132=$B57,+Rounding!L$132,0)+IF(+Rounding!$K$133=$B57,+Rounding!L$133,0)</f>
        <v>0</v>
      </c>
      <c r="K57" s="777">
        <f>+'Income-2021-leva'!K57/1000+IF(+Rounding!$K$131=$B57,+Rounding!M$131,0)+IF(+Rounding!$K$132=$B57,+Rounding!M$132,0)+IF(+Rounding!$K$133=$B57,+Rounding!M$133,0)</f>
        <v>0</v>
      </c>
      <c r="L57" s="658"/>
      <c r="M57" s="776">
        <f>++D57+G57+J57+IF(+Rounding!$O$131=$B57,+Rounding!P$131,0)+IF(+Rounding!$O$132=$B57,+Rounding!P$132,0)+IF(+Rounding!$O$133=$B57,+Rounding!P$133,0)</f>
        <v>0</v>
      </c>
      <c r="N57" s="777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658"/>
      <c r="D58" s="786">
        <f>+SUM(D55:D57)</f>
        <v>12.95182</v>
      </c>
      <c r="E58" s="787">
        <f>+SUM(E55:E57)</f>
        <v>169.75885</v>
      </c>
      <c r="F58" s="658"/>
      <c r="G58" s="786">
        <f>+SUM(G55:G57)</f>
        <v>0</v>
      </c>
      <c r="H58" s="787">
        <f>+SUM(H55:H57)</f>
        <v>0</v>
      </c>
      <c r="I58" s="658"/>
      <c r="J58" s="786">
        <f>+SUM(J55:J57)</f>
        <v>0</v>
      </c>
      <c r="K58" s="787">
        <f>+SUM(K55:K57)</f>
        <v>0</v>
      </c>
      <c r="L58" s="658"/>
      <c r="M58" s="786">
        <f>+SUM(M55:M57)</f>
        <v>12.95182</v>
      </c>
      <c r="N58" s="787">
        <f>+SUM(N55:N57)</f>
        <v>169.75885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658"/>
      <c r="D59" s="780"/>
      <c r="E59" s="781"/>
      <c r="F59" s="658"/>
      <c r="G59" s="780"/>
      <c r="H59" s="781"/>
      <c r="I59" s="658"/>
      <c r="J59" s="780"/>
      <c r="K59" s="781"/>
      <c r="L59" s="658"/>
      <c r="M59" s="780"/>
      <c r="N59" s="781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658"/>
      <c r="D60" s="774">
        <f>+'Income-2021-leva'!D60/1000+IF(+Rounding!$C$131=$B60,+Rounding!D$131,0)+IF(+Rounding!$C$132=$B60,+Rounding!D$132,0)+IF(+Rounding!$C$133=$B60,+Rounding!D$133,0)</f>
        <v>0</v>
      </c>
      <c r="E60" s="775">
        <f>+'Income-2021-leva'!E60/1000+IF(+Rounding!$C$131=$B60,+Rounding!E$131,0)+IF(+Rounding!$C$132=$B60,+Rounding!E$132,0)+IF(+Rounding!$C$133=$B60,+Rounding!E$133,0)</f>
        <v>0</v>
      </c>
      <c r="F60" s="658"/>
      <c r="G60" s="774">
        <f>+'Income-2021-leva'!G60/1000+IF(+Rounding!$G$131=$B60,+Rounding!H$131,0)+IF(+Rounding!$G$132=$B60,+Rounding!H$132,0)+IF(+Rounding!$G$133=$B60,+Rounding!H$133,0)</f>
        <v>0</v>
      </c>
      <c r="H60" s="775">
        <f>+'Income-2021-leva'!H60/1000+IF(+Rounding!$G$131=$B60,+Rounding!I$131,0)+IF(+Rounding!$G$132=$B60,+Rounding!I$132,0)+IF(+Rounding!$G$133=$B60,+Rounding!I$133,0)</f>
        <v>0</v>
      </c>
      <c r="I60" s="658"/>
      <c r="J60" s="774">
        <f>+'Income-2021-leva'!J60/1000+IF(+Rounding!$K$131=$B60,+Rounding!L$131,0)+IF(+Rounding!$K$132=$B60,+Rounding!L$132,0)+IF(+Rounding!$K$133=$B60,+Rounding!L$133,0)</f>
        <v>0</v>
      </c>
      <c r="K60" s="775">
        <f>+'Income-2021-leva'!K60/1000+IF(+Rounding!$K$131=$B60,+Rounding!M$131,0)+IF(+Rounding!$K$132=$B60,+Rounding!M$132,0)+IF(+Rounding!$K$133=$B60,+Rounding!M$133,0)</f>
        <v>0</v>
      </c>
      <c r="L60" s="658"/>
      <c r="M60" s="774">
        <f>++D60+G60+J60+IF(+Rounding!$O$131=$B60,+Rounding!P$131,0)+IF(+Rounding!$O$132=$B60,+Rounding!P$132,0)+IF(+Rounding!$O$133=$B60,+Rounding!P$133,0)</f>
        <v>0</v>
      </c>
      <c r="N60" s="775">
        <f>++E60+H60+K60+IF(+Rounding!$O$131=$B60,+Rounding!Q$131,0)+IF(+Rounding!$O$132=$B60,+Rounding!Q$132,0)+IF(+Rounding!$O$133=$B60,+Rounding!Q$133,0)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658"/>
      <c r="D61" s="776">
        <f>+'Income-2021-leva'!D61/1000+IF(+Rounding!$C$131=$B61,+Rounding!D$131,0)+IF(+Rounding!$C$132=$B61,+Rounding!D$132,0)+IF(+Rounding!$C$133=$B61,+Rounding!D$133,0)</f>
        <v>0</v>
      </c>
      <c r="E61" s="777">
        <f>+'Income-2021-leva'!E61/1000+IF(+Rounding!$C$131=$B61,+Rounding!E$131,0)+IF(+Rounding!$C$132=$B61,+Rounding!E$132,0)+IF(+Rounding!$C$133=$B61,+Rounding!E$133,0)</f>
        <v>0</v>
      </c>
      <c r="F61" s="658"/>
      <c r="G61" s="776">
        <f>+'Income-2021-leva'!G61/1000+IF(+Rounding!$G$131=$B61,+Rounding!H$131,0)+IF(+Rounding!$G$132=$B61,+Rounding!H$132,0)+IF(+Rounding!$G$133=$B61,+Rounding!H$133,0)</f>
        <v>0</v>
      </c>
      <c r="H61" s="777">
        <f>+'Income-2021-leva'!H61/1000+IF(+Rounding!$G$131=$B61,+Rounding!I$131,0)+IF(+Rounding!$G$132=$B61,+Rounding!I$132,0)+IF(+Rounding!$G$133=$B61,+Rounding!I$133,0)</f>
        <v>0</v>
      </c>
      <c r="I61" s="658"/>
      <c r="J61" s="776">
        <f>+'Income-2021-leva'!J61/1000+IF(+Rounding!$K$131=$B61,+Rounding!L$131,0)+IF(+Rounding!$K$132=$B61,+Rounding!L$132,0)+IF(+Rounding!$K$133=$B61,+Rounding!L$133,0)</f>
        <v>0</v>
      </c>
      <c r="K61" s="777">
        <f>+'Income-2021-leva'!K61/1000+IF(+Rounding!$K$131=$B61,+Rounding!M$131,0)+IF(+Rounding!$K$132=$B61,+Rounding!M$132,0)+IF(+Rounding!$K$133=$B61,+Rounding!M$133,0)</f>
        <v>0</v>
      </c>
      <c r="L61" s="658"/>
      <c r="M61" s="776">
        <f>++D61+G61+J61+IF(+Rounding!$O$131=$B61,+Rounding!P$131,0)+IF(+Rounding!$O$132=$B61,+Rounding!P$132,0)+IF(+Rounding!$O$133=$B61,+Rounding!P$133,0)</f>
        <v>0</v>
      </c>
      <c r="N61" s="777">
        <f>++E61+H61+K61+IF(+Rounding!$O$131=$B61,+Rounding!Q$131,0)+IF(+Rounding!$O$132=$B61,+Rounding!Q$132,0)+IF(+Rounding!$O$133=$B61,+Rounding!Q$133,0)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658"/>
      <c r="D62" s="786">
        <f>++SUM(D60:D61)</f>
        <v>0</v>
      </c>
      <c r="E62" s="787">
        <f>++SUM(E60:E61)</f>
        <v>0</v>
      </c>
      <c r="F62" s="658"/>
      <c r="G62" s="786">
        <f>++SUM(G60:G61)</f>
        <v>0</v>
      </c>
      <c r="H62" s="787">
        <f>++SUM(H60:H61)</f>
        <v>0</v>
      </c>
      <c r="I62" s="658"/>
      <c r="J62" s="786">
        <f>++SUM(J60:J61)</f>
        <v>0</v>
      </c>
      <c r="K62" s="787">
        <f>++SUM(K60:K61)</f>
        <v>0</v>
      </c>
      <c r="L62" s="658"/>
      <c r="M62" s="786">
        <f>++SUM(M60:M61)</f>
        <v>0</v>
      </c>
      <c r="N62" s="787">
        <f>++SUM(N60:N61)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658"/>
      <c r="D63" s="780"/>
      <c r="E63" s="781"/>
      <c r="F63" s="658"/>
      <c r="G63" s="780"/>
      <c r="H63" s="781"/>
      <c r="I63" s="658"/>
      <c r="J63" s="780"/>
      <c r="K63" s="781"/>
      <c r="L63" s="658"/>
      <c r="M63" s="780"/>
      <c r="N63" s="781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658"/>
      <c r="D64" s="774">
        <f>+'Income-2021-leva'!D64/1000+IF(+Rounding!$C$131=$B64,+Rounding!D$131,0)+IF(+Rounding!$C$132=$B64,+Rounding!D$132,0)+IF(+Rounding!$C$133=$B64,+Rounding!D$133,0)</f>
        <v>43.984790000000004</v>
      </c>
      <c r="E64" s="775">
        <f>+'Income-2021-leva'!E64/1000+IF(+Rounding!$C$131=$B64,+Rounding!E$131,0)+IF(+Rounding!$C$132=$B64,+Rounding!E$132,0)+IF(+Rounding!$C$133=$B64,+Rounding!E$133,0)</f>
        <v>51.719089999999994</v>
      </c>
      <c r="F64" s="658"/>
      <c r="G64" s="774">
        <f>+'Income-2021-leva'!G64/1000+IF(+Rounding!$G$131=$B64,+Rounding!H$131,0)+IF(+Rounding!$G$132=$B64,+Rounding!H$132,0)+IF(+Rounding!$G$133=$B64,+Rounding!H$133,0)</f>
        <v>4.9328900000000004</v>
      </c>
      <c r="H64" s="775">
        <f>+'Income-2021-leva'!H64/1000+IF(+Rounding!$G$131=$B64,+Rounding!I$131,0)+IF(+Rounding!$G$132=$B64,+Rounding!I$132,0)+IF(+Rounding!$G$133=$B64,+Rounding!I$133,0)</f>
        <v>8.1670499999999997</v>
      </c>
      <c r="I64" s="658"/>
      <c r="J64" s="774">
        <f>+'Income-2021-leva'!J64/1000+IF(+Rounding!$K$131=$B64,+Rounding!L$131,0)+IF(+Rounding!$K$132=$B64,+Rounding!L$132,0)+IF(+Rounding!$K$133=$B64,+Rounding!L$133,0)</f>
        <v>0</v>
      </c>
      <c r="K64" s="775">
        <f>+'Income-2021-leva'!K64/1000+IF(+Rounding!$K$131=$B64,+Rounding!M$131,0)+IF(+Rounding!$K$132=$B64,+Rounding!M$132,0)+IF(+Rounding!$K$133=$B64,+Rounding!M$133,0)</f>
        <v>0</v>
      </c>
      <c r="L64" s="658"/>
      <c r="M64" s="774">
        <f>++D64+G64+J64+IF(+Rounding!$O$131=$B64,+Rounding!P$131,0)+IF(+Rounding!$O$132=$B64,+Rounding!P$132,0)+IF(+Rounding!$O$133=$B64,+Rounding!P$133,0)</f>
        <v>48.917680000000004</v>
      </c>
      <c r="N64" s="775">
        <f>++E64+H64+K64+IF(+Rounding!$O$131=$B64,+Rounding!Q$131,0)+IF(+Rounding!$O$132=$B64,+Rounding!Q$132,0)+IF(+Rounding!$O$133=$B64,+Rounding!Q$133,0)</f>
        <v>59.886139999999997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658"/>
      <c r="D65" s="774">
        <f>+'Income-2021-leva'!D65/1000+IF(+Rounding!$C$131=$B65,+Rounding!D$131,0)+IF(+Rounding!$C$132=$B65,+Rounding!D$132,0)+IF(+Rounding!$C$133=$B65,+Rounding!D$133,0)</f>
        <v>0</v>
      </c>
      <c r="E65" s="775">
        <f>+'Income-2021-leva'!E65/1000+IF(+Rounding!$C$131=$B65,+Rounding!E$131,0)+IF(+Rounding!$C$132=$B65,+Rounding!E$132,0)+IF(+Rounding!$C$133=$B65,+Rounding!E$133,0)</f>
        <v>0</v>
      </c>
      <c r="F65" s="658"/>
      <c r="G65" s="774">
        <f>+'Income-2021-leva'!G65/1000+IF(+Rounding!$G$131=$B65,+Rounding!H$131,0)+IF(+Rounding!$G$132=$B65,+Rounding!H$132,0)+IF(+Rounding!$G$133=$B65,+Rounding!H$133,0)</f>
        <v>0</v>
      </c>
      <c r="H65" s="775">
        <f>+'Income-2021-leva'!H65/1000+IF(+Rounding!$G$131=$B65,+Rounding!I$131,0)+IF(+Rounding!$G$132=$B65,+Rounding!I$132,0)+IF(+Rounding!$G$133=$B65,+Rounding!I$133,0)</f>
        <v>0</v>
      </c>
      <c r="I65" s="658"/>
      <c r="J65" s="774">
        <f>+'Income-2021-leva'!J65/1000+IF(+Rounding!$K$131=$B65,+Rounding!L$131,0)+IF(+Rounding!$K$132=$B65,+Rounding!L$132,0)+IF(+Rounding!$K$133=$B65,+Rounding!L$133,0)</f>
        <v>0</v>
      </c>
      <c r="K65" s="775">
        <f>+'Income-2021-leva'!K65/1000+IF(+Rounding!$K$131=$B65,+Rounding!M$131,0)+IF(+Rounding!$K$132=$B65,+Rounding!M$132,0)+IF(+Rounding!$K$133=$B65,+Rounding!M$133,0)</f>
        <v>0</v>
      </c>
      <c r="L65" s="658"/>
      <c r="M65" s="774">
        <f>++D65+G65+J65+IF(+Rounding!$O$131=$B65,+Rounding!P$131,0)+IF(+Rounding!$O$132=$B65,+Rounding!P$132,0)+IF(+Rounding!$O$133=$B65,+Rounding!P$133,0)</f>
        <v>0</v>
      </c>
      <c r="N65" s="775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658"/>
      <c r="D66" s="786">
        <f>++SUM(D64:D65)</f>
        <v>43.984790000000004</v>
      </c>
      <c r="E66" s="787">
        <f>++SUM(E64:E65)</f>
        <v>51.719089999999994</v>
      </c>
      <c r="F66" s="658"/>
      <c r="G66" s="786">
        <f>++SUM(G64:G65)</f>
        <v>4.9328900000000004</v>
      </c>
      <c r="H66" s="787">
        <f>++SUM(H64:H65)</f>
        <v>8.1670499999999997</v>
      </c>
      <c r="I66" s="658"/>
      <c r="J66" s="786">
        <f>++SUM(J64:J65)</f>
        <v>0</v>
      </c>
      <c r="K66" s="787">
        <f>++SUM(K64:K65)</f>
        <v>0</v>
      </c>
      <c r="L66" s="658"/>
      <c r="M66" s="786">
        <f>++SUM(M64:M65)</f>
        <v>48.917680000000004</v>
      </c>
      <c r="N66" s="787">
        <f>++SUM(N64:N65)</f>
        <v>59.886139999999997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658"/>
      <c r="D67" s="780"/>
      <c r="E67" s="781"/>
      <c r="F67" s="658"/>
      <c r="G67" s="780"/>
      <c r="H67" s="781"/>
      <c r="I67" s="658"/>
      <c r="J67" s="780"/>
      <c r="K67" s="781"/>
      <c r="L67" s="658"/>
      <c r="M67" s="780"/>
      <c r="N67" s="781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658"/>
      <c r="D68" s="774">
        <f>+'Income-2021-leva'!D68/1000+IF(+Rounding!$C$131=$B68,+Rounding!D$131,0)+IF(+Rounding!$C$132=$B68,+Rounding!D$132,0)+IF(+Rounding!$C$133=$B68,+Rounding!D$133,0)</f>
        <v>254.16691</v>
      </c>
      <c r="E68" s="775">
        <f>+'Income-2021-leva'!E68/1000+IF(+Rounding!$C$131=$B68,+Rounding!E$131,0)+IF(+Rounding!$C$132=$B68,+Rounding!E$132,0)+IF(+Rounding!$C$133=$B68,+Rounding!E$133,0)</f>
        <v>263.47826000000003</v>
      </c>
      <c r="F68" s="658"/>
      <c r="G68" s="774">
        <f>+'Income-2021-leva'!G68/1000+IF(+Rounding!$G$131=$B68,+Rounding!H$131,0)+IF(+Rounding!$G$132=$B68,+Rounding!H$132,0)+IF(+Rounding!$G$133=$B68,+Rounding!H$133,0)</f>
        <v>30.68289</v>
      </c>
      <c r="H68" s="775">
        <f>+'Income-2021-leva'!H68/1000+IF(+Rounding!$G$131=$B68,+Rounding!I$131,0)+IF(+Rounding!$G$132=$B68,+Rounding!I$132,0)+IF(+Rounding!$G$133=$B68,+Rounding!I$133,0)</f>
        <v>209.99114</v>
      </c>
      <c r="I68" s="658"/>
      <c r="J68" s="774">
        <f>+'Income-2021-leva'!J68/1000+IF(+Rounding!$K$131=$B68,+Rounding!L$131,0)+IF(+Rounding!$K$132=$B68,+Rounding!L$132,0)+IF(+Rounding!$K$133=$B68,+Rounding!L$133,0)</f>
        <v>0</v>
      </c>
      <c r="K68" s="775">
        <f>+'Income-2021-leva'!K68/1000+IF(+Rounding!$K$131=$B68,+Rounding!M$131,0)+IF(+Rounding!$K$132=$B68,+Rounding!M$132,0)+IF(+Rounding!$K$133=$B68,+Rounding!M$133,0)</f>
        <v>0</v>
      </c>
      <c r="L68" s="658"/>
      <c r="M68" s="774">
        <f>++D68+G68+J68+IF(+Rounding!$O$131=$B68,+Rounding!P$131,0)+IF(+Rounding!$O$132=$B68,+Rounding!P$132,0)+IF(+Rounding!$O$133=$B68,+Rounding!P$133,0)</f>
        <v>284.84980000000002</v>
      </c>
      <c r="N68" s="775">
        <f>++E68+H68+K68+IF(+Rounding!$O$131=$B68,+Rounding!Q$131,0)+IF(+Rounding!$O$132=$B68,+Rounding!Q$132,0)+IF(+Rounding!$O$133=$B68,+Rounding!Q$133,0)</f>
        <v>473.46940000000006</v>
      </c>
      <c r="O68" s="152"/>
      <c r="P68" s="152"/>
      <c r="Q68" s="1897" t="s">
        <v>1873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658"/>
      <c r="D69" s="774">
        <f>+'Income-2021-leva'!D69/1000+IF(+Rounding!$C$131=$B69,+Rounding!D$131,0)+IF(+Rounding!$C$132=$B69,+Rounding!D$132,0)+IF(+Rounding!$C$133=$B69,+Rounding!D$133,0)</f>
        <v>0.68799999999999994</v>
      </c>
      <c r="E69" s="775">
        <f>+'Income-2021-leva'!E69/1000+IF(+Rounding!$C$131=$B69,+Rounding!E$131,0)+IF(+Rounding!$C$132=$B69,+Rounding!E$132,0)+IF(+Rounding!$C$133=$B69,+Rounding!E$133,0)</f>
        <v>64.022000000000006</v>
      </c>
      <c r="F69" s="658"/>
      <c r="G69" s="774">
        <f>+'Income-2021-leva'!G69/1000+IF(+Rounding!$G$131=$B69,+Rounding!H$131,0)+IF(+Rounding!$G$132=$B69,+Rounding!H$132,0)+IF(+Rounding!$G$133=$B69,+Rounding!H$133,0)</f>
        <v>0</v>
      </c>
      <c r="H69" s="775">
        <f>+'Income-2021-leva'!H69/1000+IF(+Rounding!$G$131=$B69,+Rounding!I$131,0)+IF(+Rounding!$G$132=$B69,+Rounding!I$132,0)+IF(+Rounding!$G$133=$B69,+Rounding!I$133,0)</f>
        <v>0</v>
      </c>
      <c r="I69" s="658"/>
      <c r="J69" s="774">
        <f>+'Income-2021-leva'!J69/1000+IF(+Rounding!$K$131=$B69,+Rounding!L$131,0)+IF(+Rounding!$K$132=$B69,+Rounding!L$132,0)+IF(+Rounding!$K$133=$B69,+Rounding!L$133,0)</f>
        <v>0</v>
      </c>
      <c r="K69" s="775">
        <f>+'Income-2021-leva'!K69/1000+IF(+Rounding!$K$131=$B69,+Rounding!M$131,0)+IF(+Rounding!$K$132=$B69,+Rounding!M$132,0)+IF(+Rounding!$K$133=$B69,+Rounding!M$133,0)</f>
        <v>0</v>
      </c>
      <c r="L69" s="658"/>
      <c r="M69" s="774">
        <f>++D69+G69+J69+IF(+Rounding!$O$131=$B69,+Rounding!P$131,0)+IF(+Rounding!$O$132=$B69,+Rounding!P$132,0)+IF(+Rounding!$O$133=$B69,+Rounding!P$133,0)</f>
        <v>0.68799999999999994</v>
      </c>
      <c r="N69" s="775">
        <f>++E69+H69+K69+IF(+Rounding!$O$131=$B69,+Rounding!Q$131,0)+IF(+Rounding!$O$132=$B69,+Rounding!Q$132,0)+IF(+Rounding!$O$133=$B69,+Rounding!Q$133,0)</f>
        <v>64.022000000000006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658"/>
      <c r="D70" s="786">
        <f>++SUM(D68:D69)</f>
        <v>254.85490999999999</v>
      </c>
      <c r="E70" s="787">
        <f>++SUM(E68:E69)</f>
        <v>327.50026000000003</v>
      </c>
      <c r="F70" s="658"/>
      <c r="G70" s="786">
        <f>++SUM(G68:G69)</f>
        <v>30.68289</v>
      </c>
      <c r="H70" s="787">
        <f>++SUM(H68:H69)</f>
        <v>209.99114</v>
      </c>
      <c r="I70" s="658">
        <f>++SUM(I68:I69)</f>
        <v>0</v>
      </c>
      <c r="J70" s="786">
        <f>++SUM(J68:J69)</f>
        <v>0</v>
      </c>
      <c r="K70" s="787">
        <f>++SUM(K68:K69)</f>
        <v>0</v>
      </c>
      <c r="L70" s="658"/>
      <c r="M70" s="786">
        <f>++SUM(M68:M69)</f>
        <v>285.5378</v>
      </c>
      <c r="N70" s="787">
        <f>++SUM(N68:N69)</f>
        <v>537.49140000000011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658"/>
      <c r="D71" s="665"/>
      <c r="E71" s="666"/>
      <c r="F71" s="658"/>
      <c r="G71" s="665"/>
      <c r="H71" s="666"/>
      <c r="I71" s="658"/>
      <c r="J71" s="665"/>
      <c r="K71" s="666"/>
      <c r="L71" s="658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1095</v>
      </c>
      <c r="B72" s="692">
        <v>660</v>
      </c>
      <c r="C72" s="658"/>
      <c r="D72" s="786">
        <f>+'Income-2021-leva'!D72/1000+IF(+Rounding!$C$131=$B72,+Rounding!D$131,0)+IF(+Rounding!$C$132=$B72,+Rounding!D$132,0)+IF(+Rounding!$C$133=$B72,+Rounding!D$133,0)</f>
        <v>906.3623</v>
      </c>
      <c r="E72" s="787">
        <f>+'Income-2021-leva'!E72/1000+IF(+Rounding!$C$131=$B72,+Rounding!E$131,0)+IF(+Rounding!$C$132=$B72,+Rounding!E$132,0)+IF(+Rounding!$C$133=$B72,+Rounding!E$133,0)</f>
        <v>5</v>
      </c>
      <c r="F72" s="658"/>
      <c r="G72" s="786">
        <f>+'Income-2021-leva'!G72/1000+IF(+Rounding!$G$131=$B72,+Rounding!H$131,0)+IF(+Rounding!$G$132=$B72,+Rounding!H$132,0)+IF(+Rounding!$G$133=$B72,+Rounding!H$133,0)</f>
        <v>1530.2043899999999</v>
      </c>
      <c r="H72" s="787">
        <f>+'Income-2021-leva'!H72/1000+IF(+Rounding!$G$131=$B72,+Rounding!I$131,0)+IF(+Rounding!$G$132=$B72,+Rounding!I$132,0)+IF(+Rounding!$G$133=$B72,+Rounding!I$133,0)</f>
        <v>6552.0852800000002</v>
      </c>
      <c r="I72" s="658"/>
      <c r="J72" s="786">
        <f>+'Income-2021-leva'!J72/1000+IF(+Rounding!$K$131=$B72,+Rounding!L$131,0)+IF(+Rounding!$K$132=$B72,+Rounding!L$132,0)+IF(+Rounding!$K$133=$B72,+Rounding!L$133,0)</f>
        <v>-900.66310999999996</v>
      </c>
      <c r="K72" s="787">
        <f>+'Income-2021-leva'!K72/1000+IF(+Rounding!$K$131=$B72,+Rounding!M$131,0)+IF(+Rounding!$K$132=$B72,+Rounding!M$132,0)+IF(+Rounding!$K$133=$B72,+Rounding!M$133,0)</f>
        <v>-6557.0852800000002</v>
      </c>
      <c r="L72" s="658"/>
      <c r="M72" s="786">
        <f>++D72+G72+J72+IF(+Rounding!$O$131=$B72,+Rounding!P$131,0)+IF(+Rounding!$O$132=$B72,+Rounding!P$132,0)+IF(+Rounding!$O$133=$B72,+Rounding!P$133,0)</f>
        <v>1535.9035799999997</v>
      </c>
      <c r="N72" s="787">
        <f>++E72+H72+K72+IF(+Rounding!$O$131=$B72,+Rounding!Q$131,0)+IF(+Rounding!$O$132=$B72,+Rounding!Q$132,0)+IF(+Rounding!$O$133=$B72,+Rounding!Q$133,0)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658"/>
      <c r="D73" s="665"/>
      <c r="E73" s="666"/>
      <c r="F73" s="658"/>
      <c r="G73" s="665"/>
      <c r="H73" s="666"/>
      <c r="I73" s="658"/>
      <c r="J73" s="665"/>
      <c r="K73" s="666"/>
      <c r="L73" s="658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658"/>
      <c r="D74" s="786">
        <f>+'Income-2021-leva'!D74/1000+IF(+Rounding!$C$131=$B74,+Rounding!D$131,0)+IF(+Rounding!$C$132=$B74,+Rounding!D$132,0)+IF(+Rounding!$C$133=$B74,+Rounding!D$133,0)</f>
        <v>0</v>
      </c>
      <c r="E74" s="787">
        <f>+'Income-2021-leva'!E74/1000+IF(+Rounding!$C$131=$B74,+Rounding!E$131,0)+IF(+Rounding!$C$132=$B74,+Rounding!E$132,0)+IF(+Rounding!$C$133=$B74,+Rounding!E$133,0)</f>
        <v>0</v>
      </c>
      <c r="F74" s="658"/>
      <c r="G74" s="786">
        <f>+'Income-2021-leva'!G74/1000+IF(+Rounding!$G$131=$B74,+Rounding!H$131,0)+IF(+Rounding!$G$132=$B74,+Rounding!H$132,0)+IF(+Rounding!$G$133=$B74,+Rounding!H$133,0)</f>
        <v>0</v>
      </c>
      <c r="H74" s="787">
        <f>+'Income-2021-leva'!H74/1000+IF(+Rounding!$G$131=$B74,+Rounding!I$131,0)+IF(+Rounding!$G$132=$B74,+Rounding!I$132,0)+IF(+Rounding!$G$133=$B74,+Rounding!I$133,0)</f>
        <v>0</v>
      </c>
      <c r="I74" s="658"/>
      <c r="J74" s="786">
        <f>+'Income-2021-leva'!J74/1000+IF(+Rounding!$K$131=$B74,+Rounding!L$131,0)+IF(+Rounding!$K$132=$B74,+Rounding!L$132,0)+IF(+Rounding!$K$133=$B74,+Rounding!L$133,0)</f>
        <v>0</v>
      </c>
      <c r="K74" s="787">
        <f>+'Income-2021-leva'!K74/1000+IF(+Rounding!$K$131=$B74,+Rounding!M$131,0)+IF(+Rounding!$K$132=$B74,+Rounding!M$132,0)+IF(+Rounding!$K$133=$B74,+Rounding!M$133,0)</f>
        <v>0</v>
      </c>
      <c r="L74" s="658"/>
      <c r="M74" s="786">
        <f>++D74+G74+J74+IF(+Rounding!$O$131=$B74,+Rounding!P$131,0)+IF(+Rounding!$O$132=$B74,+Rounding!P$132,0)+IF(+Rounding!$O$133=$B74,+Rounding!P$133,0)+P74</f>
        <v>0</v>
      </c>
      <c r="N74" s="787">
        <f>+E74+H74+K74+IF(+Rounding!$O$131=$B74,+Rounding!Q$131,0)+IF(+Rounding!$O$132=$B74,+Rounding!Q$132,0)+IF(+Rounding!$O$133=$B74,+Rounding!Q$133,0)+Q74</f>
        <v>0</v>
      </c>
      <c r="O74" s="152"/>
      <c r="P74" s="1221">
        <f>+'Income-2021-leva'!P74/1000</f>
        <v>0</v>
      </c>
      <c r="Q74" s="1945">
        <f>+'Income-2021-leva'!Q74/1000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658"/>
      <c r="D75" s="1892">
        <f>+'Income-2021-leva'!D75/1000</f>
        <v>0</v>
      </c>
      <c r="E75" s="1893">
        <f>+'Income-2021-leva'!E75/1000</f>
        <v>0</v>
      </c>
      <c r="F75" s="658"/>
      <c r="G75" s="1892">
        <f>+'Income-2021-leva'!G75/1000</f>
        <v>0</v>
      </c>
      <c r="H75" s="1893">
        <f>+'Income-2021-leva'!H75/1000</f>
        <v>0</v>
      </c>
      <c r="I75" s="658"/>
      <c r="J75" s="1892">
        <f>+'Income-2021-leva'!J75/1000</f>
        <v>0</v>
      </c>
      <c r="K75" s="1893">
        <f>+'Income-2021-leva'!K75/1000</f>
        <v>0</v>
      </c>
      <c r="L75" s="658"/>
      <c r="M75" s="1892">
        <f>++D75+G75+J75</f>
        <v>0</v>
      </c>
      <c r="N75" s="1893">
        <f>+E75+H75+K75</f>
        <v>0</v>
      </c>
      <c r="O75" s="152"/>
      <c r="P75" s="2542" t="str">
        <f>+'Income-2021-leva'!P75:Q75</f>
        <v>O K</v>
      </c>
      <c r="Q75" s="254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58"/>
      <c r="D76" s="780"/>
      <c r="E76" s="781"/>
      <c r="F76" s="658"/>
      <c r="G76" s="780"/>
      <c r="H76" s="781"/>
      <c r="I76" s="658"/>
      <c r="J76" s="780"/>
      <c r="K76" s="781"/>
      <c r="L76" s="658"/>
      <c r="M76" s="780"/>
      <c r="N76" s="781"/>
      <c r="O76" s="152"/>
      <c r="P76" s="2598">
        <f>+IF(P75="O K",0,"N o ")</f>
        <v>0</v>
      </c>
      <c r="Q76" s="2598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658"/>
      <c r="D77" s="788">
        <f>+D53+D58+D62+D66+D70+D72+D74</f>
        <v>9412.2373900000021</v>
      </c>
      <c r="E77" s="789">
        <f>+E53+E58+E62+E66+E70+E72+E74</f>
        <v>11059.477210000001</v>
      </c>
      <c r="F77" s="658"/>
      <c r="G77" s="788">
        <f>+G53+G58+G62+G66+G70+G72+G74</f>
        <v>2095.3979899999999</v>
      </c>
      <c r="H77" s="789">
        <f>+H53+H58+H62+H66+H70+H72+H74</f>
        <v>7795.1210100000008</v>
      </c>
      <c r="I77" s="658"/>
      <c r="J77" s="788">
        <f>+J53+J58+J62+J66+J70+J72+J74</f>
        <v>742.17284999999993</v>
      </c>
      <c r="K77" s="789">
        <f>+K53+K58+K62+K66+K70+K72+K74</f>
        <v>-4873.3516100000006</v>
      </c>
      <c r="L77" s="658"/>
      <c r="M77" s="788">
        <f>+M53+M58+M62+M66+M70+M72+M74</f>
        <v>12249.808230000001</v>
      </c>
      <c r="N77" s="789">
        <f>+N53+N58+N62+N66+N70+N72+N74</f>
        <v>13981.24661</v>
      </c>
      <c r="O77" s="152"/>
      <c r="P77" s="2597" t="str">
        <f>+'Income-2021-leva'!P77:Q77</f>
        <v>O K</v>
      </c>
      <c r="Q77" s="2597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1114</v>
      </c>
      <c r="B78" s="171"/>
      <c r="C78" s="817"/>
      <c r="D78" s="709"/>
      <c r="E78" s="707"/>
      <c r="F78" s="817"/>
      <c r="G78" s="709"/>
      <c r="H78" s="707"/>
      <c r="I78" s="817"/>
      <c r="J78" s="709"/>
      <c r="K78" s="707"/>
      <c r="L78" s="817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1112</v>
      </c>
      <c r="B79" s="335">
        <v>681</v>
      </c>
      <c r="C79" s="658"/>
      <c r="D79" s="774">
        <f>+'Income-2021-leva'!D79/1000+IF(+Rounding!$C$131=$B79,+Rounding!D$131,0)+IF(+Rounding!$C$132=$B79,+Rounding!D$132,0)+IF(+Rounding!$C$133=$B79,+Rounding!D$133,0)</f>
        <v>7634.0516600000001</v>
      </c>
      <c r="E79" s="775">
        <f>+'Income-2021-leva'!E79/1000+IF(+Rounding!$C$131=$B79,+Rounding!E$131,0)+IF(+Rounding!$C$132=$B79,+Rounding!E$132,0)+IF(+Rounding!$C$133=$B79,+Rounding!E$133,0)</f>
        <v>9809.7363800000003</v>
      </c>
      <c r="F79" s="658"/>
      <c r="G79" s="774">
        <f>+'Income-2021-leva'!G79/1000+IF(+Rounding!$G$131=$B79,+Rounding!H$131,0)+IF(+Rounding!$G$132=$B79,+Rounding!H$132,0)+IF(+Rounding!$G$133=$B79,+Rounding!H$133,0)</f>
        <v>5460.96569</v>
      </c>
      <c r="H79" s="775">
        <f>+'Income-2021-leva'!H79/1000+IF(+Rounding!$G$131=$B79,+Rounding!I$131,0)+IF(+Rounding!$G$132=$B79,+Rounding!I$132,0)+IF(+Rounding!$G$133=$B79,+Rounding!I$133,0)</f>
        <v>1961.9527499999999</v>
      </c>
      <c r="I79" s="658"/>
      <c r="J79" s="774">
        <f>+'Income-2021-leva'!J79/1000+IF(+Rounding!$K$131=$B79,+Rounding!L$131,0)+IF(+Rounding!$K$132=$B79,+Rounding!L$132,0)+IF(+Rounding!$K$133=$B79,+Rounding!L$133,0)</f>
        <v>0</v>
      </c>
      <c r="K79" s="775">
        <f>+'Income-2021-leva'!K79/1000+IF(+Rounding!$K$131=$B79,+Rounding!M$131,0)+IF(+Rounding!$K$132=$B79,+Rounding!M$132,0)+IF(+Rounding!$K$133=$B79,+Rounding!M$133,0)</f>
        <v>0</v>
      </c>
      <c r="L79" s="658"/>
      <c r="M79" s="774">
        <f>++D79+G79+J79+IF(+Rounding!$O$131=$B79,+Rounding!P$131,0)+IF(+Rounding!$O$132=$B79,+Rounding!P$132,0)+IF(+Rounding!$O$133=$B79,+Rounding!P$133,0)</f>
        <v>13095.01735</v>
      </c>
      <c r="N79" s="775">
        <f>++E79+H79+K79+IF(+Rounding!$O$131=$B79,+Rounding!Q$131,0)+IF(+Rounding!$O$132=$B79,+Rounding!Q$132,0)+IF(+Rounding!$O$133=$B79,+Rounding!Q$133,0)</f>
        <v>11771.689130000001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1113</v>
      </c>
      <c r="B80" s="335">
        <v>682</v>
      </c>
      <c r="C80" s="658"/>
      <c r="D80" s="774">
        <f>+'Income-2021-leva'!D80/1000+IF(+Rounding!$C$131=$B80,+Rounding!D$131,0)+IF(+Rounding!$C$132=$B80,+Rounding!D$132,0)+IF(+Rounding!$C$133=$B80,+Rounding!D$133,0)</f>
        <v>0</v>
      </c>
      <c r="E80" s="775">
        <f>+'Income-2021-leva'!E80/1000+IF(+Rounding!$C$131=$B80,+Rounding!E$131,0)+IF(+Rounding!$C$132=$B80,+Rounding!E$132,0)+IF(+Rounding!$C$133=$B80,+Rounding!E$133,0)</f>
        <v>-14.38086</v>
      </c>
      <c r="F80" s="658"/>
      <c r="G80" s="774">
        <f>+'Income-2021-leva'!G80/1000+IF(+Rounding!$G$131=$B80,+Rounding!H$131,0)+IF(+Rounding!$G$132=$B80,+Rounding!H$132,0)+IF(+Rounding!$G$133=$B80,+Rounding!H$133,0)</f>
        <v>0</v>
      </c>
      <c r="H80" s="775">
        <f>+'Income-2021-leva'!H80/1000+IF(+Rounding!$G$131=$B80,+Rounding!I$131,0)+IF(+Rounding!$G$132=$B80,+Rounding!I$132,0)+IF(+Rounding!$G$133=$B80,+Rounding!I$133,0)</f>
        <v>0</v>
      </c>
      <c r="I80" s="658"/>
      <c r="J80" s="774">
        <f>+'Income-2021-leva'!J80/1000+IF(+Rounding!$K$131=$B80,+Rounding!L$131,0)+IF(+Rounding!$K$132=$B80,+Rounding!L$132,0)+IF(+Rounding!$K$133=$B80,+Rounding!L$133,0)</f>
        <v>0</v>
      </c>
      <c r="K80" s="775">
        <f>+'Income-2021-leva'!K80/1000+IF(+Rounding!$K$131=$B80,+Rounding!M$131,0)+IF(+Rounding!$K$132=$B80,+Rounding!M$132,0)+IF(+Rounding!$K$133=$B80,+Rounding!M$133,0)</f>
        <v>0</v>
      </c>
      <c r="L80" s="658"/>
      <c r="M80" s="774">
        <f>++D80+G80+J80+IF(+Rounding!$O$131=$B80,+Rounding!P$131,0)+IF(+Rounding!$O$132=$B80,+Rounding!P$132,0)+IF(+Rounding!$O$133=$B80,+Rounding!P$133,0)</f>
        <v>0</v>
      </c>
      <c r="N80" s="775">
        <f>++E80+H80+K80+IF(+Rounding!$O$131=$B80,+Rounding!Q$131,0)+IF(+Rounding!$O$132=$B80,+Rounding!Q$132,0)+IF(+Rounding!$O$133=$B80,+Rounding!Q$133,0)</f>
        <v>-14.38086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658"/>
      <c r="D81" s="790">
        <f>+SUM(D79:D80)</f>
        <v>7634.0516600000001</v>
      </c>
      <c r="E81" s="791">
        <f>+SUM(E79:E80)</f>
        <v>9795.355520000001</v>
      </c>
      <c r="F81" s="658"/>
      <c r="G81" s="790">
        <f>+SUM(G79:G80)</f>
        <v>5460.96569</v>
      </c>
      <c r="H81" s="791">
        <f>+SUM(H79:H80)</f>
        <v>1961.9527499999999</v>
      </c>
      <c r="I81" s="658"/>
      <c r="J81" s="790">
        <f>+SUM(J79:J80)</f>
        <v>0</v>
      </c>
      <c r="K81" s="791">
        <f>+SUM(K79:K80)</f>
        <v>0</v>
      </c>
      <c r="L81" s="658"/>
      <c r="M81" s="790">
        <f>+SUM(M79:M80)</f>
        <v>13095.01735</v>
      </c>
      <c r="N81" s="791">
        <f>+SUM(N79:N80)</f>
        <v>11757.308270000001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817"/>
      <c r="D82" s="709"/>
      <c r="E82" s="707"/>
      <c r="F82" s="817"/>
      <c r="G82" s="709"/>
      <c r="H82" s="707"/>
      <c r="I82" s="817"/>
      <c r="J82" s="709"/>
      <c r="K82" s="707"/>
      <c r="L82" s="817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658"/>
      <c r="D83" s="774">
        <f>+'Income-2021-leva'!D83/1000+IF(+Rounding!$C$131=$B83,+Rounding!D$131,0)+IF(+Rounding!$C$132=$B83,+Rounding!D$132,0)+IF(+Rounding!$C$133=$B83,+Rounding!D$133,0)</f>
        <v>0</v>
      </c>
      <c r="E83" s="775">
        <f>+'Income-2021-leva'!E83/1000+IF(+Rounding!$C$131=$B83,+Rounding!E$131,0)+IF(+Rounding!$C$132=$B83,+Rounding!E$132,0)+IF(+Rounding!$C$133=$B83,+Rounding!E$133,0)</f>
        <v>0</v>
      </c>
      <c r="F83" s="658"/>
      <c r="G83" s="774">
        <f>+'Income-2021-leva'!G83/1000+IF(+Rounding!$G$131=$B83,+Rounding!H$131,0)+IF(+Rounding!$G$132=$B83,+Rounding!H$132,0)+IF(+Rounding!$G$133=$B83,+Rounding!H$133,0)</f>
        <v>0</v>
      </c>
      <c r="H83" s="775">
        <f>+'Income-2021-leva'!H83/1000+IF(+Rounding!$G$131=$B83,+Rounding!I$131,0)+IF(+Rounding!$G$132=$B83,+Rounding!I$132,0)+IF(+Rounding!$G$133=$B83,+Rounding!I$133,0)</f>
        <v>0</v>
      </c>
      <c r="I83" s="658"/>
      <c r="J83" s="774">
        <f>+'Income-2021-leva'!J83/1000+IF(+Rounding!$K$131=$B83,+Rounding!L$131,0)+IF(+Rounding!$K$132=$B83,+Rounding!L$132,0)+IF(+Rounding!$K$133=$B83,+Rounding!L$133,0)</f>
        <v>0</v>
      </c>
      <c r="K83" s="775">
        <f>+'Income-2021-leva'!K83/1000+IF(+Rounding!$K$131=$B83,+Rounding!M$131,0)+IF(+Rounding!$K$132=$B83,+Rounding!M$132,0)+IF(+Rounding!$K$133=$B83,+Rounding!M$133,0)</f>
        <v>0</v>
      </c>
      <c r="L83" s="658"/>
      <c r="M83" s="774">
        <f>++D83+G83+J83+IF(+Rounding!$O$131=$B83,+Rounding!P$131,0)+IF(+Rounding!$O$132=$B83,+Rounding!P$132,0)+IF(+Rounding!$O$133=$B83,+Rounding!P$133,0)</f>
        <v>0</v>
      </c>
      <c r="N83" s="775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658"/>
      <c r="D84" s="774">
        <f>+'Income-2021-leva'!D84/1000+IF(+Rounding!$C$131=$B84,+Rounding!D$131,0)+IF(+Rounding!$C$132=$B84,+Rounding!D$132,0)+IF(+Rounding!$C$133=$B84,+Rounding!D$133,0)</f>
        <v>-8.539999999999999E-3</v>
      </c>
      <c r="E84" s="775">
        <f>+'Income-2021-leva'!E84/1000+IF(+Rounding!$C$131=$B84,+Rounding!E$131,0)+IF(+Rounding!$C$132=$B84,+Rounding!E$132,0)+IF(+Rounding!$C$133=$B84,+Rounding!E$133,0)</f>
        <v>0</v>
      </c>
      <c r="F84" s="658"/>
      <c r="G84" s="774">
        <f>+'Income-2021-leva'!G84/1000+IF(+Rounding!$G$131=$B84,+Rounding!H$131,0)+IF(+Rounding!$G$132=$B84,+Rounding!H$132,0)+IF(+Rounding!$G$133=$B84,+Rounding!H$133,0)</f>
        <v>0</v>
      </c>
      <c r="H84" s="775">
        <f>+'Income-2021-leva'!H84/1000+IF(+Rounding!$G$131=$B84,+Rounding!I$131,0)+IF(+Rounding!$G$132=$B84,+Rounding!I$132,0)+IF(+Rounding!$G$133=$B84,+Rounding!I$133,0)</f>
        <v>0</v>
      </c>
      <c r="I84" s="658"/>
      <c r="J84" s="774">
        <f>+'Income-2021-leva'!J84/1000+IF(+Rounding!$K$131=$B84,+Rounding!L$131,0)+IF(+Rounding!$K$132=$B84,+Rounding!L$132,0)+IF(+Rounding!$K$133=$B84,+Rounding!L$133,0)</f>
        <v>0</v>
      </c>
      <c r="K84" s="775">
        <f>+'Income-2021-leva'!K84/1000+IF(+Rounding!$K$131=$B84,+Rounding!M$131,0)+IF(+Rounding!$K$132=$B84,+Rounding!M$132,0)+IF(+Rounding!$K$133=$B84,+Rounding!M$133,0)</f>
        <v>0</v>
      </c>
      <c r="L84" s="658"/>
      <c r="M84" s="774">
        <f>++D84+G84+J84+IF(+Rounding!$O$131=$B84,+Rounding!P$131,0)+IF(+Rounding!$O$132=$B84,+Rounding!P$132,0)+IF(+Rounding!$O$133=$B84,+Rounding!P$133,0)</f>
        <v>-8.539999999999999E-3</v>
      </c>
      <c r="N84" s="775">
        <f>++E84+H84+K84+IF(+Rounding!$O$131=$B84,+Rounding!Q$131,0)+IF(+Rounding!$O$132=$B84,+Rounding!Q$132,0)+IF(+Rounding!$O$133=$B84,+Rounding!Q$133,0)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658"/>
      <c r="D85" s="792">
        <f>+SUM(D83:D84)</f>
        <v>-8.539999999999999E-3</v>
      </c>
      <c r="E85" s="793">
        <f>+SUM(E83:E84)</f>
        <v>0</v>
      </c>
      <c r="F85" s="658"/>
      <c r="G85" s="792">
        <f>+SUM(G83:G84)</f>
        <v>0</v>
      </c>
      <c r="H85" s="793">
        <f>+SUM(H83:H84)</f>
        <v>0</v>
      </c>
      <c r="I85" s="658"/>
      <c r="J85" s="792">
        <f>+SUM(J83:J84)</f>
        <v>0</v>
      </c>
      <c r="K85" s="793">
        <f>+SUM(K83:K84)</f>
        <v>0</v>
      </c>
      <c r="L85" s="658"/>
      <c r="M85" s="792">
        <f>+SUM(M83:M84)</f>
        <v>-8.539999999999999E-3</v>
      </c>
      <c r="N85" s="793">
        <f>+SUM(N83:N84)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817"/>
      <c r="D86" s="709"/>
      <c r="E86" s="707"/>
      <c r="F86" s="817"/>
      <c r="G86" s="709"/>
      <c r="H86" s="707"/>
      <c r="I86" s="817"/>
      <c r="J86" s="709"/>
      <c r="K86" s="707"/>
      <c r="L86" s="817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658"/>
      <c r="D87" s="772"/>
      <c r="E87" s="773"/>
      <c r="F87" s="658"/>
      <c r="G87" s="772"/>
      <c r="H87" s="773"/>
      <c r="I87" s="658"/>
      <c r="J87" s="772"/>
      <c r="K87" s="773"/>
      <c r="L87" s="658"/>
      <c r="M87" s="772"/>
      <c r="N87" s="773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1089</v>
      </c>
      <c r="B88" s="335">
        <v>771</v>
      </c>
      <c r="C88" s="658"/>
      <c r="D88" s="774">
        <f>+'Income-2021-leva'!D88/1000+IF(+Rounding!$C$131=$B88,+Rounding!D$131,0)+IF(+Rounding!$C$132=$B88,+Rounding!D$132,0)+IF(+Rounding!$C$133=$B88,+Rounding!D$133,0)</f>
        <v>128.03570999999999</v>
      </c>
      <c r="E88" s="775">
        <f>+'Income-2021-leva'!E88/1000+IF(+Rounding!$C$131=$B88,+Rounding!E$131,0)+IF(+Rounding!$C$132=$B88,+Rounding!E$132,0)+IF(+Rounding!$C$133=$B88,+Rounding!E$133,0)</f>
        <v>226.56723000000002</v>
      </c>
      <c r="F88" s="658"/>
      <c r="G88" s="774">
        <f>+'Income-2021-leva'!G88/1000+IF(+Rounding!$G$131=$B88,+Rounding!H$131,0)+IF(+Rounding!$G$132=$B88,+Rounding!H$132,0)+IF(+Rounding!$G$133=$B88,+Rounding!H$133,0)</f>
        <v>-30.716009999999997</v>
      </c>
      <c r="H88" s="775">
        <f>+'Income-2021-leva'!H88/1000+IF(+Rounding!$G$131=$B88,+Rounding!I$131,0)+IF(+Rounding!$G$132=$B88,+Rounding!I$132,0)+IF(+Rounding!$G$133=$B88,+Rounding!I$133,0)</f>
        <v>-47.878830000000001</v>
      </c>
      <c r="I88" s="658"/>
      <c r="J88" s="774">
        <f>+'Income-2021-leva'!J88/1000+IF(+Rounding!$K$131=$B88,+Rounding!L$131,0)+IF(+Rounding!$K$132=$B88,+Rounding!L$132,0)+IF(+Rounding!$K$133=$B88,+Rounding!L$133,0)</f>
        <v>0</v>
      </c>
      <c r="K88" s="775">
        <f>+'Income-2021-leva'!K88/1000+IF(+Rounding!$K$131=$B88,+Rounding!M$131,0)+IF(+Rounding!$K$132=$B88,+Rounding!M$132,0)+IF(+Rounding!$K$133=$B88,+Rounding!M$133,0)</f>
        <v>-155.91479999999999</v>
      </c>
      <c r="L88" s="658"/>
      <c r="M88" s="774">
        <f>++D88+G88+J88+IF(+Rounding!$O$131=$B88,+Rounding!P$131,0)+IF(+Rounding!$O$132=$B88,+Rounding!P$132,0)+IF(+Rounding!$O$133=$B88,+Rounding!P$133,0)</f>
        <v>97.319699999999997</v>
      </c>
      <c r="N88" s="775">
        <f>++E88+H88+K88+IF(+Rounding!$O$131=$B88,+Rounding!Q$131,0)+IF(+Rounding!$O$132=$B88,+Rounding!Q$132,0)+IF(+Rounding!$O$133=$B88,+Rounding!Q$133,0)</f>
        <v>22.773600000000044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658"/>
      <c r="D89" s="774">
        <f>+'Income-2021-leva'!D89/1000+IF(+Rounding!$C$131=$B89,+Rounding!D$131,0)+IF(+Rounding!$C$132=$B89,+Rounding!D$132,0)+IF(+Rounding!$C$133=$B89,+Rounding!D$133,0)</f>
        <v>0</v>
      </c>
      <c r="E89" s="775">
        <f>+'Income-2021-leva'!E89/1000+IF(+Rounding!$C$131=$B89,+Rounding!E$131,0)+IF(+Rounding!$C$132=$B89,+Rounding!E$132,0)+IF(+Rounding!$C$133=$B89,+Rounding!E$133,0)</f>
        <v>0</v>
      </c>
      <c r="F89" s="658"/>
      <c r="G89" s="774">
        <f>+'Income-2021-leva'!G89/1000+IF(+Rounding!$G$131=$B89,+Rounding!H$131,0)+IF(+Rounding!$G$132=$B89,+Rounding!H$132,0)+IF(+Rounding!$G$133=$B89,+Rounding!H$133,0)</f>
        <v>0</v>
      </c>
      <c r="H89" s="775">
        <f>+'Income-2021-leva'!H89/1000+IF(+Rounding!$G$131=$B89,+Rounding!I$131,0)+IF(+Rounding!$G$132=$B89,+Rounding!I$132,0)+IF(+Rounding!$G$133=$B89,+Rounding!I$133,0)</f>
        <v>0</v>
      </c>
      <c r="I89" s="658"/>
      <c r="J89" s="774">
        <f>+'Income-2021-leva'!J89/1000+IF(+Rounding!$K$131=$B89,+Rounding!L$131,0)+IF(+Rounding!$K$132=$B89,+Rounding!L$132,0)+IF(+Rounding!$K$133=$B89,+Rounding!L$133,0)</f>
        <v>0</v>
      </c>
      <c r="K89" s="775">
        <f>+'Income-2021-leva'!K89/1000+IF(+Rounding!$K$131=$B89,+Rounding!M$131,0)+IF(+Rounding!$K$132=$B89,+Rounding!M$132,0)+IF(+Rounding!$K$133=$B89,+Rounding!M$133,0)</f>
        <v>0</v>
      </c>
      <c r="L89" s="658"/>
      <c r="M89" s="774">
        <f>++D89+G89+J89+IF(+Rounding!$O$131=$B89,+Rounding!P$131,0)+IF(+Rounding!$O$132=$B89,+Rounding!P$132,0)+IF(+Rounding!$O$133=$B89,+Rounding!P$133,0)</f>
        <v>0</v>
      </c>
      <c r="N89" s="775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658"/>
      <c r="D90" s="794">
        <f>+SUM(D88:D89)</f>
        <v>128.03570999999999</v>
      </c>
      <c r="E90" s="795">
        <f>+SUM(E88:E89)</f>
        <v>226.56723000000002</v>
      </c>
      <c r="F90" s="658"/>
      <c r="G90" s="794">
        <f>+SUM(G88:G89)</f>
        <v>-30.716009999999997</v>
      </c>
      <c r="H90" s="795">
        <f>+SUM(H88:H89)</f>
        <v>-47.878830000000001</v>
      </c>
      <c r="I90" s="658"/>
      <c r="J90" s="794">
        <f>+SUM(J88:J89)</f>
        <v>0</v>
      </c>
      <c r="K90" s="795">
        <f>+SUM(K88:K89)</f>
        <v>-155.91479999999999</v>
      </c>
      <c r="L90" s="658"/>
      <c r="M90" s="794">
        <f>+SUM(M88:M89)</f>
        <v>97.319699999999997</v>
      </c>
      <c r="N90" s="795">
        <f>+SUM(N88:N89)</f>
        <v>22.773600000000044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658"/>
      <c r="D91" s="772"/>
      <c r="E91" s="773"/>
      <c r="F91" s="658"/>
      <c r="G91" s="772"/>
      <c r="H91" s="773"/>
      <c r="I91" s="658"/>
      <c r="J91" s="772"/>
      <c r="K91" s="773"/>
      <c r="L91" s="658"/>
      <c r="M91" s="772"/>
      <c r="N91" s="773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658"/>
      <c r="D92" s="774">
        <f>+'Income-2021-leva'!D92/1000+IF(+Rounding!$C$131=$B92,+Rounding!D$131,0)+IF(+Rounding!$C$132=$B92,+Rounding!D$132,0)+IF(+Rounding!$C$133=$B92,+Rounding!D$133,0)</f>
        <v>0</v>
      </c>
      <c r="E92" s="775">
        <f>+'Income-2021-leva'!E92/1000+IF(+Rounding!$C$131=$B92,+Rounding!E$131,0)+IF(+Rounding!$C$132=$B92,+Rounding!E$132,0)+IF(+Rounding!$C$133=$B92,+Rounding!E$133,0)</f>
        <v>-21.610939999999999</v>
      </c>
      <c r="F92" s="658"/>
      <c r="G92" s="774">
        <f>+'Income-2021-leva'!G92/1000+IF(+Rounding!$G$131=$B92,+Rounding!H$131,0)+IF(+Rounding!$G$132=$B92,+Rounding!H$132,0)+IF(+Rounding!$G$133=$B92,+Rounding!H$133,0)</f>
        <v>0</v>
      </c>
      <c r="H92" s="775">
        <f>+'Income-2021-leva'!H92/1000+IF(+Rounding!$G$131=$B92,+Rounding!I$131,0)+IF(+Rounding!$G$132=$B92,+Rounding!I$132,0)+IF(+Rounding!$G$133=$B92,+Rounding!I$133,0)</f>
        <v>0</v>
      </c>
      <c r="I92" s="658"/>
      <c r="J92" s="774">
        <f>+'Income-2021-leva'!J92/1000+IF(+Rounding!$K$131=$B92,+Rounding!L$131,0)+IF(+Rounding!$K$132=$B92,+Rounding!L$132,0)+IF(+Rounding!$K$133=$B92,+Rounding!L$133,0)</f>
        <v>0</v>
      </c>
      <c r="K92" s="775">
        <f>+'Income-2021-leva'!K92/1000+IF(+Rounding!$K$131=$B92,+Rounding!M$131,0)+IF(+Rounding!$K$132=$B92,+Rounding!M$132,0)+IF(+Rounding!$K$133=$B92,+Rounding!M$133,0)</f>
        <v>0</v>
      </c>
      <c r="L92" s="658"/>
      <c r="M92" s="774">
        <f>++D92+G92+J92+IF(+Rounding!$O$131=$B92,+Rounding!P$131,0)+IF(+Rounding!$O$132=$B92,+Rounding!P$132,0)+IF(+Rounding!$O$133=$B92,+Rounding!P$133,0)</f>
        <v>0</v>
      </c>
      <c r="N92" s="775">
        <f>++E92+H92+K92+IF(+Rounding!$O$131=$B92,+Rounding!Q$131,0)+IF(+Rounding!$O$132=$B92,+Rounding!Q$132,0)+IF(+Rounding!$O$133=$B92,+Rounding!Q$133,0)</f>
        <v>-21.610939999999999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658"/>
      <c r="D93" s="774">
        <f>+'Income-2021-leva'!D93/1000+IF(+Rounding!$C$131=$B93,+Rounding!D$131,0)+IF(+Rounding!$C$132=$B93,+Rounding!D$132,0)+IF(+Rounding!$C$133=$B93,+Rounding!D$133,0)</f>
        <v>0</v>
      </c>
      <c r="E93" s="775">
        <f>+'Income-2021-leva'!E93/1000+IF(+Rounding!$C$131=$B93,+Rounding!E$131,0)+IF(+Rounding!$C$132=$B93,+Rounding!E$132,0)+IF(+Rounding!$C$133=$B93,+Rounding!E$133,0)</f>
        <v>0</v>
      </c>
      <c r="F93" s="658"/>
      <c r="G93" s="774">
        <f>+'Income-2021-leva'!G93/1000+IF(+Rounding!$G$131=$B93,+Rounding!H$131,0)+IF(+Rounding!$G$132=$B93,+Rounding!H$132,0)+IF(+Rounding!$G$133=$B93,+Rounding!H$133,0)</f>
        <v>0</v>
      </c>
      <c r="H93" s="775">
        <f>+'Income-2021-leva'!H93/1000+IF(+Rounding!$G$131=$B93,+Rounding!I$131,0)+IF(+Rounding!$G$132=$B93,+Rounding!I$132,0)+IF(+Rounding!$G$133=$B93,+Rounding!I$133,0)</f>
        <v>0</v>
      </c>
      <c r="I93" s="658"/>
      <c r="J93" s="774">
        <f>+'Income-2021-leva'!J93/1000+IF(+Rounding!$K$131=$B93,+Rounding!L$131,0)+IF(+Rounding!$K$132=$B93,+Rounding!L$132,0)+IF(+Rounding!$K$133=$B93,+Rounding!L$133,0)</f>
        <v>0</v>
      </c>
      <c r="K93" s="775">
        <f>+'Income-2021-leva'!K93/1000+IF(+Rounding!$K$131=$B93,+Rounding!M$131,0)+IF(+Rounding!$K$132=$B93,+Rounding!M$132,0)+IF(+Rounding!$K$133=$B93,+Rounding!M$133,0)</f>
        <v>0</v>
      </c>
      <c r="L93" s="658"/>
      <c r="M93" s="774">
        <f>++D93+G93+J93+IF(+Rounding!$O$131=$B93,+Rounding!P$131,0)+IF(+Rounding!$O$132=$B93,+Rounding!P$132,0)+IF(+Rounding!$O$133=$B93,+Rounding!P$133,0)</f>
        <v>0</v>
      </c>
      <c r="N93" s="775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658"/>
      <c r="D94" s="774">
        <f>+'Income-2021-leva'!D94/1000+IF(+Rounding!$C$131=$B94,+Rounding!D$131,0)+IF(+Rounding!$C$132=$B94,+Rounding!D$132,0)+IF(+Rounding!$C$133=$B94,+Rounding!D$133,0)</f>
        <v>0</v>
      </c>
      <c r="E94" s="775">
        <f>+'Income-2021-leva'!E94/1000+IF(+Rounding!$C$131=$B94,+Rounding!E$131,0)+IF(+Rounding!$C$132=$B94,+Rounding!E$132,0)+IF(+Rounding!$C$133=$B94,+Rounding!E$133,0)</f>
        <v>0</v>
      </c>
      <c r="F94" s="658"/>
      <c r="G94" s="774">
        <f>+'Income-2021-leva'!G94/1000+IF(+Rounding!$G$131=$B94,+Rounding!H$131,0)+IF(+Rounding!$G$132=$B94,+Rounding!H$132,0)+IF(+Rounding!$G$133=$B94,+Rounding!H$133,0)</f>
        <v>0</v>
      </c>
      <c r="H94" s="775">
        <f>+'Income-2021-leva'!H94/1000+IF(+Rounding!$G$131=$B94,+Rounding!I$131,0)+IF(+Rounding!$G$132=$B94,+Rounding!I$132,0)+IF(+Rounding!$G$133=$B94,+Rounding!I$133,0)</f>
        <v>0</v>
      </c>
      <c r="I94" s="658"/>
      <c r="J94" s="774">
        <f>+'Income-2021-leva'!J94/1000+IF(+Rounding!$K$131=$B94,+Rounding!L$131,0)+IF(+Rounding!$K$132=$B94,+Rounding!L$132,0)+IF(+Rounding!$K$133=$B94,+Rounding!L$133,0)</f>
        <v>0</v>
      </c>
      <c r="K94" s="775">
        <f>+'Income-2021-leva'!K94/1000+IF(+Rounding!$K$131=$B94,+Rounding!M$131,0)+IF(+Rounding!$K$132=$B94,+Rounding!M$132,0)+IF(+Rounding!$K$133=$B94,+Rounding!M$133,0)</f>
        <v>0</v>
      </c>
      <c r="L94" s="658"/>
      <c r="M94" s="774">
        <f>++D94+G94+J94+IF(+Rounding!$O$131=$B94,+Rounding!P$131,0)+IF(+Rounding!$O$132=$B94,+Rounding!P$132,0)+IF(+Rounding!$O$133=$B94,+Rounding!P$133,0)</f>
        <v>0</v>
      </c>
      <c r="N94" s="775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658"/>
      <c r="D95" s="794">
        <f>+SUM(D92:D94)</f>
        <v>0</v>
      </c>
      <c r="E95" s="795">
        <f>+SUM(E92:E94)</f>
        <v>-21.610939999999999</v>
      </c>
      <c r="F95" s="658"/>
      <c r="G95" s="794">
        <f>+SUM(G92:G94)</f>
        <v>0</v>
      </c>
      <c r="H95" s="795">
        <f>+SUM(H92:H94)</f>
        <v>0</v>
      </c>
      <c r="I95" s="658"/>
      <c r="J95" s="794">
        <f>+SUM(J92:J94)</f>
        <v>0</v>
      </c>
      <c r="K95" s="795">
        <f>+SUM(K92:K94)</f>
        <v>0</v>
      </c>
      <c r="L95" s="658"/>
      <c r="M95" s="794">
        <f>+SUM(M92:M94)</f>
        <v>0</v>
      </c>
      <c r="N95" s="795">
        <f>+SUM(N92:N94)</f>
        <v>-21.610939999999999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658"/>
      <c r="D96" s="780"/>
      <c r="E96" s="781"/>
      <c r="F96" s="658"/>
      <c r="G96" s="780"/>
      <c r="H96" s="781"/>
      <c r="I96" s="658"/>
      <c r="J96" s="780"/>
      <c r="K96" s="781"/>
      <c r="L96" s="658"/>
      <c r="M96" s="780"/>
      <c r="N96" s="781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658"/>
      <c r="D97" s="774">
        <f>+'Income-2021-leva'!D97/1000+IF(+Rounding!$C$131=$B97,+Rounding!D$131,0)+IF(+Rounding!$C$132=$B97,+Rounding!D$132,0)+IF(+Rounding!$C$133=$B97,+Rounding!D$133,0)</f>
        <v>0</v>
      </c>
      <c r="E97" s="775">
        <f>+'Income-2021-leva'!E97/1000+IF(+Rounding!$C$131=$B97,+Rounding!E$131,0)+IF(+Rounding!$C$132=$B97,+Rounding!E$132,0)+IF(+Rounding!$C$133=$B97,+Rounding!E$133,0)</f>
        <v>0</v>
      </c>
      <c r="F97" s="658"/>
      <c r="G97" s="774">
        <f>+'Income-2021-leva'!G97/1000+IF(+Rounding!$G$131=$B97,+Rounding!H$131,0)+IF(+Rounding!$G$132=$B97,+Rounding!H$132,0)+IF(+Rounding!$G$133=$B97,+Rounding!H$133,0)</f>
        <v>0</v>
      </c>
      <c r="H97" s="775">
        <f>+'Income-2021-leva'!H97/1000+IF(+Rounding!$G$131=$B97,+Rounding!I$131,0)+IF(+Rounding!$G$132=$B97,+Rounding!I$132,0)+IF(+Rounding!$G$133=$B97,+Rounding!I$133,0)</f>
        <v>0</v>
      </c>
      <c r="I97" s="658"/>
      <c r="J97" s="774">
        <f>+'Income-2021-leva'!J97/1000+IF(+Rounding!$K$131=$B97,+Rounding!L$131,0)+IF(+Rounding!$K$132=$B97,+Rounding!L$132,0)+IF(+Rounding!$K$133=$B97,+Rounding!L$133,0)</f>
        <v>0</v>
      </c>
      <c r="K97" s="775">
        <f>+'Income-2021-leva'!K97/1000+IF(+Rounding!$K$131=$B97,+Rounding!M$131,0)+IF(+Rounding!$K$132=$B97,+Rounding!M$132,0)+IF(+Rounding!$K$133=$B97,+Rounding!M$133,0)</f>
        <v>0</v>
      </c>
      <c r="L97" s="658"/>
      <c r="M97" s="774">
        <f>++D97+G97+J97+IF(+Rounding!$O$131=$B97,+Rounding!P$131,0)+IF(+Rounding!$O$132=$B97,+Rounding!P$132,0)+IF(+Rounding!$O$133=$B97,+Rounding!P$133,0)</f>
        <v>0</v>
      </c>
      <c r="N97" s="775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658"/>
      <c r="D98" s="774">
        <f>+'Income-2021-leva'!D98/1000+IF(+Rounding!$C$131=$B98,+Rounding!D$131,0)+IF(+Rounding!$C$132=$B98,+Rounding!D$132,0)+IF(+Rounding!$C$133=$B98,+Rounding!D$133,0)</f>
        <v>0</v>
      </c>
      <c r="E98" s="775">
        <f>+'Income-2021-leva'!E98/1000+IF(+Rounding!$C$131=$B98,+Rounding!E$131,0)+IF(+Rounding!$C$132=$B98,+Rounding!E$132,0)+IF(+Rounding!$C$133=$B98,+Rounding!E$133,0)</f>
        <v>0</v>
      </c>
      <c r="F98" s="658"/>
      <c r="G98" s="774">
        <f>+'Income-2021-leva'!G98/1000+IF(+Rounding!$G$131=$B98,+Rounding!H$131,0)+IF(+Rounding!$G$132=$B98,+Rounding!H$132,0)+IF(+Rounding!$G$133=$B98,+Rounding!H$133,0)</f>
        <v>0</v>
      </c>
      <c r="H98" s="775">
        <f>+'Income-2021-leva'!H98/1000+IF(+Rounding!$G$131=$B98,+Rounding!I$131,0)+IF(+Rounding!$G$132=$B98,+Rounding!I$132,0)+IF(+Rounding!$G$133=$B98,+Rounding!I$133,0)</f>
        <v>0</v>
      </c>
      <c r="I98" s="658"/>
      <c r="J98" s="774">
        <f>+'Income-2021-leva'!J98/1000+IF(+Rounding!$K$131=$B98,+Rounding!L$131,0)+IF(+Rounding!$K$132=$B98,+Rounding!L$132,0)+IF(+Rounding!$K$133=$B98,+Rounding!L$133,0)</f>
        <v>0</v>
      </c>
      <c r="K98" s="775">
        <f>+'Income-2021-leva'!K98/1000+IF(+Rounding!$K$131=$B98,+Rounding!M$131,0)+IF(+Rounding!$K$132=$B98,+Rounding!M$132,0)+IF(+Rounding!$K$133=$B98,+Rounding!M$133,0)</f>
        <v>0</v>
      </c>
      <c r="L98" s="658"/>
      <c r="M98" s="774">
        <f>++D98+G98+J98+IF(+Rounding!$O$131=$B98,+Rounding!P$131,0)+IF(+Rounding!$O$132=$B98,+Rounding!P$132,0)+IF(+Rounding!$O$133=$B98,+Rounding!P$133,0)</f>
        <v>0</v>
      </c>
      <c r="N98" s="775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658"/>
      <c r="D99" s="774">
        <f>+'Income-2021-leva'!D99/1000+IF(+Rounding!$C$131=$B99,+Rounding!D$131,0)+IF(+Rounding!$C$132=$B99,+Rounding!D$132,0)+IF(+Rounding!$C$133=$B99,+Rounding!D$133,0)</f>
        <v>0.56299999999999994</v>
      </c>
      <c r="E99" s="775">
        <f>+'Income-2021-leva'!E99/1000+IF(+Rounding!$C$131=$B99,+Rounding!E$131,0)+IF(+Rounding!$C$132=$B99,+Rounding!E$132,0)+IF(+Rounding!$C$133=$B99,+Rounding!E$133,0)</f>
        <v>6.0372899999999996</v>
      </c>
      <c r="F99" s="658"/>
      <c r="G99" s="774">
        <f>+'Income-2021-leva'!G99/1000+IF(+Rounding!$G$131=$B99,+Rounding!H$131,0)+IF(+Rounding!$G$132=$B99,+Rounding!H$132,0)+IF(+Rounding!$G$133=$B99,+Rounding!H$133,0)</f>
        <v>0</v>
      </c>
      <c r="H99" s="775">
        <f>+'Income-2021-leva'!H99/1000+IF(+Rounding!$G$131=$B99,+Rounding!I$131,0)+IF(+Rounding!$G$132=$B99,+Rounding!I$132,0)+IF(+Rounding!$G$133=$B99,+Rounding!I$133,0)</f>
        <v>0</v>
      </c>
      <c r="I99" s="658"/>
      <c r="J99" s="774">
        <f>+'Income-2021-leva'!J99/1000+IF(+Rounding!$K$131=$B99,+Rounding!L$131,0)+IF(+Rounding!$K$132=$B99,+Rounding!L$132,0)+IF(+Rounding!$K$133=$B99,+Rounding!L$133,0)</f>
        <v>7.734</v>
      </c>
      <c r="K99" s="775">
        <f>+'Income-2021-leva'!K99/1000+IF(+Rounding!$K$131=$B99,+Rounding!M$131,0)+IF(+Rounding!$K$132=$B99,+Rounding!M$132,0)+IF(+Rounding!$K$133=$B99,+Rounding!M$133,0)</f>
        <v>100.62289999999999</v>
      </c>
      <c r="L99" s="658"/>
      <c r="M99" s="774">
        <f>++D99+G99+J99+IF(+Rounding!$O$131=$B99,+Rounding!P$131,0)+IF(+Rounding!$O$132=$B99,+Rounding!P$132,0)+IF(+Rounding!$O$133=$B99,+Rounding!P$133,0)</f>
        <v>8.2970000000000006</v>
      </c>
      <c r="N99" s="775">
        <f>++E99+H99+K99+IF(+Rounding!$O$131=$B99,+Rounding!Q$131,0)+IF(+Rounding!$O$132=$B99,+Rounding!Q$132,0)+IF(+Rounding!$O$133=$B99,+Rounding!Q$133,0)</f>
        <v>106.66018999999999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658"/>
      <c r="D100" s="774">
        <f>+'Income-2021-leva'!D100/1000+IF(+Rounding!$C$131=$B100,+Rounding!D$131,0)+IF(+Rounding!$C$132=$B100,+Rounding!D$132,0)+IF(+Rounding!$C$133=$B100,+Rounding!D$133,0)</f>
        <v>0</v>
      </c>
      <c r="E100" s="775">
        <f>+'Income-2021-leva'!E100/1000+IF(+Rounding!$C$131=$B100,+Rounding!E$131,0)+IF(+Rounding!$C$132=$B100,+Rounding!E$132,0)+IF(+Rounding!$C$133=$B100,+Rounding!E$133,0)</f>
        <v>126.28444</v>
      </c>
      <c r="F100" s="658"/>
      <c r="G100" s="774">
        <f>+'Income-2021-leva'!G100/1000+IF(+Rounding!$G$131=$B100,+Rounding!H$131,0)+IF(+Rounding!$G$132=$B100,+Rounding!H$132,0)+IF(+Rounding!$G$133=$B100,+Rounding!H$133,0)</f>
        <v>0</v>
      </c>
      <c r="H100" s="775">
        <f>+'Income-2021-leva'!H100/1000+IF(+Rounding!$G$131=$B100,+Rounding!I$131,0)+IF(+Rounding!$G$132=$B100,+Rounding!I$132,0)+IF(+Rounding!$G$133=$B100,+Rounding!I$133,0)</f>
        <v>0</v>
      </c>
      <c r="I100" s="658"/>
      <c r="J100" s="774">
        <f>+'Income-2021-leva'!J100/1000+IF(+Rounding!$K$131=$B100,+Rounding!L$131,0)+IF(+Rounding!$K$132=$B100,+Rounding!L$132,0)+IF(+Rounding!$K$133=$B100,+Rounding!L$133,0)</f>
        <v>0</v>
      </c>
      <c r="K100" s="775">
        <f>+'Income-2021-leva'!K100/1000+IF(+Rounding!$K$131=$B100,+Rounding!M$131,0)+IF(+Rounding!$K$132=$B100,+Rounding!M$132,0)+IF(+Rounding!$K$133=$B100,+Rounding!M$133,0)</f>
        <v>0</v>
      </c>
      <c r="L100" s="658"/>
      <c r="M100" s="774">
        <f>++D100+G100+J100+IF(+Rounding!$O$131=$B100,+Rounding!P$131,0)+IF(+Rounding!$O$132=$B100,+Rounding!P$132,0)+IF(+Rounding!$O$133=$B100,+Rounding!P$133,0)</f>
        <v>0</v>
      </c>
      <c r="N100" s="775">
        <f>++E100+H100+K100+IF(+Rounding!$O$131=$B100,+Rounding!Q$131,0)+IF(+Rounding!$O$132=$B100,+Rounding!Q$132,0)+IF(+Rounding!$O$133=$B100,+Rounding!Q$133,0)</f>
        <v>126.28444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658"/>
      <c r="D101" s="776">
        <f>+'Income-2021-leva'!D101/1000+IF(+Rounding!$C$131=$B101,+Rounding!D$131,0)+IF(+Rounding!$C$132=$B101,+Rounding!D$132,0)+IF(+Rounding!$C$133=$B101,+Rounding!D$133,0)</f>
        <v>0</v>
      </c>
      <c r="E101" s="777">
        <f>+'Income-2021-leva'!E101/1000+IF(+Rounding!$C$131=$B101,+Rounding!E$131,0)+IF(+Rounding!$C$132=$B101,+Rounding!E$132,0)+IF(+Rounding!$C$133=$B101,+Rounding!E$133,0)</f>
        <v>0</v>
      </c>
      <c r="F101" s="658"/>
      <c r="G101" s="776">
        <f>+'Income-2021-leva'!G101/1000+IF(+Rounding!$G$131=$B101,+Rounding!H$131,0)+IF(+Rounding!$G$132=$B101,+Rounding!H$132,0)+IF(+Rounding!$G$133=$B101,+Rounding!H$133,0)</f>
        <v>0</v>
      </c>
      <c r="H101" s="777">
        <f>+'Income-2021-leva'!H101/1000+IF(+Rounding!$G$131=$B101,+Rounding!I$131,0)+IF(+Rounding!$G$132=$B101,+Rounding!I$132,0)+IF(+Rounding!$G$133=$B101,+Rounding!I$133,0)</f>
        <v>0</v>
      </c>
      <c r="I101" s="658"/>
      <c r="J101" s="776">
        <f>+'Income-2021-leva'!J101/1000+IF(+Rounding!$K$131=$B101,+Rounding!L$131,0)+IF(+Rounding!$K$132=$B101,+Rounding!L$132,0)+IF(+Rounding!$K$133=$B101,+Rounding!L$133,0)</f>
        <v>0</v>
      </c>
      <c r="K101" s="777">
        <f>+'Income-2021-leva'!K101/1000+IF(+Rounding!$K$131=$B101,+Rounding!M$131,0)+IF(+Rounding!$K$132=$B101,+Rounding!M$132,0)+IF(+Rounding!$K$133=$B101,+Rounding!M$133,0)</f>
        <v>44.232190000000003</v>
      </c>
      <c r="L101" s="658"/>
      <c r="M101" s="776">
        <f>++D101+G101+J101+IF(+Rounding!$O$131=$B101,+Rounding!P$131,0)+IF(+Rounding!$O$132=$B101,+Rounding!P$132,0)+IF(+Rounding!$O$133=$B101,+Rounding!P$133,0)</f>
        <v>0</v>
      </c>
      <c r="N101" s="777">
        <f>++E101+H101+K101+IF(+Rounding!$O$131=$B101,+Rounding!Q$131,0)+IF(+Rounding!$O$132=$B101,+Rounding!Q$132,0)+IF(+Rounding!$O$133=$B101,+Rounding!Q$133,0)</f>
        <v>44.232190000000003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658"/>
      <c r="D102" s="794">
        <f>++SUM(D97:D101)</f>
        <v>0.56299999999999994</v>
      </c>
      <c r="E102" s="795">
        <f>++SUM(E97:E101)</f>
        <v>132.32173</v>
      </c>
      <c r="F102" s="658"/>
      <c r="G102" s="794">
        <f>++SUM(G97:G101)</f>
        <v>0</v>
      </c>
      <c r="H102" s="795">
        <f>++SUM(H97:H101)</f>
        <v>0</v>
      </c>
      <c r="I102" s="658"/>
      <c r="J102" s="794">
        <f>++SUM(J97:J101)</f>
        <v>7.734</v>
      </c>
      <c r="K102" s="795">
        <f>++SUM(K97:K101)</f>
        <v>144.85508999999999</v>
      </c>
      <c r="L102" s="658"/>
      <c r="M102" s="794">
        <f>++SUM(M97:M101)</f>
        <v>8.2970000000000006</v>
      </c>
      <c r="N102" s="795">
        <f>++SUM(N97:N101)</f>
        <v>277.17682000000002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658"/>
      <c r="D103" s="780"/>
      <c r="E103" s="781"/>
      <c r="F103" s="658"/>
      <c r="G103" s="780"/>
      <c r="H103" s="781"/>
      <c r="I103" s="658"/>
      <c r="J103" s="780"/>
      <c r="K103" s="781"/>
      <c r="L103" s="658"/>
      <c r="M103" s="780"/>
      <c r="N103" s="781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658"/>
      <c r="D104" s="774">
        <f>+'Income-2021-leva'!D104/1000+IF(+Rounding!$C$131=$B104,+Rounding!D$131,0)+IF(+Rounding!$C$132=$B104,+Rounding!D$132,0)+IF(+Rounding!$C$133=$B104,+Rounding!D$133,0)</f>
        <v>0</v>
      </c>
      <c r="E104" s="775">
        <f>+'Income-2021-leva'!E104/1000+IF(+Rounding!$C$131=$B104,+Rounding!E$131,0)+IF(+Rounding!$C$132=$B104,+Rounding!E$132,0)+IF(+Rounding!$C$133=$B104,+Rounding!E$133,0)</f>
        <v>0</v>
      </c>
      <c r="F104" s="658"/>
      <c r="G104" s="774">
        <f>+'Income-2021-leva'!G104/1000+IF(+Rounding!$G$131=$B104,+Rounding!H$131,0)+IF(+Rounding!$G$132=$B104,+Rounding!H$132,0)+IF(+Rounding!$G$133=$B104,+Rounding!H$133,0)</f>
        <v>0</v>
      </c>
      <c r="H104" s="775">
        <f>+'Income-2021-leva'!H104/1000+IF(+Rounding!$G$131=$B104,+Rounding!I$131,0)+IF(+Rounding!$G$132=$B104,+Rounding!I$132,0)+IF(+Rounding!$G$133=$B104,+Rounding!I$133,0)</f>
        <v>0</v>
      </c>
      <c r="I104" s="658"/>
      <c r="J104" s="774">
        <f>+'Income-2021-leva'!J104/1000+IF(+Rounding!$K$131=$B104,+Rounding!L$131,0)+IF(+Rounding!$K$132=$B104,+Rounding!L$132,0)+IF(+Rounding!$K$133=$B104,+Rounding!L$133,0)</f>
        <v>0</v>
      </c>
      <c r="K104" s="775">
        <f>+'Income-2021-leva'!K104/1000+IF(+Rounding!$K$131=$B104,+Rounding!M$131,0)+IF(+Rounding!$K$132=$B104,+Rounding!M$132,0)+IF(+Rounding!$K$133=$B104,+Rounding!M$133,0)</f>
        <v>0</v>
      </c>
      <c r="L104" s="658"/>
      <c r="M104" s="774">
        <f>++D104+G104+J104+IF(+Rounding!$O$131=$B104,+Rounding!P$131,0)+IF(+Rounding!$O$132=$B104,+Rounding!P$132,0)+IF(+Rounding!$O$133=$B104,+Rounding!P$133,0)</f>
        <v>0</v>
      </c>
      <c r="N104" s="775">
        <f>++E104+H104+K104+IF(+Rounding!$O$131=$B104,+Rounding!Q$131,0)+IF(+Rounding!$O$132=$B104,+Rounding!Q$132,0)+IF(+Rounding!$O$133=$B104,+Rounding!Q$133,0)</f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658"/>
      <c r="D105" s="774">
        <f>+'Income-2021-leva'!D105/1000+IF(+Rounding!$C$131=$B105,+Rounding!D$131,0)+IF(+Rounding!$C$132=$B105,+Rounding!D$132,0)+IF(+Rounding!$C$133=$B105,+Rounding!D$133,0)</f>
        <v>0</v>
      </c>
      <c r="E105" s="775">
        <f>+'Income-2021-leva'!E105/1000+IF(+Rounding!$C$131=$B105,+Rounding!E$131,0)+IF(+Rounding!$C$132=$B105,+Rounding!E$132,0)+IF(+Rounding!$C$133=$B105,+Rounding!E$133,0)</f>
        <v>0</v>
      </c>
      <c r="F105" s="658"/>
      <c r="G105" s="774">
        <f>+'Income-2021-leva'!G105/1000+IF(+Rounding!$G$131=$B105,+Rounding!H$131,0)+IF(+Rounding!$G$132=$B105,+Rounding!H$132,0)+IF(+Rounding!$G$133=$B105,+Rounding!H$133,0)</f>
        <v>0</v>
      </c>
      <c r="H105" s="775">
        <f>+'Income-2021-leva'!H105/1000+IF(+Rounding!$G$131=$B105,+Rounding!I$131,0)+IF(+Rounding!$G$132=$B105,+Rounding!I$132,0)+IF(+Rounding!$G$133=$B105,+Rounding!I$133,0)</f>
        <v>0</v>
      </c>
      <c r="I105" s="658"/>
      <c r="J105" s="774">
        <f>+'Income-2021-leva'!J105/1000+IF(+Rounding!$K$131=$B105,+Rounding!L$131,0)+IF(+Rounding!$K$132=$B105,+Rounding!L$132,0)+IF(+Rounding!$K$133=$B105,+Rounding!L$133,0)</f>
        <v>0</v>
      </c>
      <c r="K105" s="775">
        <f>+'Income-2021-leva'!K105/1000+IF(+Rounding!$K$131=$B105,+Rounding!M$131,0)+IF(+Rounding!$K$132=$B105,+Rounding!M$132,0)+IF(+Rounding!$K$133=$B105,+Rounding!M$133,0)</f>
        <v>0</v>
      </c>
      <c r="L105" s="658"/>
      <c r="M105" s="774">
        <f>++D105+G105+J105+IF(+Rounding!$O$131=$B105,+Rounding!P$131,0)+IF(+Rounding!$O$132=$B105,+Rounding!P$132,0)+IF(+Rounding!$O$133=$B105,+Rounding!P$133,0)</f>
        <v>0</v>
      </c>
      <c r="N105" s="775">
        <f>++E105+H105+K105+IF(+Rounding!$O$131=$B105,+Rounding!Q$131,0)+IF(+Rounding!$O$132=$B105,+Rounding!Q$132,0)+IF(+Rounding!$O$133=$B105,+Rounding!Q$133,0)</f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658"/>
      <c r="D106" s="774">
        <f>+'Income-2021-leva'!D106/1000+IF(+Rounding!$C$131=$B106,+Rounding!D$131,0)+IF(+Rounding!$C$132=$B106,+Rounding!D$132,0)+IF(+Rounding!$C$133=$B106,+Rounding!D$133,0)</f>
        <v>5.296E-2</v>
      </c>
      <c r="E106" s="775">
        <f>+'Income-2021-leva'!E106/1000+IF(+Rounding!$C$131=$B106,+Rounding!E$131,0)+IF(+Rounding!$C$132=$B106,+Rounding!E$132,0)+IF(+Rounding!$C$133=$B106,+Rounding!E$133,0)</f>
        <v>9.4798099999999987</v>
      </c>
      <c r="F106" s="658"/>
      <c r="G106" s="774">
        <f>+'Income-2021-leva'!G106/1000+IF(+Rounding!$G$131=$B106,+Rounding!H$131,0)+IF(+Rounding!$G$132=$B106,+Rounding!H$132,0)+IF(+Rounding!$G$133=$B106,+Rounding!H$133,0)</f>
        <v>0</v>
      </c>
      <c r="H106" s="775">
        <f>+'Income-2021-leva'!H106/1000+IF(+Rounding!$G$131=$B106,+Rounding!I$131,0)+IF(+Rounding!$G$132=$B106,+Rounding!I$132,0)+IF(+Rounding!$G$133=$B106,+Rounding!I$133,0)</f>
        <v>0</v>
      </c>
      <c r="I106" s="658"/>
      <c r="J106" s="774">
        <f>+'Income-2021-leva'!J106/1000+IF(+Rounding!$K$131=$B106,+Rounding!L$131,0)+IF(+Rounding!$K$132=$B106,+Rounding!L$132,0)+IF(+Rounding!$K$133=$B106,+Rounding!L$133,0)</f>
        <v>0</v>
      </c>
      <c r="K106" s="775">
        <f>+'Income-2021-leva'!K106/1000+IF(+Rounding!$K$131=$B106,+Rounding!M$131,0)+IF(+Rounding!$K$132=$B106,+Rounding!M$132,0)+IF(+Rounding!$K$133=$B106,+Rounding!M$133,0)</f>
        <v>0</v>
      </c>
      <c r="L106" s="658"/>
      <c r="M106" s="774">
        <f>++D106+G106+J106+IF(+Rounding!$O$131=$B106,+Rounding!P$131,0)+IF(+Rounding!$O$132=$B106,+Rounding!P$132,0)+IF(+Rounding!$O$133=$B106,+Rounding!P$133,0)</f>
        <v>5.296E-2</v>
      </c>
      <c r="N106" s="775">
        <f>++E106+H106+K106+IF(+Rounding!$O$131=$B106,+Rounding!Q$131,0)+IF(+Rounding!$O$132=$B106,+Rounding!Q$132,0)+IF(+Rounding!$O$133=$B106,+Rounding!Q$133,0)</f>
        <v>9.4798099999999987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658"/>
      <c r="D107" s="774">
        <f>+'Income-2021-leva'!D107/1000+IF(+Rounding!$C$131=$B107,+Rounding!D$131,0)+IF(+Rounding!$C$132=$B107,+Rounding!D$132,0)+IF(+Rounding!$C$133=$B107,+Rounding!D$133,0)</f>
        <v>0</v>
      </c>
      <c r="E107" s="775">
        <f>+'Income-2021-leva'!E107/1000+IF(+Rounding!$C$131=$B107,+Rounding!E$131,0)+IF(+Rounding!$C$132=$B107,+Rounding!E$132,0)+IF(+Rounding!$C$133=$B107,+Rounding!E$133,0)</f>
        <v>0</v>
      </c>
      <c r="F107" s="658"/>
      <c r="G107" s="774">
        <f>+'Income-2021-leva'!G107/1000+IF(+Rounding!$G$131=$B107,+Rounding!H$131,0)+IF(+Rounding!$G$132=$B107,+Rounding!H$132,0)+IF(+Rounding!$G$133=$B107,+Rounding!H$133,0)</f>
        <v>0</v>
      </c>
      <c r="H107" s="775">
        <f>+'Income-2021-leva'!H107/1000+IF(+Rounding!$G$131=$B107,+Rounding!I$131,0)+IF(+Rounding!$G$132=$B107,+Rounding!I$132,0)+IF(+Rounding!$G$133=$B107,+Rounding!I$133,0)</f>
        <v>0</v>
      </c>
      <c r="I107" s="658"/>
      <c r="J107" s="774">
        <f>+'Income-2021-leva'!J107/1000+IF(+Rounding!$K$131=$B107,+Rounding!L$131,0)+IF(+Rounding!$K$132=$B107,+Rounding!L$132,0)+IF(+Rounding!$K$133=$B107,+Rounding!L$133,0)</f>
        <v>0</v>
      </c>
      <c r="K107" s="775">
        <f>+'Income-2021-leva'!K107/1000+IF(+Rounding!$K$131=$B107,+Rounding!M$131,0)+IF(+Rounding!$K$132=$B107,+Rounding!M$132,0)+IF(+Rounding!$K$133=$B107,+Rounding!M$133,0)</f>
        <v>0</v>
      </c>
      <c r="L107" s="658"/>
      <c r="M107" s="774">
        <f>++D107+G107+J107+IF(+Rounding!$O$131=$B107,+Rounding!P$131,0)+IF(+Rounding!$O$132=$B107,+Rounding!P$132,0)+IF(+Rounding!$O$133=$B107,+Rounding!P$133,0)</f>
        <v>0</v>
      </c>
      <c r="N107" s="775">
        <f>++E107+H107+K107+IF(+Rounding!$O$131=$B107,+Rounding!Q$131,0)+IF(+Rounding!$O$132=$B107,+Rounding!Q$132,0)+IF(+Rounding!$O$133=$B107,+Rounding!Q$133,0)</f>
        <v>0</v>
      </c>
      <c r="O107" s="152"/>
      <c r="P107" s="152"/>
      <c r="Q107" s="1897" t="s">
        <v>1873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658"/>
      <c r="D108" s="776">
        <f>+'Income-2021-leva'!D108/1000+IF(+Rounding!$C$131=$B108,+Rounding!D$131,0)+IF(+Rounding!$C$132=$B108,+Rounding!D$132,0)+IF(+Rounding!$C$133=$B108,+Rounding!D$133,0)</f>
        <v>0</v>
      </c>
      <c r="E108" s="777">
        <f>+'Income-2021-leva'!E108/1000+IF(+Rounding!$C$131=$B108,+Rounding!E$131,0)+IF(+Rounding!$C$132=$B108,+Rounding!E$132,0)+IF(+Rounding!$C$133=$B108,+Rounding!E$133,0)</f>
        <v>0</v>
      </c>
      <c r="F108" s="658"/>
      <c r="G108" s="776">
        <f>+'Income-2021-leva'!G108/1000+IF(+Rounding!$G$131=$B108,+Rounding!H$131,0)+IF(+Rounding!$G$132=$B108,+Rounding!H$132,0)+IF(+Rounding!$G$133=$B108,+Rounding!H$133,0)</f>
        <v>0</v>
      </c>
      <c r="H108" s="777">
        <f>+'Income-2021-leva'!H108/1000+IF(+Rounding!$G$131=$B108,+Rounding!I$131,0)+IF(+Rounding!$G$132=$B108,+Rounding!I$132,0)+IF(+Rounding!$G$133=$B108,+Rounding!I$133,0)</f>
        <v>0</v>
      </c>
      <c r="I108" s="658"/>
      <c r="J108" s="776">
        <f>+'Income-2021-leva'!J108/1000+IF(+Rounding!$K$131=$B108,+Rounding!L$131,0)+IF(+Rounding!$K$132=$B108,+Rounding!L$132,0)+IF(+Rounding!$K$133=$B108,+Rounding!L$133,0)</f>
        <v>0</v>
      </c>
      <c r="K108" s="777">
        <f>+'Income-2021-leva'!K108/1000+IF(+Rounding!$K$131=$B108,+Rounding!M$131,0)+IF(+Rounding!$K$132=$B108,+Rounding!M$132,0)+IF(+Rounding!$K$133=$B108,+Rounding!M$133,0)</f>
        <v>0</v>
      </c>
      <c r="L108" s="658"/>
      <c r="M108" s="776">
        <f>++D108+G108+J108+IF(+Rounding!$O$131=$B108,+Rounding!P$131,0)+IF(+Rounding!$O$132=$B108,+Rounding!P$132,0)+IF(+Rounding!$O$133=$B108,+Rounding!P$133,0)</f>
        <v>0</v>
      </c>
      <c r="N108" s="777">
        <f>++E108+H108+K108+IF(+Rounding!$O$131=$B108,+Rounding!Q$131,0)+IF(+Rounding!$O$132=$B108,+Rounding!Q$132,0)+IF(+Rounding!$O$133=$B108,+Rounding!Q$133,0)</f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658"/>
      <c r="D109" s="794">
        <f>++SUM(D104:D108)</f>
        <v>5.296E-2</v>
      </c>
      <c r="E109" s="795">
        <f>++SUM(E104:E108)</f>
        <v>9.4798099999999987</v>
      </c>
      <c r="F109" s="658"/>
      <c r="G109" s="794">
        <f>++SUM(G104:G108)</f>
        <v>0</v>
      </c>
      <c r="H109" s="795">
        <f>++SUM(H104:H108)</f>
        <v>0</v>
      </c>
      <c r="I109" s="658"/>
      <c r="J109" s="794">
        <f>++SUM(J104:J108)</f>
        <v>0</v>
      </c>
      <c r="K109" s="795">
        <f>++SUM(K104:K108)</f>
        <v>0</v>
      </c>
      <c r="L109" s="658"/>
      <c r="M109" s="794">
        <f>++SUM(M104:M108)</f>
        <v>5.296E-2</v>
      </c>
      <c r="N109" s="795">
        <f>++SUM(N104:N108)</f>
        <v>9.4798099999999987</v>
      </c>
      <c r="O109" s="152"/>
      <c r="P109" s="2599" t="s">
        <v>1300</v>
      </c>
      <c r="Q109" s="2600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58"/>
      <c r="D110" s="780"/>
      <c r="E110" s="781"/>
      <c r="F110" s="658"/>
      <c r="G110" s="780"/>
      <c r="H110" s="781"/>
      <c r="I110" s="658"/>
      <c r="J110" s="780"/>
      <c r="K110" s="781"/>
      <c r="L110" s="658"/>
      <c r="M110" s="780"/>
      <c r="N110" s="781"/>
      <c r="O110" s="152"/>
      <c r="P110" s="2601"/>
      <c r="Q110" s="260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658"/>
      <c r="D111" s="796">
        <f>+D90+D95+D102-D109</f>
        <v>128.54574999999997</v>
      </c>
      <c r="E111" s="797">
        <f>+E90+E95+E102-E109</f>
        <v>327.79821000000004</v>
      </c>
      <c r="F111" s="658"/>
      <c r="G111" s="796">
        <f>+G90+G95+G102-G109</f>
        <v>-30.716009999999997</v>
      </c>
      <c r="H111" s="797">
        <f>+H90+H95+H102-H109</f>
        <v>-47.878830000000001</v>
      </c>
      <c r="I111" s="658"/>
      <c r="J111" s="796">
        <f>+J90+J95+J102-J109</f>
        <v>7.734</v>
      </c>
      <c r="K111" s="797">
        <f>+K90+K95+K102-K109</f>
        <v>-11.059709999999995</v>
      </c>
      <c r="L111" s="658"/>
      <c r="M111" s="796">
        <f>+M90+M95+M102-M109</f>
        <v>105.56374</v>
      </c>
      <c r="N111" s="797">
        <f>+N90+N95+N102-N109</f>
        <v>268.85967000000011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58"/>
      <c r="D112" s="780"/>
      <c r="E112" s="781"/>
      <c r="F112" s="658"/>
      <c r="G112" s="780"/>
      <c r="H112" s="781"/>
      <c r="I112" s="658"/>
      <c r="J112" s="780"/>
      <c r="K112" s="781"/>
      <c r="L112" s="658"/>
      <c r="M112" s="780"/>
      <c r="N112" s="781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658"/>
      <c r="D113" s="798">
        <f>+D40+D81+D85+D111-D77</f>
        <v>-5.4339200000031269</v>
      </c>
      <c r="E113" s="799">
        <f>+E40+E81+E85+E111-E77</f>
        <v>1979.2877400000016</v>
      </c>
      <c r="F113" s="658"/>
      <c r="G113" s="798">
        <f>+G40+G81+G85+G111-G77</f>
        <v>3336.8743900000004</v>
      </c>
      <c r="H113" s="799">
        <f>+H40+H81+H85+H111-H77</f>
        <v>-5881.0251500000013</v>
      </c>
      <c r="I113" s="658"/>
      <c r="J113" s="798">
        <f>+J40+J81+J85+J111-J77</f>
        <v>-734.43884999999989</v>
      </c>
      <c r="K113" s="799">
        <f>+K40+K81+K85+K111-K77</f>
        <v>4862.2919000000002</v>
      </c>
      <c r="L113" s="658"/>
      <c r="M113" s="798">
        <f>+M40+M81+M85+M111-M77</f>
        <v>2597.0016199999991</v>
      </c>
      <c r="N113" s="799">
        <f>+N40+N81+N85+N111-N77</f>
        <v>960.55449000000044</v>
      </c>
      <c r="O113" s="152"/>
      <c r="P113" s="1685">
        <f>+P29-P53-P74</f>
        <v>0</v>
      </c>
      <c r="Q113" s="1686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19"/>
      <c r="B114" s="817"/>
      <c r="C114" s="658"/>
      <c r="D114" s="820"/>
      <c r="E114" s="820"/>
      <c r="F114" s="658"/>
      <c r="G114" s="820"/>
      <c r="H114" s="820"/>
      <c r="I114" s="658"/>
      <c r="J114" s="820"/>
      <c r="K114" s="820"/>
      <c r="L114" s="658"/>
      <c r="M114" s="820"/>
      <c r="N114" s="820"/>
      <c r="O114" s="152"/>
      <c r="P114" s="2542" t="str">
        <f>+'Income-2021-leva'!P114:Q114</f>
        <v>O K</v>
      </c>
      <c r="Q114" s="254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2018" t="s">
        <v>1978</v>
      </c>
      <c r="B115" s="821"/>
      <c r="C115" s="658"/>
      <c r="D115" s="2034">
        <f>+'Income-2021-leva'!D115</f>
        <v>0</v>
      </c>
      <c r="E115" s="2018" t="s">
        <v>1976</v>
      </c>
      <c r="F115" s="658"/>
      <c r="G115" s="823"/>
      <c r="H115" s="822"/>
      <c r="I115" s="822"/>
      <c r="J115" s="822"/>
      <c r="K115" s="2018" t="s">
        <v>1974</v>
      </c>
      <c r="L115" s="658"/>
      <c r="M115" s="826"/>
      <c r="N115" s="827"/>
      <c r="O115" s="152"/>
      <c r="P115" s="2597" t="str">
        <f>+'Income-2021-leva'!P115:Q115</f>
        <v>O K</v>
      </c>
      <c r="Q115" s="2597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18"/>
      <c r="B116" s="818"/>
      <c r="C116" s="658"/>
      <c r="D116" s="818"/>
      <c r="E116" s="818"/>
      <c r="F116" s="658"/>
      <c r="G116" s="823"/>
      <c r="H116" s="2590">
        <f>+'BALANCE-SHEET-2021-leva'!H97:J97</f>
        <v>0</v>
      </c>
      <c r="I116" s="2590"/>
      <c r="J116" s="2590"/>
      <c r="K116" s="823"/>
      <c r="L116" s="658"/>
      <c r="M116" s="2616">
        <f>+'BALANCE-SHEET-2021-leva'!M97</f>
        <v>0</v>
      </c>
      <c r="N116" s="2616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18"/>
      <c r="B117" s="818"/>
      <c r="C117" s="658"/>
      <c r="D117" s="818"/>
      <c r="E117" s="818"/>
      <c r="F117" s="658"/>
      <c r="G117" s="823"/>
      <c r="H117" s="824"/>
      <c r="I117" s="658"/>
      <c r="J117" s="825"/>
      <c r="K117" s="823"/>
      <c r="L117" s="658"/>
      <c r="M117" s="825"/>
      <c r="N117" s="82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1"/>
      <c r="C118" s="1881"/>
      <c r="D118" s="1881"/>
      <c r="E118" s="1881"/>
      <c r="F118" s="1881"/>
      <c r="G118" s="1881"/>
      <c r="H118" s="1881"/>
      <c r="I118" s="1881"/>
      <c r="J118" s="1881"/>
      <c r="K118" s="1881"/>
      <c r="L118" s="1881"/>
      <c r="M118" s="1881"/>
      <c r="N118" s="1881"/>
      <c r="O118" s="152"/>
      <c r="P118" s="152"/>
      <c r="Q118" s="1897" t="s">
        <v>1873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82"/>
      <c r="B119" s="1883"/>
      <c r="C119" s="1884"/>
      <c r="D119" s="1883"/>
      <c r="E119" s="1885"/>
      <c r="F119" s="1884"/>
      <c r="G119" s="1883"/>
      <c r="H119" s="1883"/>
      <c r="I119" s="1884"/>
      <c r="J119" s="1883"/>
      <c r="K119" s="1883"/>
      <c r="L119" s="1884"/>
      <c r="M119" s="1883"/>
      <c r="N119" s="1883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8"/>
      <c r="D120" s="152"/>
      <c r="E120" s="152"/>
      <c r="F120" s="198"/>
      <c r="G120" s="152"/>
      <c r="H120" s="152"/>
      <c r="I120" s="152"/>
      <c r="J120" s="152"/>
      <c r="K120" s="152"/>
      <c r="L120" s="198"/>
      <c r="M120" s="152"/>
      <c r="N120" s="152"/>
      <c r="O120" s="152"/>
      <c r="P120" s="1673" t="s">
        <v>1302</v>
      </c>
      <c r="Q120" s="1674"/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5.75">
      <c r="A121" s="937" t="s">
        <v>1143</v>
      </c>
      <c r="B121" s="938"/>
      <c r="C121" s="198"/>
      <c r="D121" s="929" t="str">
        <f>+IF(+ROUND(D124,2)=0,"O K","НЕРАВНЕНИЕ !")</f>
        <v>O K</v>
      </c>
      <c r="E121" s="1966" t="str">
        <f>+IF(+ROUND(E124,0)=0,"O K","НЕРАВНЕНИЕ !")</f>
        <v>O K</v>
      </c>
      <c r="F121" s="198"/>
      <c r="G121" s="931" t="str">
        <f>+IF(+ROUND(G124,2)=0,"O K","НЕРАВНЕНИЕ !")</f>
        <v>O K</v>
      </c>
      <c r="H121" s="1968" t="str">
        <f>+IF(+ROUND(H124,0)=0,"O K","НЕРАВНЕНИЕ !")</f>
        <v>O K</v>
      </c>
      <c r="I121" s="152"/>
      <c r="J121" s="933" t="str">
        <f>+IF(+ROUND(J124,2)=0,"O K","НЕРАВНЕНИЕ !")</f>
        <v>O K</v>
      </c>
      <c r="K121" s="1970" t="str">
        <f>+IF(+ROUND(K124,0)=0,"O K","НЕРАВНЕНИЕ !")</f>
        <v>O K</v>
      </c>
      <c r="L121" s="198"/>
      <c r="M121" s="935" t="str">
        <f>+IF(+ROUND(M124,2)=0,"O K","НЕРАВНЕНИЕ !")</f>
        <v>O K</v>
      </c>
      <c r="N121" s="1972" t="str">
        <f>+IF(+ROUND(N124,0)=0,"O K","НЕРАВНЕНИЕ !")</f>
        <v>O K</v>
      </c>
      <c r="O121" s="152"/>
      <c r="P121" s="1687" t="str">
        <f>+IF(ROUND(+P122,0)=0,"O K","НЕРАВНЕНИЕ !")</f>
        <v>O K</v>
      </c>
      <c r="Q121" s="1687" t="str">
        <f>+IF(ROUND(+Q122,0)=0,"O K","НЕРАВНЕНИЕ !")</f>
        <v>O K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939" t="s">
        <v>1142</v>
      </c>
      <c r="B122" s="940"/>
      <c r="C122" s="198"/>
      <c r="D122" s="930" t="str">
        <f>+IF(+ROUND(D125,0)=0,"O K","НЕРАВНЕНИЕ !")</f>
        <v>O K</v>
      </c>
      <c r="E122" s="1967" t="str">
        <f>+IF(+ROUND(E125,0)=0,"O K","НЕРАВНЕНИЕ !")</f>
        <v>O K</v>
      </c>
      <c r="F122" s="198"/>
      <c r="G122" s="932" t="str">
        <f>+IF(+ROUND(G125,0)=0,"O K","НЕРАВНЕНИЕ !")</f>
        <v>O K</v>
      </c>
      <c r="H122" s="1969" t="str">
        <f>+IF(+ROUND(H125,0)=0,"O K","НЕРАВНЕНИЕ !")</f>
        <v>O K</v>
      </c>
      <c r="I122" s="152"/>
      <c r="J122" s="934" t="str">
        <f>+IF(+ROUND(J125,0)=0,"O K","НЕРАВНЕНИЕ !")</f>
        <v>O K</v>
      </c>
      <c r="K122" s="1971" t="str">
        <f>+IF(+ROUND(K125,0)=0,"O K","НЕРАВНЕНИЕ !")</f>
        <v>O K</v>
      </c>
      <c r="L122" s="198"/>
      <c r="M122" s="936" t="str">
        <f>+IF(+ROUND(M125,0)=0,"O K","НЕРАВНЕНИЕ !")</f>
        <v>O K</v>
      </c>
      <c r="N122" s="1973" t="str">
        <f>+IF(+ROUND(N125,0)=0,"O K","НЕРАВНЕНИЕ !")</f>
        <v>O K</v>
      </c>
      <c r="O122" s="152"/>
      <c r="P122" s="1687">
        <f>+P113-('BALANCE-SHEET-2021'!P65)</f>
        <v>0</v>
      </c>
      <c r="Q122" s="1687">
        <f>+Q113-('BALANCE-SHEET-2021'!Q65)</f>
        <v>0</v>
      </c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8"/>
      <c r="D123" s="152"/>
      <c r="E123" s="152"/>
      <c r="F123" s="198"/>
      <c r="G123" s="152"/>
      <c r="H123" s="152"/>
      <c r="I123" s="152"/>
      <c r="J123" s="152"/>
      <c r="K123" s="152"/>
      <c r="L123" s="198"/>
      <c r="M123" s="152"/>
      <c r="N123" s="152"/>
      <c r="O123" s="152"/>
      <c r="P123" s="1705" t="s">
        <v>1870</v>
      </c>
      <c r="Q123" s="1706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5.75">
      <c r="A124" s="937" t="s">
        <v>1131</v>
      </c>
      <c r="B124" s="938"/>
      <c r="C124" s="198"/>
      <c r="D124" s="941">
        <f>+ROUND(D113-'BALANCE-SHEET-2021'!D65,0)</f>
        <v>0</v>
      </c>
      <c r="E124" s="1976">
        <f>+ROUND(E113-'BALANCE-SHEET-2021'!E65,0)</f>
        <v>0</v>
      </c>
      <c r="F124" s="320"/>
      <c r="G124" s="942">
        <f>+ROUND(G113-'BALANCE-SHEET-2021'!G65,0)</f>
        <v>0</v>
      </c>
      <c r="H124" s="1978">
        <f>+ROUND(H113-'BALANCE-SHEET-2021'!H65,0)</f>
        <v>0</v>
      </c>
      <c r="I124" s="943"/>
      <c r="J124" s="944">
        <f>+ROUND(J113-'BALANCE-SHEET-2021'!J65,0)</f>
        <v>0</v>
      </c>
      <c r="K124" s="1980">
        <f>+ROUND(K113-'BALANCE-SHEET-2021'!K65,0)</f>
        <v>0</v>
      </c>
      <c r="L124" s="320"/>
      <c r="M124" s="948">
        <f>+ROUND(M113-'BALANCE-SHEET-2021'!M65,0)</f>
        <v>0</v>
      </c>
      <c r="N124" s="1982">
        <f>+ROUND(N113-'BALANCE-SHEET-2021'!N65,0)</f>
        <v>0</v>
      </c>
      <c r="O124" s="152"/>
      <c r="P124" s="1707" t="s">
        <v>1871</v>
      </c>
      <c r="Q124" s="1708"/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6.5" thickBot="1">
      <c r="A125" s="939" t="s">
        <v>1141</v>
      </c>
      <c r="B125" s="940"/>
      <c r="C125" s="198"/>
      <c r="D125" s="945">
        <f>+ROUND(D113-(SUM('TRIAL-BALANCE'!T384:T828)-SUM('TRIAL-BALANCE'!S384:S828))/1000,0)</f>
        <v>0</v>
      </c>
      <c r="E125" s="1977">
        <f>+ROUND(E113-'R &amp; E data-2020'!P464/1000,0)</f>
        <v>0</v>
      </c>
      <c r="F125" s="320"/>
      <c r="G125" s="946">
        <f>+ROUND(G113-(SUM('TRIAL-BALANCE'!AA384:AA828)-SUM('TRIAL-BALANCE'!Z384:Z828))/1000,0)</f>
        <v>0</v>
      </c>
      <c r="H125" s="1979">
        <f>+ROUND(H113-'R &amp; E data-2020'!S464/1000,0)</f>
        <v>0</v>
      </c>
      <c r="I125" s="943"/>
      <c r="J125" s="947">
        <f>+ROUND(J113-(SUM('TRIAL-BALANCE'!AH384:AH828)-SUM('TRIAL-BALANCE'!AG384:AG828))/1000,0)</f>
        <v>0</v>
      </c>
      <c r="K125" s="1981">
        <f>+ROUND(K113-'R &amp; E data-2020'!V464/1000,0)</f>
        <v>0</v>
      </c>
      <c r="L125" s="320"/>
      <c r="M125" s="949">
        <f>+ROUND(M113-P113,0)-ROUND((SUM('TRIAL-BALANCE'!AP384:AP828)-SUM('TRIAL-BALANCE'!AO384:AO828))/1000,0)</f>
        <v>0</v>
      </c>
      <c r="N125" s="1983">
        <f>+ROUND(N113-Q113,0)-ROUND('R &amp; E data-2020'!Y464/1000,0)</f>
        <v>0</v>
      </c>
      <c r="O125" s="152"/>
      <c r="P125" s="1709" t="s">
        <v>1872</v>
      </c>
      <c r="Q125" s="1896" t="str">
        <f>+Q25</f>
        <v>'Municipal-Bal'</v>
      </c>
      <c r="R125" s="152"/>
      <c r="S125" s="152"/>
      <c r="T125" s="152"/>
      <c r="U125" s="198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710" t="s">
        <v>1305</v>
      </c>
      <c r="Q126" s="1711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8"/>
      <c r="D127" s="152"/>
      <c r="E127" s="152"/>
      <c r="F127" s="198"/>
      <c r="G127" s="152"/>
      <c r="H127" s="152"/>
      <c r="I127" s="198"/>
      <c r="J127" s="152"/>
      <c r="K127" s="152"/>
      <c r="L127" s="198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43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 objects="1" scenarios="1"/>
  <mergeCells count="25"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  <mergeCell ref="P30:Q30"/>
    <mergeCell ref="P115:Q115"/>
    <mergeCell ref="P54:Q54"/>
    <mergeCell ref="P55:Q55"/>
    <mergeCell ref="P109:Q110"/>
    <mergeCell ref="P114:Q114"/>
    <mergeCell ref="P77:Q77"/>
    <mergeCell ref="P31:Q31"/>
    <mergeCell ref="P32:Q32"/>
    <mergeCell ref="P75:Q75"/>
    <mergeCell ref="P76:Q76"/>
    <mergeCell ref="K3:N3"/>
  </mergeCells>
  <conditionalFormatting sqref="M5">
    <cfRule type="cellIs" dxfId="1246" priority="70" stopIfTrue="1" operator="equal">
      <formula>0</formula>
    </cfRule>
  </conditionalFormatting>
  <conditionalFormatting sqref="A1:D1 G1:H1 G3:H3 K1">
    <cfRule type="cellIs" dxfId="1245" priority="71" stopIfTrue="1" operator="equal">
      <formula>0</formula>
    </cfRule>
  </conditionalFormatting>
  <conditionalFormatting sqref="G124:H125 J124:K125 D124:E125 M124:N124">
    <cfRule type="cellIs" dxfId="1244" priority="66" stopIfTrue="1" operator="notEqual">
      <formula>0</formula>
    </cfRule>
  </conditionalFormatting>
  <conditionalFormatting sqref="D121:E122">
    <cfRule type="cellIs" dxfId="1243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2" priority="63" stopIfTrue="1" operator="equal">
      <formula>"НЕРАВНЕНИЕ !"</formula>
    </cfRule>
  </conditionalFormatting>
  <conditionalFormatting sqref="J121:K122 M121:N122">
    <cfRule type="cellIs" dxfId="1241" priority="62" stopIfTrue="1" operator="equal">
      <formula>"НЕРАВНЕНИЕ !"</formula>
    </cfRule>
  </conditionalFormatting>
  <conditionalFormatting sqref="K3">
    <cfRule type="cellIs" dxfId="1240" priority="61" stopIfTrue="1" operator="equal">
      <formula>0</formula>
    </cfRule>
  </conditionalFormatting>
  <conditionalFormatting sqref="N1">
    <cfRule type="cellIs" dxfId="1239" priority="60" stopIfTrue="1" operator="equal">
      <formula>0</formula>
    </cfRule>
  </conditionalFormatting>
  <conditionalFormatting sqref="Q22:Q23">
    <cfRule type="cellIs" dxfId="1238" priority="55" stopIfTrue="1" operator="equal">
      <formula>"O K"</formula>
    </cfRule>
  </conditionalFormatting>
  <conditionalFormatting sqref="P121">
    <cfRule type="cellIs" dxfId="1237" priority="41" stopIfTrue="1" operator="equal">
      <formula>"НЕРАВНЕНИЕ !"</formula>
    </cfRule>
  </conditionalFormatting>
  <conditionalFormatting sqref="P122">
    <cfRule type="cellIs" dxfId="1236" priority="40" stopIfTrue="1" operator="notEqual">
      <formula>0</formula>
    </cfRule>
  </conditionalFormatting>
  <conditionalFormatting sqref="Q122">
    <cfRule type="cellIs" dxfId="1235" priority="39" stopIfTrue="1" operator="notEqual">
      <formula>0</formula>
    </cfRule>
  </conditionalFormatting>
  <conditionalFormatting sqref="Q121">
    <cfRule type="cellIs" dxfId="1234" priority="38" stopIfTrue="1" operator="equal">
      <formula>"НЕРАВНЕНИЕ !"</formula>
    </cfRule>
  </conditionalFormatting>
  <conditionalFormatting sqref="M125:N125">
    <cfRule type="cellIs" dxfId="1233" priority="25" stopIfTrue="1" operator="notEqual">
      <formula>0</formula>
    </cfRule>
  </conditionalFormatting>
  <conditionalFormatting sqref="A9">
    <cfRule type="cellIs" dxfId="1232" priority="24" operator="equal">
      <formula>"Непопълнен ред в таблица 'Cash-deficit'!"</formula>
    </cfRule>
  </conditionalFormatting>
  <conditionalFormatting sqref="A3:D3">
    <cfRule type="cellIs" dxfId="1231" priority="23" stopIfTrue="1" operator="equal">
      <formula>0</formula>
    </cfRule>
  </conditionalFormatting>
  <conditionalFormatting sqref="P30">
    <cfRule type="cellIs" dxfId="1230" priority="22" stopIfTrue="1" operator="notEqual">
      <formula>"O K"</formula>
    </cfRule>
  </conditionalFormatting>
  <conditionalFormatting sqref="P30:Q30">
    <cfRule type="cellIs" dxfId="1229" priority="21" stopIfTrue="1" operator="equal">
      <formula>"O K"</formula>
    </cfRule>
  </conditionalFormatting>
  <conditionalFormatting sqref="P31:Q31">
    <cfRule type="cellIs" dxfId="1228" priority="20" operator="notEqual">
      <formula>0</formula>
    </cfRule>
  </conditionalFormatting>
  <conditionalFormatting sqref="P32">
    <cfRule type="cellIs" dxfId="1227" priority="19" stopIfTrue="1" operator="notEqual">
      <formula>"O K"</formula>
    </cfRule>
  </conditionalFormatting>
  <conditionalFormatting sqref="P32:Q32">
    <cfRule type="cellIs" dxfId="1226" priority="18" stopIfTrue="1" operator="equal">
      <formula>"O K"</formula>
    </cfRule>
  </conditionalFormatting>
  <conditionalFormatting sqref="P75">
    <cfRule type="cellIs" dxfId="1225" priority="17" stopIfTrue="1" operator="notEqual">
      <formula>"O K"</formula>
    </cfRule>
  </conditionalFormatting>
  <conditionalFormatting sqref="P75:Q75">
    <cfRule type="cellIs" dxfId="1224" priority="16" stopIfTrue="1" operator="equal">
      <formula>"O K"</formula>
    </cfRule>
  </conditionalFormatting>
  <conditionalFormatting sqref="P76:Q76">
    <cfRule type="cellIs" dxfId="1223" priority="15" operator="notEqual">
      <formula>0</formula>
    </cfRule>
  </conditionalFormatting>
  <conditionalFormatting sqref="P77">
    <cfRule type="cellIs" dxfId="1222" priority="14" stopIfTrue="1" operator="notEqual">
      <formula>"O K"</formula>
    </cfRule>
  </conditionalFormatting>
  <conditionalFormatting sqref="P77:Q77">
    <cfRule type="cellIs" dxfId="1221" priority="13" stopIfTrue="1" operator="equal">
      <formula>"O K"</formula>
    </cfRule>
  </conditionalFormatting>
  <conditionalFormatting sqref="P54">
    <cfRule type="cellIs" dxfId="1220" priority="10" stopIfTrue="1" operator="notEqual">
      <formula>"O K"</formula>
    </cfRule>
  </conditionalFormatting>
  <conditionalFormatting sqref="P54:Q54">
    <cfRule type="cellIs" dxfId="1219" priority="9" stopIfTrue="1" operator="equal">
      <formula>"O K"</formula>
    </cfRule>
  </conditionalFormatting>
  <conditionalFormatting sqref="P55">
    <cfRule type="cellIs" dxfId="1218" priority="8" stopIfTrue="1" operator="notEqual">
      <formula>"O K"</formula>
    </cfRule>
  </conditionalFormatting>
  <conditionalFormatting sqref="P55:Q55">
    <cfRule type="cellIs" dxfId="1217" priority="7" stopIfTrue="1" operator="equal">
      <formula>"O K"</formula>
    </cfRule>
  </conditionalFormatting>
  <conditionalFormatting sqref="P114:P115">
    <cfRule type="cellIs" dxfId="1216" priority="6" stopIfTrue="1" operator="notEqual">
      <formula>"O K"</formula>
    </cfRule>
  </conditionalFormatting>
  <conditionalFormatting sqref="P114:Q115">
    <cfRule type="cellIs" dxfId="1215" priority="5" stopIfTrue="1" operator="equal">
      <formula>"O K"</formula>
    </cfRule>
  </conditionalFormatting>
  <conditionalFormatting sqref="E2:H2">
    <cfRule type="cellIs" dxfId="1214" priority="3" operator="equal">
      <formula>"отчетено НЕРАВНЕНИЕ в таблица 'Status'!"</formula>
    </cfRule>
    <cfRule type="cellIs" dxfId="1213" priority="4" operator="equal">
      <formula>0</formula>
    </cfRule>
  </conditionalFormatting>
  <conditionalFormatting sqref="J2:K2">
    <cfRule type="cellIs" dxfId="1212" priority="2" operator="notEqual">
      <formula>0</formula>
    </cfRule>
  </conditionalFormatting>
  <conditionalFormatting sqref="M2:N2">
    <cfRule type="cellIs" dxfId="1211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Zeros="0" zoomScaleNormal="100" workbookViewId="0"/>
  </sheetViews>
  <sheetFormatPr defaultRowHeight="12.75"/>
  <cols>
    <col min="1" max="1" width="70.42578125" style="1398" customWidth="1"/>
    <col min="2" max="2" width="1" style="1398" customWidth="1"/>
    <col min="3" max="3" width="7.28515625" style="1398" customWidth="1"/>
    <col min="4" max="5" width="17" style="1398" customWidth="1"/>
    <col min="6" max="6" width="1" style="1398" customWidth="1"/>
    <col min="7" max="7" width="7.28515625" style="1398" customWidth="1"/>
    <col min="8" max="9" width="17" style="1398" customWidth="1"/>
    <col min="10" max="10" width="1" style="1398" customWidth="1"/>
    <col min="11" max="11" width="7.28515625" style="1398" customWidth="1"/>
    <col min="12" max="13" width="17" style="1398" customWidth="1"/>
    <col min="14" max="14" width="1" style="1398" customWidth="1"/>
    <col min="15" max="15" width="7.28515625" style="1398" customWidth="1"/>
    <col min="16" max="17" width="17" style="1398" customWidth="1"/>
    <col min="18" max="18" width="3.42578125" style="1398" customWidth="1"/>
    <col min="19" max="23" width="26.5703125" style="1398" customWidth="1"/>
    <col min="24" max="16384" width="9.140625" style="1398"/>
  </cols>
  <sheetData>
    <row r="1" spans="1:23" ht="15.75">
      <c r="A1" s="303"/>
      <c r="B1" s="198"/>
      <c r="C1" s="303"/>
      <c r="D1" s="2201">
        <f>+IF(D2=0,0,"БЮДЖЕТ")</f>
        <v>0</v>
      </c>
      <c r="E1" s="2202">
        <f>+IF(E2=0,0,"БЮДЖЕТ")</f>
        <v>0</v>
      </c>
      <c r="F1" s="198"/>
      <c r="G1" s="303"/>
      <c r="H1" s="2203">
        <f>+IF(H2=0,0,"СЕС")</f>
        <v>0</v>
      </c>
      <c r="I1" s="2204">
        <f>+IF(I2=0,0,"СЕС")</f>
        <v>0</v>
      </c>
      <c r="J1" s="198"/>
      <c r="K1" s="303"/>
      <c r="L1" s="2205">
        <f>+IF(L2=0,0,"ДСД")</f>
        <v>0</v>
      </c>
      <c r="M1" s="2206">
        <f>+IF(M2=0,0,"ДСД")</f>
        <v>0</v>
      </c>
      <c r="N1" s="198"/>
      <c r="O1" s="303"/>
      <c r="P1" s="2207">
        <f>+IF(P2=0,0,"ОБЩО")</f>
        <v>0</v>
      </c>
      <c r="Q1" s="2208">
        <f>+IF(Q2=0,0,"ОБЩО")</f>
        <v>0</v>
      </c>
      <c r="R1" s="303"/>
      <c r="S1" s="303"/>
      <c r="T1" s="303"/>
      <c r="U1" s="303"/>
      <c r="V1" s="303"/>
      <c r="W1" s="303"/>
    </row>
    <row r="2" spans="1:23" ht="16.5" thickBot="1">
      <c r="A2" s="2071"/>
      <c r="B2" s="198"/>
      <c r="C2" s="2074">
        <f>+IF(AND(D$2=0,E$2=0),0,"Баланс")</f>
        <v>0</v>
      </c>
      <c r="D2" s="2031">
        <f>+IF(AND(D$3=0,D$5=0,D$53=0),0,"Текуща година")</f>
        <v>0</v>
      </c>
      <c r="E2" s="2032">
        <f>+IF(AND(E$3=0,E$5=0,E$53=0),0,"Предходна година")</f>
        <v>0</v>
      </c>
      <c r="F2" s="198"/>
      <c r="G2" s="2074">
        <f>+IF(AND(H$2=0,I$2=0),0,"Баланс")</f>
        <v>0</v>
      </c>
      <c r="H2" s="2031">
        <f>+IF(AND(H$3=0,H$5=0,H$53=0),0,"Текуща година")</f>
        <v>0</v>
      </c>
      <c r="I2" s="2032">
        <f>+IF(AND(I$3=0,I$5=0,I$53=0),0,"Предходна година")</f>
        <v>0</v>
      </c>
      <c r="J2" s="198"/>
      <c r="K2" s="2074">
        <f>+IF(AND(L$2=0,M$2=0),0,"Баланс")</f>
        <v>0</v>
      </c>
      <c r="L2" s="2031">
        <f>+IF(AND(L$3=0,L$5=0,L$53=0),0,"Текуща година")</f>
        <v>0</v>
      </c>
      <c r="M2" s="2032">
        <f>+IF(AND(M$3=0,M$5=0,M$53=0),0,"Предходна година")</f>
        <v>0</v>
      </c>
      <c r="N2" s="198"/>
      <c r="O2" s="2074">
        <f>+IF(AND(P$2=0,Q$2=0),0,"Баланс")</f>
        <v>0</v>
      </c>
      <c r="P2" s="2031">
        <f>+IF(AND(P$3=0,P$5=0,P$53=0),0,"Текуща година")</f>
        <v>0</v>
      </c>
      <c r="Q2" s="2032">
        <f>+IF(AND(Q$3=0,Q$5=0,Q$53=0),0,"Предходна година")</f>
        <v>0</v>
      </c>
      <c r="R2" s="303"/>
      <c r="S2" s="303"/>
      <c r="T2" s="303"/>
      <c r="U2" s="303"/>
      <c r="V2" s="303"/>
      <c r="W2" s="303"/>
    </row>
    <row r="3" spans="1:23" ht="16.5" thickBot="1">
      <c r="A3" s="2072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8"/>
      <c r="C3" s="2025">
        <f>+IF(AND(D$2=0,E$2=0),0,"Бюджет")</f>
        <v>0</v>
      </c>
      <c r="D3" s="2005">
        <f>+IF(AND(ROUND('BALANCE-SHEET-2021'!D54,0)&lt;&gt;+ROUND('BALANCE-SHEET-2021'!D91,0),+ROUND('BALANCE-SHEET-2021-leva'!D54,2)=+ROUND('BALANCE-SHEET-2021-leva'!D91,2)),+ROUND('BALANCE-SHEET-2021'!D54,0)-+ROUND('BALANCE-SHEET-2021'!D91,0),0)</f>
        <v>0</v>
      </c>
      <c r="E3" s="2070">
        <f>+IF(AND(ROUND('BALANCE-SHEET-2021'!E54,0)&lt;&gt;+ROUND('BALANCE-SHEET-2021'!E91,0),+ROUND('BALANCE-SHEET-2021-leva'!E54,2)=+ROUND('BALANCE-SHEET-2021-leva'!E91,2)),+ROUND('BALANCE-SHEET-2021'!E54,0)-+ROUND('BALANCE-SHEET-2021'!E91,0),0)</f>
        <v>0</v>
      </c>
      <c r="F3" s="198"/>
      <c r="G3" s="2025">
        <f>+IF(AND(H$2=0,I$2=0),0,"СЕС")</f>
        <v>0</v>
      </c>
      <c r="H3" s="2010">
        <f>+IF(AND(ROUND('BALANCE-SHEET-2021'!G54,0)&lt;&gt;+ROUND('BALANCE-SHEET-2021'!G91,0),+ROUND('BALANCE-SHEET-2021-leva'!G54,2)=+ROUND('BALANCE-SHEET-2021-leva'!G91,2)),+ROUND('BALANCE-SHEET-2021'!G54,0)-+ROUND('BALANCE-SHEET-2021'!G91,0),0)</f>
        <v>0</v>
      </c>
      <c r="I3" s="2011">
        <f>+IF(AND(ROUND('BALANCE-SHEET-2021'!H54,0)&lt;&gt;+ROUND('BALANCE-SHEET-2021'!H91,0),+ROUND('BALANCE-SHEET-2021-leva'!H54,2)=+ROUND('BALANCE-SHEET-2021-leva'!H91,2)),+ROUND('BALANCE-SHEET-2021'!H54,0)-+ROUND('BALANCE-SHEET-2021'!H91,0),0)</f>
        <v>0</v>
      </c>
      <c r="J3" s="198"/>
      <c r="K3" s="2025">
        <f>+IF(AND(L$2=0,M$2=0),0,"ДСД")</f>
        <v>0</v>
      </c>
      <c r="L3" s="2008">
        <f>+IF(AND(ROUND('BALANCE-SHEET-2021'!J54,0)&lt;&gt;+ROUND('BALANCE-SHEET-2021'!J91,0),+ROUND('BALANCE-SHEET-2021-leva'!J54,2)=+ROUND('BALANCE-SHEET-2021-leva'!J91,2)),+ROUND('BALANCE-SHEET-2021'!J54,0)-+ROUND('BALANCE-SHEET-2021'!J91,0),0)</f>
        <v>0</v>
      </c>
      <c r="M3" s="2009">
        <f>+IF(AND(ROUND('BALANCE-SHEET-2021'!K54,0)&lt;&gt;+ROUND('BALANCE-SHEET-2021'!K91,0),+ROUND('BALANCE-SHEET-2021-leva'!K54,2)=+ROUND('BALANCE-SHEET-2021-leva'!K91,2)),+ROUND('BALANCE-SHEET-2021'!K54,0)-+ROUND('BALANCE-SHEET-2021'!K91,0),0)</f>
        <v>0</v>
      </c>
      <c r="N3" s="198"/>
      <c r="O3" s="2025">
        <f>+IF(AND(P$2=0,Q$2=0),0,"ОБЩО")</f>
        <v>0</v>
      </c>
      <c r="P3" s="2006">
        <f>+IF(AND(ROUND('BALANCE-SHEET-2021'!M54,0)&lt;&gt;+ROUND('BALANCE-SHEET-2021'!M91,0),+ROUND('BALANCE-SHEET-2021-leva'!M54,2)=+ROUND('BALANCE-SHEET-2021-leva'!M91,2)),+ROUND('BALANCE-SHEET-2021'!M54,0)-+ROUND('BALANCE-SHEET-2021'!M91,0),0)</f>
        <v>0</v>
      </c>
      <c r="Q3" s="2007">
        <f>+IF(AND(ROUND('BALANCE-SHEET-2021'!N54,0)&lt;&gt;+ROUND('BALANCE-SHEET-2021'!N91,0),+ROUND('BALANCE-SHEET-2021-leva'!N54,2)=+ROUND('BALANCE-SHEET-2021-leva'!N91,2)),+ROUND('BALANCE-SHEET-2021'!N54,0)-+ROUND('BALANCE-SHEET-2021'!N91,0),0)</f>
        <v>0</v>
      </c>
      <c r="R3" s="303"/>
      <c r="S3" s="303"/>
      <c r="T3" s="303"/>
      <c r="U3" s="303"/>
      <c r="V3" s="303"/>
      <c r="W3" s="303"/>
    </row>
    <row r="4" spans="1:23">
      <c r="A4" s="303" t="s">
        <v>265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</row>
    <row r="5" spans="1:23" ht="15.75">
      <c r="A5" s="2004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8"/>
      <c r="C5" s="2021">
        <f>+IF(AND(D$2=0,E$2=0),0,"Шифър")</f>
        <v>0</v>
      </c>
      <c r="D5" s="2052">
        <f>+SUM(D6:D7)</f>
        <v>0</v>
      </c>
      <c r="E5" s="2053">
        <f>+SUM(E6:E7)</f>
        <v>0</v>
      </c>
      <c r="F5" s="198"/>
      <c r="G5" s="1996">
        <f>+IF(AND(H$2=0,I$2=0),0,"Шифър")</f>
        <v>0</v>
      </c>
      <c r="H5" s="2052">
        <f>+SUM(H6:H7)</f>
        <v>0</v>
      </c>
      <c r="I5" s="2053">
        <f>+SUM(I6:I7)</f>
        <v>0</v>
      </c>
      <c r="J5" s="198"/>
      <c r="K5" s="1996">
        <f>+IF(AND(L$2=0,M$2=0),0,"Шифър")</f>
        <v>0</v>
      </c>
      <c r="L5" s="2052">
        <f>+SUM(L6:L7)</f>
        <v>0</v>
      </c>
      <c r="M5" s="2053">
        <f>+SUM(M6:M7)</f>
        <v>0</v>
      </c>
      <c r="N5" s="198"/>
      <c r="O5" s="1996">
        <f>+IF(AND(P$2=0,Q$2=0),0,"Шифър")</f>
        <v>0</v>
      </c>
      <c r="P5" s="2052">
        <f>+SUM(P6:P7)</f>
        <v>0</v>
      </c>
      <c r="Q5" s="2053">
        <f>+SUM(Q6:Q7)</f>
        <v>0</v>
      </c>
      <c r="R5" s="303"/>
      <c r="S5" s="303"/>
      <c r="T5" s="303"/>
      <c r="U5" s="303"/>
      <c r="V5" s="303"/>
      <c r="W5" s="303"/>
    </row>
    <row r="6" spans="1:23" ht="15.75">
      <c r="A6" s="2002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303"/>
      <c r="C6" s="2022"/>
      <c r="D6" s="2048"/>
      <c r="E6" s="2049"/>
      <c r="F6" s="303"/>
      <c r="G6" s="1998"/>
      <c r="H6" s="2048"/>
      <c r="I6" s="2049"/>
      <c r="J6" s="303"/>
      <c r="K6" s="1998"/>
      <c r="L6" s="2048"/>
      <c r="M6" s="2049"/>
      <c r="N6" s="303"/>
      <c r="O6" s="1998"/>
      <c r="P6" s="2048"/>
      <c r="Q6" s="2049"/>
      <c r="R6" s="303"/>
      <c r="S6" s="303"/>
      <c r="T6" s="303"/>
      <c r="U6" s="303"/>
      <c r="V6" s="303"/>
      <c r="W6" s="303"/>
    </row>
    <row r="7" spans="1:23" ht="16.5" thickBot="1">
      <c r="A7" s="200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303"/>
      <c r="C7" s="2023"/>
      <c r="D7" s="2050"/>
      <c r="E7" s="2051"/>
      <c r="F7" s="303"/>
      <c r="G7" s="2024"/>
      <c r="H7" s="2050"/>
      <c r="I7" s="2051"/>
      <c r="J7" s="303"/>
      <c r="K7" s="2024"/>
      <c r="L7" s="2050"/>
      <c r="M7" s="2051"/>
      <c r="N7" s="303"/>
      <c r="O7" s="2024"/>
      <c r="P7" s="2050"/>
      <c r="Q7" s="2051"/>
      <c r="R7" s="303"/>
      <c r="S7" s="303"/>
      <c r="T7" s="303"/>
      <c r="U7" s="303"/>
      <c r="V7" s="303"/>
      <c r="W7" s="303"/>
    </row>
    <row r="8" spans="1:23" ht="14.25" hidden="1" thickTop="1" thickBot="1">
      <c r="A8" s="303" t="s">
        <v>265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</row>
    <row r="9" spans="1:23" ht="13.5" hidden="1" thickTop="1">
      <c r="A9" s="303"/>
      <c r="B9" s="303"/>
      <c r="C9" s="1992" t="s">
        <v>1971</v>
      </c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</row>
    <row r="10" spans="1:23" ht="15.75" hidden="1">
      <c r="A10" s="303"/>
      <c r="B10" s="303"/>
      <c r="C10" s="1988">
        <v>11</v>
      </c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</row>
    <row r="11" spans="1:23" ht="15.75" hidden="1">
      <c r="A11" s="303"/>
      <c r="B11" s="303"/>
      <c r="C11" s="1984">
        <v>12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</row>
    <row r="12" spans="1:23" ht="15.75" hidden="1">
      <c r="A12" s="303"/>
      <c r="B12" s="303"/>
      <c r="C12" s="1984">
        <v>13</v>
      </c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ht="15.75" hidden="1">
      <c r="A13" s="303"/>
      <c r="B13" s="303"/>
      <c r="C13" s="1984">
        <v>14</v>
      </c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ht="15.75" hidden="1">
      <c r="A14" s="303"/>
      <c r="B14" s="303"/>
      <c r="C14" s="1984">
        <v>15</v>
      </c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ht="15.75" hidden="1">
      <c r="A15" s="303"/>
      <c r="B15" s="303"/>
      <c r="C15" s="1984">
        <v>16</v>
      </c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</row>
    <row r="16" spans="1:23" ht="15.75" hidden="1">
      <c r="A16" s="303"/>
      <c r="B16" s="303"/>
      <c r="C16" s="1985">
        <v>17</v>
      </c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</row>
    <row r="17" spans="1:23" ht="15.75" hidden="1">
      <c r="A17" s="303"/>
      <c r="B17" s="303"/>
      <c r="C17" s="1986">
        <v>20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</row>
    <row r="18" spans="1:23" ht="15.75" hidden="1">
      <c r="A18" s="303"/>
      <c r="B18" s="303"/>
      <c r="C18" s="1990">
        <v>31</v>
      </c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</row>
    <row r="19" spans="1:23" ht="15.75" hidden="1">
      <c r="A19" s="303"/>
      <c r="B19" s="303"/>
      <c r="C19" s="1984">
        <v>32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</row>
    <row r="20" spans="1:23" ht="15.75" hidden="1">
      <c r="A20" s="303"/>
      <c r="B20" s="303"/>
      <c r="C20" s="1984">
        <v>51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</row>
    <row r="21" spans="1:23" ht="15.75" hidden="1">
      <c r="A21" s="303"/>
      <c r="B21" s="303"/>
      <c r="C21" s="1984">
        <v>52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</row>
    <row r="22" spans="1:23" ht="15.75" hidden="1">
      <c r="A22" s="303"/>
      <c r="B22" s="303"/>
      <c r="C22" s="1984">
        <v>53</v>
      </c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</row>
    <row r="23" spans="1:23" ht="15.75" hidden="1">
      <c r="A23" s="303"/>
      <c r="B23" s="303"/>
      <c r="C23" s="1984">
        <v>61</v>
      </c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</row>
    <row r="24" spans="1:23" ht="15.75" hidden="1">
      <c r="A24" s="303"/>
      <c r="B24" s="303"/>
      <c r="C24" s="1984">
        <v>62</v>
      </c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</row>
    <row r="25" spans="1:23" ht="15.75" hidden="1">
      <c r="A25" s="303"/>
      <c r="B25" s="303"/>
      <c r="C25" s="1984">
        <v>71</v>
      </c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</row>
    <row r="26" spans="1:23" ht="15.75" hidden="1">
      <c r="A26" s="303"/>
      <c r="B26" s="303"/>
      <c r="C26" s="1984">
        <v>72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</row>
    <row r="27" spans="1:23" ht="15.75" hidden="1">
      <c r="A27" s="303"/>
      <c r="B27" s="303"/>
      <c r="C27" s="1984">
        <v>73</v>
      </c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</row>
    <row r="28" spans="1:23" ht="15.75" hidden="1">
      <c r="A28" s="303"/>
      <c r="B28" s="303"/>
      <c r="C28" s="1984">
        <v>74</v>
      </c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</row>
    <row r="29" spans="1:23" ht="15.75" hidden="1">
      <c r="A29" s="303"/>
      <c r="B29" s="303"/>
      <c r="C29" s="1984">
        <v>75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</row>
    <row r="30" spans="1:23" ht="15.75" hidden="1">
      <c r="A30" s="303"/>
      <c r="B30" s="303"/>
      <c r="C30" s="1984">
        <v>76</v>
      </c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</row>
    <row r="31" spans="1:23" ht="15.75" hidden="1">
      <c r="A31" s="1995"/>
      <c r="B31" s="1995"/>
      <c r="C31" s="1984">
        <v>81</v>
      </c>
      <c r="D31" s="1995"/>
      <c r="E31" s="303"/>
      <c r="F31" s="303"/>
      <c r="G31" s="303"/>
      <c r="H31" s="1995"/>
      <c r="I31" s="303"/>
      <c r="J31" s="303"/>
      <c r="K31" s="303"/>
      <c r="L31" s="1995"/>
      <c r="M31" s="303"/>
      <c r="N31" s="303"/>
      <c r="O31" s="303"/>
      <c r="P31" s="1995"/>
      <c r="Q31" s="303"/>
      <c r="R31" s="303"/>
      <c r="S31" s="303"/>
      <c r="T31" s="303"/>
      <c r="U31" s="303"/>
      <c r="V31" s="303"/>
      <c r="W31" s="303"/>
    </row>
    <row r="32" spans="1:23" ht="16.5" hidden="1" thickBot="1">
      <c r="A32" s="1995"/>
      <c r="B32" s="1995"/>
      <c r="C32" s="1989">
        <v>82</v>
      </c>
      <c r="D32" s="1995"/>
      <c r="E32" s="303"/>
      <c r="F32" s="303"/>
      <c r="G32" s="303"/>
      <c r="H32" s="1995"/>
      <c r="I32" s="303"/>
      <c r="J32" s="303"/>
      <c r="K32" s="303"/>
      <c r="L32" s="1995"/>
      <c r="M32" s="303"/>
      <c r="N32" s="303"/>
      <c r="O32" s="303"/>
      <c r="P32" s="1995"/>
      <c r="Q32" s="303"/>
      <c r="R32" s="303"/>
      <c r="S32" s="303"/>
      <c r="T32" s="303"/>
      <c r="U32" s="303"/>
      <c r="V32" s="303"/>
      <c r="W32" s="303"/>
    </row>
    <row r="33" spans="1:23" ht="14.25" hidden="1" thickTop="1" thickBot="1">
      <c r="A33" s="1995"/>
      <c r="B33" s="1995"/>
      <c r="C33" s="1995"/>
      <c r="D33" s="1995"/>
      <c r="E33" s="303"/>
      <c r="F33" s="303"/>
      <c r="G33" s="303"/>
      <c r="H33" s="1995"/>
      <c r="I33" s="303"/>
      <c r="J33" s="303"/>
      <c r="K33" s="303"/>
      <c r="L33" s="1995"/>
      <c r="M33" s="303"/>
      <c r="N33" s="303"/>
      <c r="O33" s="303"/>
      <c r="P33" s="1995"/>
      <c r="Q33" s="303"/>
      <c r="R33" s="303"/>
      <c r="S33" s="303"/>
      <c r="T33" s="303"/>
      <c r="U33" s="303"/>
      <c r="V33" s="303"/>
      <c r="W33" s="303"/>
    </row>
    <row r="34" spans="1:23" ht="13.5" hidden="1" thickTop="1">
      <c r="A34" s="1995"/>
      <c r="B34" s="1995"/>
      <c r="C34" s="1994" t="s">
        <v>1970</v>
      </c>
      <c r="D34" s="1995"/>
      <c r="E34" s="303"/>
      <c r="F34" s="303"/>
      <c r="G34" s="303"/>
      <c r="H34" s="1995"/>
      <c r="I34" s="303"/>
      <c r="J34" s="303"/>
      <c r="K34" s="303"/>
      <c r="L34" s="1995"/>
      <c r="M34" s="303"/>
      <c r="N34" s="303"/>
      <c r="O34" s="303"/>
      <c r="P34" s="1995"/>
      <c r="Q34" s="303"/>
      <c r="R34" s="303"/>
      <c r="S34" s="303"/>
      <c r="T34" s="303"/>
      <c r="U34" s="303"/>
      <c r="V34" s="303"/>
      <c r="W34" s="303"/>
    </row>
    <row r="35" spans="1:23" ht="15.75" hidden="1">
      <c r="A35" s="1995"/>
      <c r="B35" s="1995"/>
      <c r="C35" s="1993">
        <v>401</v>
      </c>
      <c r="D35" s="1995"/>
      <c r="E35" s="303"/>
      <c r="F35" s="303"/>
      <c r="G35" s="303"/>
      <c r="H35" s="1995"/>
      <c r="I35" s="303"/>
      <c r="J35" s="303"/>
      <c r="K35" s="303"/>
      <c r="L35" s="1995"/>
      <c r="M35" s="303"/>
      <c r="N35" s="303"/>
      <c r="O35" s="303"/>
      <c r="P35" s="1995"/>
      <c r="Q35" s="303"/>
      <c r="R35" s="303"/>
      <c r="S35" s="303"/>
      <c r="T35" s="303"/>
      <c r="U35" s="303"/>
      <c r="V35" s="303"/>
      <c r="W35" s="303"/>
    </row>
    <row r="36" spans="1:23" ht="15.75" hidden="1">
      <c r="A36" s="1995"/>
      <c r="B36" s="1995"/>
      <c r="C36" s="1987">
        <v>402</v>
      </c>
      <c r="D36" s="1995"/>
      <c r="E36" s="303"/>
      <c r="F36" s="303"/>
      <c r="G36" s="303"/>
      <c r="H36" s="1995"/>
      <c r="I36" s="303"/>
      <c r="J36" s="303"/>
      <c r="K36" s="303"/>
      <c r="L36" s="1995"/>
      <c r="M36" s="303"/>
      <c r="N36" s="303"/>
      <c r="O36" s="303"/>
      <c r="P36" s="1995"/>
      <c r="Q36" s="303"/>
      <c r="R36" s="303"/>
      <c r="S36" s="303"/>
      <c r="T36" s="303"/>
      <c r="U36" s="303"/>
      <c r="V36" s="303"/>
      <c r="W36" s="303"/>
    </row>
    <row r="37" spans="1:23" ht="15.75" hidden="1">
      <c r="A37" s="1995"/>
      <c r="B37" s="1995"/>
      <c r="C37" s="1987">
        <v>403</v>
      </c>
      <c r="D37" s="1995"/>
      <c r="E37" s="303"/>
      <c r="F37" s="303"/>
      <c r="G37" s="303"/>
      <c r="H37" s="1995"/>
      <c r="I37" s="303"/>
      <c r="J37" s="303"/>
      <c r="K37" s="303"/>
      <c r="L37" s="1995"/>
      <c r="M37" s="303"/>
      <c r="N37" s="303"/>
      <c r="O37" s="303"/>
      <c r="P37" s="1995"/>
      <c r="Q37" s="303"/>
      <c r="R37" s="303"/>
      <c r="S37" s="303"/>
      <c r="T37" s="303"/>
      <c r="U37" s="303"/>
      <c r="V37" s="303"/>
      <c r="W37" s="303"/>
    </row>
    <row r="38" spans="1:23" ht="15.75" hidden="1">
      <c r="A38" s="1995"/>
      <c r="B38" s="1995"/>
      <c r="C38" s="1993">
        <v>511</v>
      </c>
      <c r="D38" s="1995"/>
      <c r="E38" s="303"/>
      <c r="F38" s="303"/>
      <c r="G38" s="303"/>
      <c r="H38" s="1995"/>
      <c r="I38" s="303"/>
      <c r="J38" s="303"/>
      <c r="K38" s="303"/>
      <c r="L38" s="1995"/>
      <c r="M38" s="303"/>
      <c r="N38" s="303"/>
      <c r="O38" s="303"/>
      <c r="P38" s="1995"/>
      <c r="Q38" s="303"/>
      <c r="R38" s="303"/>
      <c r="S38" s="303"/>
      <c r="T38" s="303"/>
      <c r="U38" s="303"/>
      <c r="V38" s="303"/>
      <c r="W38" s="303"/>
    </row>
    <row r="39" spans="1:23" ht="15.75" hidden="1">
      <c r="A39" s="1995"/>
      <c r="B39" s="1995"/>
      <c r="C39" s="1987">
        <v>512</v>
      </c>
      <c r="D39" s="1995"/>
      <c r="E39" s="303"/>
      <c r="F39" s="303"/>
      <c r="G39" s="303"/>
      <c r="H39" s="1995"/>
      <c r="I39" s="303"/>
      <c r="J39" s="303"/>
      <c r="K39" s="303"/>
      <c r="L39" s="1995"/>
      <c r="M39" s="303"/>
      <c r="N39" s="303"/>
      <c r="O39" s="303"/>
      <c r="P39" s="1995"/>
      <c r="Q39" s="303"/>
      <c r="R39" s="303"/>
      <c r="S39" s="303"/>
      <c r="T39" s="303"/>
      <c r="U39" s="303"/>
      <c r="V39" s="303"/>
      <c r="W39" s="303"/>
    </row>
    <row r="40" spans="1:23" ht="15.75" hidden="1">
      <c r="A40" s="1995"/>
      <c r="B40" s="1995"/>
      <c r="C40" s="1987">
        <v>513</v>
      </c>
      <c r="D40" s="1995"/>
      <c r="E40" s="303"/>
      <c r="F40" s="303"/>
      <c r="G40" s="303"/>
      <c r="H40" s="1995"/>
      <c r="I40" s="303"/>
      <c r="J40" s="303"/>
      <c r="K40" s="303"/>
      <c r="L40" s="1995"/>
      <c r="M40" s="303"/>
      <c r="N40" s="303"/>
      <c r="O40" s="303"/>
      <c r="P40" s="1995"/>
      <c r="Q40" s="303"/>
      <c r="R40" s="303"/>
      <c r="S40" s="303"/>
      <c r="T40" s="303"/>
      <c r="U40" s="303"/>
      <c r="V40" s="303"/>
      <c r="W40" s="303"/>
    </row>
    <row r="41" spans="1:23" ht="15.75" hidden="1">
      <c r="A41" s="1995"/>
      <c r="B41" s="1995"/>
      <c r="C41" s="1987">
        <v>521</v>
      </c>
      <c r="D41" s="1995"/>
      <c r="E41" s="303"/>
      <c r="F41" s="303"/>
      <c r="G41" s="303"/>
      <c r="H41" s="1995"/>
      <c r="I41" s="303"/>
      <c r="J41" s="303"/>
      <c r="K41" s="303"/>
      <c r="L41" s="1995"/>
      <c r="M41" s="303"/>
      <c r="N41" s="303"/>
      <c r="O41" s="303"/>
      <c r="P41" s="1995"/>
      <c r="Q41" s="303"/>
      <c r="R41" s="303"/>
      <c r="S41" s="303"/>
      <c r="T41" s="303"/>
      <c r="U41" s="303"/>
      <c r="V41" s="303"/>
      <c r="W41" s="303"/>
    </row>
    <row r="42" spans="1:23" ht="15.75" hidden="1">
      <c r="A42" s="1995"/>
      <c r="B42" s="1995"/>
      <c r="C42" s="1987">
        <f t="shared" ref="C42:C49" si="0">1+C41</f>
        <v>522</v>
      </c>
      <c r="D42" s="1995"/>
      <c r="E42" s="303"/>
      <c r="F42" s="303"/>
      <c r="G42" s="303"/>
      <c r="H42" s="1995"/>
      <c r="I42" s="303"/>
      <c r="J42" s="303"/>
      <c r="K42" s="303"/>
      <c r="L42" s="1995"/>
      <c r="M42" s="303"/>
      <c r="N42" s="303"/>
      <c r="O42" s="303"/>
      <c r="P42" s="1995"/>
      <c r="Q42" s="303"/>
      <c r="R42" s="303"/>
      <c r="S42" s="303"/>
      <c r="T42" s="303"/>
      <c r="U42" s="303"/>
      <c r="V42" s="303"/>
      <c r="W42" s="303"/>
    </row>
    <row r="43" spans="1:23" ht="15.75" hidden="1">
      <c r="A43" s="1995"/>
      <c r="B43" s="1995"/>
      <c r="C43" s="1987">
        <f t="shared" si="0"/>
        <v>523</v>
      </c>
      <c r="D43" s="1995"/>
      <c r="E43" s="303"/>
      <c r="F43" s="303"/>
      <c r="G43" s="303"/>
      <c r="H43" s="1995"/>
      <c r="I43" s="303"/>
      <c r="J43" s="303"/>
      <c r="K43" s="303"/>
      <c r="L43" s="1995"/>
      <c r="M43" s="303"/>
      <c r="N43" s="303"/>
      <c r="O43" s="303"/>
      <c r="P43" s="1995"/>
      <c r="Q43" s="303"/>
      <c r="R43" s="303"/>
      <c r="S43" s="303"/>
      <c r="T43" s="303"/>
      <c r="U43" s="303"/>
      <c r="V43" s="303"/>
      <c r="W43" s="303"/>
    </row>
    <row r="44" spans="1:23" ht="15.75" hidden="1">
      <c r="A44" s="1995"/>
      <c r="B44" s="1995"/>
      <c r="C44" s="1987">
        <f t="shared" si="0"/>
        <v>524</v>
      </c>
      <c r="D44" s="1995"/>
      <c r="E44" s="303"/>
      <c r="F44" s="303"/>
      <c r="G44" s="303"/>
      <c r="H44" s="1995"/>
      <c r="I44" s="303"/>
      <c r="J44" s="303"/>
      <c r="K44" s="303"/>
      <c r="L44" s="1995"/>
      <c r="M44" s="303"/>
      <c r="N44" s="303"/>
      <c r="O44" s="303"/>
      <c r="P44" s="1995"/>
      <c r="Q44" s="303"/>
      <c r="R44" s="303"/>
      <c r="S44" s="303"/>
      <c r="T44" s="303"/>
      <c r="U44" s="303"/>
      <c r="V44" s="303"/>
      <c r="W44" s="303"/>
    </row>
    <row r="45" spans="1:23" ht="15.75" hidden="1">
      <c r="A45" s="1995"/>
      <c r="B45" s="1995"/>
      <c r="C45" s="1987">
        <f t="shared" si="0"/>
        <v>525</v>
      </c>
      <c r="D45" s="1995"/>
      <c r="E45" s="303"/>
      <c r="F45" s="303"/>
      <c r="G45" s="303"/>
      <c r="H45" s="1995"/>
      <c r="I45" s="303"/>
      <c r="J45" s="303"/>
      <c r="K45" s="303"/>
      <c r="L45" s="1995"/>
      <c r="M45" s="303"/>
      <c r="N45" s="303"/>
      <c r="O45" s="303"/>
      <c r="P45" s="1995"/>
      <c r="Q45" s="303"/>
      <c r="R45" s="303"/>
      <c r="S45" s="303"/>
      <c r="T45" s="303"/>
      <c r="U45" s="303"/>
      <c r="V45" s="303"/>
      <c r="W45" s="303"/>
    </row>
    <row r="46" spans="1:23" ht="15.75" hidden="1">
      <c r="A46" s="1995"/>
      <c r="B46" s="1995"/>
      <c r="C46" s="1987">
        <f t="shared" si="0"/>
        <v>526</v>
      </c>
      <c r="D46" s="1995"/>
      <c r="E46" s="303"/>
      <c r="F46" s="303"/>
      <c r="G46" s="303"/>
      <c r="H46" s="1995"/>
      <c r="I46" s="303"/>
      <c r="J46" s="303"/>
      <c r="K46" s="303"/>
      <c r="L46" s="1995"/>
      <c r="M46" s="303"/>
      <c r="N46" s="303"/>
      <c r="O46" s="303"/>
      <c r="P46" s="1995"/>
      <c r="Q46" s="303"/>
      <c r="R46" s="303"/>
      <c r="S46" s="303"/>
      <c r="T46" s="303"/>
      <c r="U46" s="303"/>
      <c r="V46" s="303"/>
      <c r="W46" s="303"/>
    </row>
    <row r="47" spans="1:23" ht="15.75" hidden="1">
      <c r="A47" s="1995"/>
      <c r="B47" s="1995"/>
      <c r="C47" s="1987">
        <f t="shared" si="0"/>
        <v>527</v>
      </c>
      <c r="D47" s="1995"/>
      <c r="E47" s="303"/>
      <c r="F47" s="303"/>
      <c r="G47" s="303"/>
      <c r="H47" s="1995"/>
      <c r="I47" s="303"/>
      <c r="J47" s="303"/>
      <c r="K47" s="303"/>
      <c r="L47" s="1995"/>
      <c r="M47" s="303"/>
      <c r="N47" s="303"/>
      <c r="O47" s="303"/>
      <c r="P47" s="1995"/>
      <c r="Q47" s="303"/>
      <c r="R47" s="303"/>
      <c r="S47" s="303"/>
      <c r="T47" s="303"/>
      <c r="U47" s="303"/>
      <c r="V47" s="303"/>
      <c r="W47" s="303"/>
    </row>
    <row r="48" spans="1:23" ht="15.75" hidden="1">
      <c r="A48" s="1995"/>
      <c r="B48" s="1995"/>
      <c r="C48" s="1987">
        <f t="shared" si="0"/>
        <v>528</v>
      </c>
      <c r="D48" s="1995"/>
      <c r="E48" s="303"/>
      <c r="F48" s="303"/>
      <c r="G48" s="303"/>
      <c r="H48" s="1995"/>
      <c r="I48" s="303"/>
      <c r="J48" s="303"/>
      <c r="K48" s="303"/>
      <c r="L48" s="1995"/>
      <c r="M48" s="303"/>
      <c r="N48" s="303"/>
      <c r="O48" s="303"/>
      <c r="P48" s="1995"/>
      <c r="Q48" s="303"/>
      <c r="R48" s="303"/>
      <c r="S48" s="303"/>
      <c r="T48" s="303"/>
      <c r="U48" s="303"/>
      <c r="V48" s="303"/>
      <c r="W48" s="303"/>
    </row>
    <row r="49" spans="1:23" ht="15.75" hidden="1">
      <c r="A49" s="1995"/>
      <c r="B49" s="1995"/>
      <c r="C49" s="1987">
        <f t="shared" si="0"/>
        <v>529</v>
      </c>
      <c r="D49" s="1995"/>
      <c r="E49" s="303"/>
      <c r="F49" s="303"/>
      <c r="G49" s="303"/>
      <c r="H49" s="1995"/>
      <c r="I49" s="303"/>
      <c r="J49" s="303"/>
      <c r="K49" s="303"/>
      <c r="L49" s="1995"/>
      <c r="M49" s="303"/>
      <c r="N49" s="303"/>
      <c r="O49" s="303"/>
      <c r="P49" s="1995"/>
      <c r="Q49" s="303"/>
      <c r="R49" s="303"/>
      <c r="S49" s="303"/>
      <c r="T49" s="303"/>
      <c r="U49" s="303"/>
      <c r="V49" s="303"/>
      <c r="W49" s="303"/>
    </row>
    <row r="50" spans="1:23" ht="15.75" hidden="1">
      <c r="A50" s="1995"/>
      <c r="B50" s="1995"/>
      <c r="C50" s="1987">
        <v>531</v>
      </c>
      <c r="D50" s="1995"/>
      <c r="E50" s="303"/>
      <c r="F50" s="303"/>
      <c r="G50" s="303"/>
      <c r="H50" s="1995"/>
      <c r="I50" s="303"/>
      <c r="J50" s="303"/>
      <c r="K50" s="303"/>
      <c r="L50" s="1995"/>
      <c r="M50" s="303"/>
      <c r="N50" s="303"/>
      <c r="O50" s="303"/>
      <c r="P50" s="1995"/>
      <c r="Q50" s="303"/>
      <c r="R50" s="303"/>
      <c r="S50" s="303"/>
      <c r="T50" s="303"/>
      <c r="U50" s="303"/>
      <c r="V50" s="303"/>
      <c r="W50" s="303"/>
    </row>
    <row r="51" spans="1:23" ht="16.5" hidden="1" thickBot="1">
      <c r="A51" s="1995"/>
      <c r="B51" s="1995"/>
      <c r="C51" s="1991">
        <v>532</v>
      </c>
      <c r="D51" s="1995"/>
      <c r="E51" s="303"/>
      <c r="F51" s="303"/>
      <c r="G51" s="303"/>
      <c r="H51" s="1995"/>
      <c r="I51" s="303"/>
      <c r="J51" s="303"/>
      <c r="K51" s="303"/>
      <c r="L51" s="1995"/>
      <c r="M51" s="303"/>
      <c r="N51" s="303"/>
      <c r="O51" s="303"/>
      <c r="P51" s="1995"/>
      <c r="Q51" s="303"/>
      <c r="R51" s="303"/>
      <c r="S51" s="303"/>
      <c r="T51" s="303"/>
      <c r="U51" s="303"/>
      <c r="V51" s="303"/>
      <c r="W51" s="303"/>
    </row>
    <row r="52" spans="1:23" ht="13.5" thickTop="1">
      <c r="A52" s="2073"/>
      <c r="B52" s="2073"/>
      <c r="C52" s="2073"/>
      <c r="D52" s="1995"/>
      <c r="E52" s="303"/>
      <c r="F52" s="303"/>
      <c r="G52" s="1995"/>
      <c r="H52" s="303"/>
      <c r="I52" s="303"/>
      <c r="J52" s="303"/>
      <c r="K52" s="1995"/>
      <c r="L52" s="303"/>
      <c r="M52" s="303"/>
      <c r="N52" s="303"/>
      <c r="O52" s="1995"/>
      <c r="P52" s="303"/>
      <c r="Q52" s="303"/>
      <c r="R52" s="303"/>
      <c r="S52" s="303"/>
      <c r="T52" s="303"/>
      <c r="U52" s="303"/>
      <c r="V52" s="303"/>
      <c r="W52" s="303"/>
    </row>
    <row r="53" spans="1:23" ht="16.5" customHeight="1">
      <c r="A53" s="2000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69"/>
      <c r="C53" s="2001">
        <f>+IF(AND(D$2=0,E$2=0),0,"Шифър")</f>
        <v>0</v>
      </c>
      <c r="D53" s="2056">
        <f>+SUM(D54:D55)</f>
        <v>0</v>
      </c>
      <c r="E53" s="2057">
        <f>+SUM(E54:E55)</f>
        <v>0</v>
      </c>
      <c r="F53" s="198"/>
      <c r="G53" s="2001">
        <f>+IF(AND(H$2=0,I$2=0),0,"Шифър")</f>
        <v>0</v>
      </c>
      <c r="H53" s="2056">
        <f>+SUM(H54:H55)</f>
        <v>0</v>
      </c>
      <c r="I53" s="2057">
        <f>+SUM(I54:I55)</f>
        <v>0</v>
      </c>
      <c r="J53" s="198"/>
      <c r="K53" s="2001">
        <f>+IF(AND(L$2=0,M$2=0),0,"Шифър")</f>
        <v>0</v>
      </c>
      <c r="L53" s="2056">
        <f>+SUM(L54:L55)</f>
        <v>0</v>
      </c>
      <c r="M53" s="2057">
        <f>+SUM(M54:M55)</f>
        <v>0</v>
      </c>
      <c r="N53" s="198"/>
      <c r="O53" s="2001">
        <f>+IF(AND(P$2=0,Q$2=0),0,"Шифър")</f>
        <v>0</v>
      </c>
      <c r="P53" s="2056">
        <f>+SUM(P54:P55)</f>
        <v>0</v>
      </c>
      <c r="Q53" s="2057">
        <f>+SUM(Q54:Q55)</f>
        <v>0</v>
      </c>
      <c r="R53" s="303"/>
      <c r="S53" s="303"/>
      <c r="T53" s="303"/>
      <c r="U53" s="303"/>
      <c r="V53" s="303"/>
      <c r="W53" s="303"/>
    </row>
    <row r="54" spans="1:23" ht="15.75">
      <c r="A54" s="1997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303"/>
      <c r="C54" s="1998"/>
      <c r="D54" s="2058"/>
      <c r="E54" s="2049"/>
      <c r="F54" s="303"/>
      <c r="G54" s="1998"/>
      <c r="H54" s="2058"/>
      <c r="I54" s="2049"/>
      <c r="J54" s="303"/>
      <c r="K54" s="1998"/>
      <c r="L54" s="2058"/>
      <c r="M54" s="2049"/>
      <c r="N54" s="303"/>
      <c r="O54" s="1998"/>
      <c r="P54" s="2058"/>
      <c r="Q54" s="2049"/>
      <c r="R54" s="303"/>
      <c r="S54" s="303"/>
      <c r="T54" s="303"/>
      <c r="U54" s="303"/>
      <c r="V54" s="303"/>
      <c r="W54" s="303"/>
    </row>
    <row r="55" spans="1:23" ht="16.5" thickBot="1">
      <c r="A55" s="1999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69"/>
      <c r="C55" s="2024"/>
      <c r="D55" s="2059"/>
      <c r="E55" s="2051"/>
      <c r="F55" s="303"/>
      <c r="G55" s="2024"/>
      <c r="H55" s="2059"/>
      <c r="I55" s="2051"/>
      <c r="J55" s="303"/>
      <c r="K55" s="2024"/>
      <c r="L55" s="2059"/>
      <c r="M55" s="2051"/>
      <c r="N55" s="303"/>
      <c r="O55" s="2024"/>
      <c r="P55" s="2059"/>
      <c r="Q55" s="2051"/>
      <c r="R55" s="303"/>
      <c r="S55" s="303"/>
      <c r="T55" s="303"/>
      <c r="U55" s="303"/>
      <c r="V55" s="303"/>
      <c r="W55" s="303"/>
    </row>
    <row r="56" spans="1:23" ht="14.25" thickTop="1" thickBot="1">
      <c r="A56" s="2073"/>
      <c r="B56" s="2073"/>
      <c r="C56" s="2073"/>
      <c r="D56" s="1995"/>
      <c r="E56" s="303"/>
      <c r="F56" s="303"/>
      <c r="G56" s="1995"/>
      <c r="H56" s="303"/>
      <c r="I56" s="303"/>
      <c r="J56" s="303"/>
      <c r="K56" s="1995"/>
      <c r="L56" s="303"/>
      <c r="M56" s="303"/>
      <c r="N56" s="303"/>
      <c r="O56" s="1995"/>
      <c r="P56" s="303"/>
      <c r="Q56" s="303"/>
      <c r="R56" s="303"/>
      <c r="S56" s="303"/>
      <c r="T56" s="303"/>
      <c r="U56" s="303"/>
      <c r="V56" s="303"/>
      <c r="W56" s="303"/>
    </row>
    <row r="57" spans="1:23" ht="15.75">
      <c r="A57" s="2073"/>
      <c r="B57" s="2073"/>
      <c r="C57" s="2073"/>
      <c r="D57" s="2201">
        <f>+IF(D58=0,0,"БЮДЖЕТ")</f>
        <v>0</v>
      </c>
      <c r="E57" s="2202">
        <f>+IF(E58=0,0,"БЮДЖЕТ")</f>
        <v>0</v>
      </c>
      <c r="F57" s="303"/>
      <c r="G57" s="1995"/>
      <c r="H57" s="2203">
        <f>+IF(H58=0,0,"СЕС")</f>
        <v>0</v>
      </c>
      <c r="I57" s="2204">
        <f>+IF(I58=0,0,"СЕС")</f>
        <v>0</v>
      </c>
      <c r="J57" s="303"/>
      <c r="K57" s="1995"/>
      <c r="L57" s="2205">
        <f>+IF(L58=0,0,"ДСД")</f>
        <v>0</v>
      </c>
      <c r="M57" s="2206">
        <f>+IF(M58=0,0,"ДСД")</f>
        <v>0</v>
      </c>
      <c r="N57" s="303"/>
      <c r="O57" s="1995"/>
      <c r="P57" s="2207">
        <f>+IF(P58=0,0,"ОБЩО")</f>
        <v>0</v>
      </c>
      <c r="Q57" s="2208">
        <f>+IF(Q58=0,0,"ОБЩО")</f>
        <v>0</v>
      </c>
      <c r="R57" s="303"/>
      <c r="S57" s="303"/>
      <c r="T57" s="303"/>
      <c r="U57" s="303"/>
      <c r="V57" s="303"/>
      <c r="W57" s="303"/>
    </row>
    <row r="58" spans="1:23" ht="16.5" thickBot="1">
      <c r="A58" s="2071"/>
      <c r="B58" s="198"/>
      <c r="C58" s="2074">
        <f>+IF(AND(D$58=0,E$58=0),0,"Баланс")</f>
        <v>0</v>
      </c>
      <c r="D58" s="2031">
        <f>+IF(AND(D$59=0,D$61=0),0,"Текуща година")</f>
        <v>0</v>
      </c>
      <c r="E58" s="2032">
        <f>+IF(AND(E$59=0,E$61=0),0,"Предходна година")</f>
        <v>0</v>
      </c>
      <c r="F58" s="198"/>
      <c r="G58" s="2074">
        <f>+IF(AND(H$58=0,I$58=0),0,"Баланс")</f>
        <v>0</v>
      </c>
      <c r="H58" s="2031">
        <f>+IF(AND(H$59=0,H$61=0),0,"Текуща година")</f>
        <v>0</v>
      </c>
      <c r="I58" s="2032">
        <f>+IF(AND(I$59=0,I$61=0),0,"Предходна година")</f>
        <v>0</v>
      </c>
      <c r="J58" s="198"/>
      <c r="K58" s="2074">
        <f>+IF(AND(L$58=0,M$58=0),0,"Баланс")</f>
        <v>0</v>
      </c>
      <c r="L58" s="2031">
        <f>+IF(AND(L$59=0,L$61=0),0,"Текуща година")</f>
        <v>0</v>
      </c>
      <c r="M58" s="2032">
        <f>+IF(AND(M$59=0,M$61=0),0,"Предходна година")</f>
        <v>0</v>
      </c>
      <c r="N58" s="198"/>
      <c r="O58" s="2074">
        <f>+IF(AND(P$58=0,Q$58=0),0,"Баланс")</f>
        <v>0</v>
      </c>
      <c r="P58" s="2031">
        <f>+IF(AND(P$59=0,P$61=0),0,"Текуща година")</f>
        <v>0</v>
      </c>
      <c r="Q58" s="2032">
        <f>+IF(AND(Q$59=0,Q$61=0),0,"Предходна година")</f>
        <v>0</v>
      </c>
      <c r="R58" s="303"/>
      <c r="S58" s="303"/>
      <c r="T58" s="303"/>
      <c r="U58" s="303"/>
      <c r="V58" s="303"/>
      <c r="W58" s="303"/>
    </row>
    <row r="59" spans="1:23" ht="16.5" thickBot="1">
      <c r="A59" s="2072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8"/>
      <c r="C59" s="2025">
        <f>+IF(AND(D$58=0,E$58=0),0,"Бюджет")</f>
        <v>0</v>
      </c>
      <c r="D59" s="2005">
        <f>+IF(AND('BALANCE-SHEET-2021'!D104&lt;&gt;0,+ROUND('BALANCE-SHEET-2021-leva'!D104,2)=0),+'BALANCE-SHEET-2021'!D104,0)</f>
        <v>0</v>
      </c>
      <c r="E59" s="2070">
        <f>+IF(AND('BALANCE-SHEET-2021'!E104&lt;&gt;0,+ROUND('BALANCE-SHEET-2021-leva'!E104,2)=0),+'BALANCE-SHEET-2021'!E104,0)</f>
        <v>0</v>
      </c>
      <c r="F59" s="198"/>
      <c r="G59" s="2025">
        <f>+IF(AND(H$58=0,I$58=0),0,"СЕС")</f>
        <v>0</v>
      </c>
      <c r="H59" s="2010">
        <f>+IF(AND('BALANCE-SHEET-2021'!G104&lt;&gt;0,+ROUND('BALANCE-SHEET-2021-leva'!G104,2)=0),+'BALANCE-SHEET-2021'!G104,0)</f>
        <v>0</v>
      </c>
      <c r="I59" s="2011">
        <f>+IF(AND('BALANCE-SHEET-2021'!H104&lt;&gt;0,+ROUND('BALANCE-SHEET-2021-leva'!H104,2)=0),+'BALANCE-SHEET-2021'!H104,0)</f>
        <v>0</v>
      </c>
      <c r="J59" s="198"/>
      <c r="K59" s="2025">
        <f>+IF(AND(L$58=0,M$58=0),0,"ДСД")</f>
        <v>0</v>
      </c>
      <c r="L59" s="2008">
        <f>+IF(AND('BALANCE-SHEET-2021'!J104&lt;&gt;0,+ROUND('BALANCE-SHEET-2021-leva'!J104,2)=0),+'BALANCE-SHEET-2021'!J104,0)</f>
        <v>0</v>
      </c>
      <c r="M59" s="2009">
        <f>+IF(AND('BALANCE-SHEET-2021'!K104&lt;&gt;0,+ROUND('BALANCE-SHEET-2021-leva'!K104,2)=0),+'BALANCE-SHEET-2021'!K104,0)</f>
        <v>0</v>
      </c>
      <c r="N59" s="198"/>
      <c r="O59" s="2025">
        <f>+IF(AND(P$58=0,Q$58=0),0,"ОБЩО")</f>
        <v>0</v>
      </c>
      <c r="P59" s="2006">
        <f>+IF(AND('BALANCE-SHEET-2021'!M104&lt;&gt;0,+ROUND('BALANCE-SHEET-2021-leva'!M104,2)=0),+'BALANCE-SHEET-2021'!M104,0)</f>
        <v>0</v>
      </c>
      <c r="Q59" s="2007">
        <f>+IF(AND('BALANCE-SHEET-2021'!N104&lt;&gt;0,+ROUND('BALANCE-SHEET-2021-leva'!N104,2)=0),+'BALANCE-SHEET-2021'!N104,0)</f>
        <v>0</v>
      </c>
      <c r="R59" s="303"/>
      <c r="S59" s="303"/>
      <c r="T59" s="303"/>
      <c r="U59" s="303"/>
      <c r="V59" s="303"/>
      <c r="W59" s="303"/>
    </row>
    <row r="60" spans="1:23">
      <c r="A60" s="2073"/>
      <c r="B60" s="2073"/>
      <c r="C60" s="2073"/>
      <c r="D60" s="1995"/>
      <c r="E60" s="303"/>
      <c r="F60" s="303"/>
      <c r="G60" s="1995"/>
      <c r="H60" s="303"/>
      <c r="I60" s="303"/>
      <c r="J60" s="303"/>
      <c r="K60" s="1995"/>
      <c r="L60" s="303"/>
      <c r="M60" s="303"/>
      <c r="N60" s="303"/>
      <c r="O60" s="1995"/>
      <c r="P60" s="303"/>
      <c r="Q60" s="303"/>
      <c r="R60" s="303"/>
      <c r="S60" s="303"/>
      <c r="T60" s="303"/>
      <c r="U60" s="303"/>
      <c r="V60" s="303"/>
      <c r="W60" s="303"/>
    </row>
    <row r="61" spans="1:23" ht="16.5" customHeight="1">
      <c r="A61" s="2080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0</v>
      </c>
      <c r="B61" s="2069"/>
      <c r="C61" s="2075">
        <f>+IF(AND(D$58=0,E$58=0),0,"Шифър")</f>
        <v>0</v>
      </c>
      <c r="D61" s="2076">
        <f>+SUM(D62:D63)</f>
        <v>0</v>
      </c>
      <c r="E61" s="2077">
        <f>+SUM(E62:E63)</f>
        <v>0</v>
      </c>
      <c r="F61" s="198"/>
      <c r="G61" s="2075">
        <f>+IF(AND(H$58=0,I$58=0),0,"Шифър")</f>
        <v>0</v>
      </c>
      <c r="H61" s="2076">
        <f>+SUM(H62:H63)</f>
        <v>0</v>
      </c>
      <c r="I61" s="2077">
        <f>+SUM(I62:I63)</f>
        <v>0</v>
      </c>
      <c r="J61" s="198"/>
      <c r="K61" s="2075">
        <f>+IF(AND(L$58=0,M$58=0),0,"Шифър")</f>
        <v>0</v>
      </c>
      <c r="L61" s="2076">
        <f>+SUM(L62:L63)</f>
        <v>0</v>
      </c>
      <c r="M61" s="2077">
        <f>+SUM(M62:M63)</f>
        <v>0</v>
      </c>
      <c r="N61" s="198"/>
      <c r="O61" s="2075">
        <f>+IF(AND(P$58=0,Q$58=0),0,"Шифър")</f>
        <v>0</v>
      </c>
      <c r="P61" s="2076">
        <f>+SUM(P62:P63)</f>
        <v>0</v>
      </c>
      <c r="Q61" s="2077">
        <f>+SUM(Q62:Q63)</f>
        <v>0</v>
      </c>
      <c r="R61" s="303"/>
      <c r="S61" s="303"/>
      <c r="T61" s="303"/>
      <c r="U61" s="303"/>
      <c r="V61" s="303"/>
      <c r="W61" s="303"/>
    </row>
    <row r="62" spans="1:23" ht="15.75">
      <c r="A62" s="2079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0</v>
      </c>
      <c r="B62" s="303"/>
      <c r="C62" s="2081">
        <v>350</v>
      </c>
      <c r="D62" s="2058"/>
      <c r="E62" s="2049"/>
      <c r="F62" s="303"/>
      <c r="G62" s="2081">
        <f>+C62</f>
        <v>350</v>
      </c>
      <c r="H62" s="2058"/>
      <c r="I62" s="2049"/>
      <c r="J62" s="303"/>
      <c r="K62" s="2081">
        <f>+C62</f>
        <v>350</v>
      </c>
      <c r="L62" s="2058"/>
      <c r="M62" s="2049"/>
      <c r="N62" s="303"/>
      <c r="O62" s="2081">
        <f>+C62</f>
        <v>350</v>
      </c>
      <c r="P62" s="2058"/>
      <c r="Q62" s="2049"/>
      <c r="R62" s="303"/>
      <c r="S62" s="303"/>
      <c r="T62" s="303"/>
      <c r="U62" s="303"/>
      <c r="V62" s="303"/>
      <c r="W62" s="303"/>
    </row>
    <row r="63" spans="1:23" ht="16.5" thickBot="1">
      <c r="A63" s="2078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0</v>
      </c>
      <c r="B63" s="2069"/>
      <c r="C63" s="2082">
        <v>650</v>
      </c>
      <c r="D63" s="2059"/>
      <c r="E63" s="2051"/>
      <c r="F63" s="303"/>
      <c r="G63" s="2082">
        <f>+C63</f>
        <v>650</v>
      </c>
      <c r="H63" s="2059"/>
      <c r="I63" s="2051"/>
      <c r="J63" s="303"/>
      <c r="K63" s="2082">
        <f>+C63</f>
        <v>650</v>
      </c>
      <c r="L63" s="2059"/>
      <c r="M63" s="2051"/>
      <c r="N63" s="303"/>
      <c r="O63" s="2082">
        <f>+C63</f>
        <v>650</v>
      </c>
      <c r="P63" s="2059"/>
      <c r="Q63" s="2051"/>
      <c r="R63" s="303"/>
      <c r="S63" s="303"/>
      <c r="T63" s="303"/>
      <c r="U63" s="303"/>
      <c r="V63" s="303"/>
      <c r="W63" s="303"/>
    </row>
    <row r="64" spans="1:23" ht="13.5" thickTop="1">
      <c r="A64" s="2073"/>
      <c r="B64" s="2073"/>
      <c r="C64" s="2073"/>
      <c r="D64" s="1995"/>
      <c r="E64" s="303"/>
      <c r="F64" s="303"/>
      <c r="G64" s="1995"/>
      <c r="H64" s="303"/>
      <c r="I64" s="303"/>
      <c r="J64" s="303"/>
      <c r="K64" s="1995"/>
      <c r="L64" s="303"/>
      <c r="M64" s="303"/>
      <c r="N64" s="303"/>
      <c r="O64" s="1995"/>
      <c r="P64" s="303"/>
      <c r="Q64" s="303"/>
      <c r="R64" s="303"/>
      <c r="S64" s="303"/>
      <c r="T64" s="303"/>
      <c r="U64" s="303"/>
      <c r="V64" s="303"/>
      <c r="W64" s="303"/>
    </row>
    <row r="65" spans="1:23" ht="13.5" thickBot="1">
      <c r="A65" s="2073"/>
      <c r="B65" s="2073"/>
      <c r="C65" s="2073"/>
      <c r="D65" s="1995"/>
      <c r="E65" s="303"/>
      <c r="F65" s="303"/>
      <c r="G65" s="1995"/>
      <c r="H65" s="303"/>
      <c r="I65" s="303"/>
      <c r="J65" s="303"/>
      <c r="K65" s="1995"/>
      <c r="L65" s="303"/>
      <c r="M65" s="303"/>
      <c r="N65" s="303"/>
      <c r="O65" s="1995"/>
      <c r="P65" s="303"/>
      <c r="Q65" s="303"/>
      <c r="R65" s="303"/>
      <c r="S65" s="303"/>
      <c r="T65" s="303"/>
      <c r="U65" s="303"/>
      <c r="V65" s="303"/>
      <c r="W65" s="303"/>
    </row>
    <row r="66" spans="1:23" ht="15.75">
      <c r="A66" s="1995"/>
      <c r="B66" s="1995"/>
      <c r="C66" s="1995"/>
      <c r="D66" s="2201">
        <f>+IF(D127=0,0,"БЮДЖЕТ")</f>
        <v>0</v>
      </c>
      <c r="E66" s="2202">
        <f>+IF(E127=0,0,"БЮДЖЕТ")</f>
        <v>0</v>
      </c>
      <c r="F66" s="303"/>
      <c r="G66" s="1995"/>
      <c r="H66" s="2203">
        <f>+IF(H127=0,0,"СЕС")</f>
        <v>0</v>
      </c>
      <c r="I66" s="2204">
        <f>+IF(I127=0,0,"СЕС")</f>
        <v>0</v>
      </c>
      <c r="J66" s="303"/>
      <c r="K66" s="1995"/>
      <c r="L66" s="2205">
        <f>+IF(L127=0,0,"ДСД")</f>
        <v>0</v>
      </c>
      <c r="M66" s="2206">
        <f>+IF(M127=0,0,"ДСД")</f>
        <v>0</v>
      </c>
      <c r="N66" s="303"/>
      <c r="O66" s="1995"/>
      <c r="P66" s="2207">
        <f>+IF(P127=0,0,"ОБЩО")</f>
        <v>0</v>
      </c>
      <c r="Q66" s="2208">
        <f>+IF(Q127=0,0,"ОБЩО")</f>
        <v>0</v>
      </c>
      <c r="R66" s="303"/>
      <c r="S66" s="303"/>
      <c r="T66" s="303"/>
      <c r="U66" s="303"/>
      <c r="V66" s="303"/>
      <c r="W66" s="303"/>
    </row>
    <row r="67" spans="1:23" ht="13.5" hidden="1" thickTop="1">
      <c r="A67" s="1995"/>
      <c r="B67" s="303"/>
      <c r="C67" s="2043" t="s">
        <v>1981</v>
      </c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</row>
    <row r="68" spans="1:23" ht="15.75" hidden="1">
      <c r="A68" s="1995"/>
      <c r="B68" s="303"/>
      <c r="C68" s="2045">
        <v>711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</row>
    <row r="69" spans="1:23" ht="15.75" hidden="1">
      <c r="A69" s="1995"/>
      <c r="B69" s="303"/>
      <c r="C69" s="335">
        <f>1+C68</f>
        <v>712</v>
      </c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</row>
    <row r="70" spans="1:23" ht="15.75" hidden="1">
      <c r="A70" s="1995"/>
      <c r="B70" s="303"/>
      <c r="C70" s="335">
        <f t="shared" ref="C70:C76" si="1">1+C69</f>
        <v>713</v>
      </c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</row>
    <row r="71" spans="1:23" ht="15.75" hidden="1">
      <c r="A71" s="1995"/>
      <c r="B71" s="303"/>
      <c r="C71" s="335">
        <f t="shared" si="1"/>
        <v>714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</row>
    <row r="72" spans="1:23" ht="15.75" hidden="1">
      <c r="A72" s="1995"/>
      <c r="B72" s="303"/>
      <c r="C72" s="335">
        <f t="shared" si="1"/>
        <v>715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</row>
    <row r="73" spans="1:23" ht="15.75" hidden="1">
      <c r="A73" s="1995"/>
      <c r="B73" s="303"/>
      <c r="C73" s="335">
        <f t="shared" si="1"/>
        <v>716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</row>
    <row r="74" spans="1:23" ht="15.75" hidden="1">
      <c r="A74" s="1995"/>
      <c r="B74" s="303"/>
      <c r="C74" s="335">
        <f t="shared" si="1"/>
        <v>717</v>
      </c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</row>
    <row r="75" spans="1:23" ht="15.75" hidden="1">
      <c r="A75" s="1995"/>
      <c r="B75" s="303"/>
      <c r="C75" s="335">
        <f t="shared" si="1"/>
        <v>718</v>
      </c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</row>
    <row r="76" spans="1:23" ht="15.75" hidden="1">
      <c r="A76" s="1995"/>
      <c r="B76" s="303"/>
      <c r="C76" s="335">
        <f t="shared" si="1"/>
        <v>719</v>
      </c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</row>
    <row r="77" spans="1:23" ht="15.75" hidden="1">
      <c r="A77" s="1995"/>
      <c r="B77" s="303"/>
      <c r="C77" s="335">
        <v>721</v>
      </c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</row>
    <row r="78" spans="1:23" ht="15.75" hidden="1">
      <c r="A78" s="1995"/>
      <c r="B78" s="303"/>
      <c r="C78" s="335">
        <f>1+C77</f>
        <v>722</v>
      </c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</row>
    <row r="79" spans="1:23" ht="15.75" hidden="1">
      <c r="A79" s="1995"/>
      <c r="B79" s="303"/>
      <c r="C79" s="337">
        <f>1+C78</f>
        <v>723</v>
      </c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</row>
    <row r="80" spans="1:23" ht="15.75" hidden="1">
      <c r="A80" s="1995"/>
      <c r="B80" s="303"/>
      <c r="C80" s="178">
        <v>730</v>
      </c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</row>
    <row r="81" spans="1:23" ht="15.75" hidden="1">
      <c r="A81" s="1995"/>
      <c r="B81" s="303"/>
      <c r="C81" s="178">
        <v>740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</row>
    <row r="82" spans="1:23" ht="15.75" hidden="1">
      <c r="A82" s="1995"/>
      <c r="B82" s="1995"/>
      <c r="C82" s="2045">
        <v>751</v>
      </c>
      <c r="D82" s="1995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</row>
    <row r="83" spans="1:23" ht="15.75" hidden="1">
      <c r="A83" s="1995"/>
      <c r="B83" s="1995"/>
      <c r="C83" s="335">
        <f>1+C82</f>
        <v>752</v>
      </c>
      <c r="D83" s="1995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</row>
    <row r="84" spans="1:23" ht="15.75" hidden="1">
      <c r="A84" s="1995"/>
      <c r="B84" s="1995"/>
      <c r="C84" s="335">
        <f>1+C83</f>
        <v>753</v>
      </c>
      <c r="D84" s="1995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</row>
    <row r="85" spans="1:23" ht="15.75" hidden="1">
      <c r="A85" s="1995"/>
      <c r="B85" s="1995"/>
      <c r="C85" s="335">
        <f>1+C84</f>
        <v>754</v>
      </c>
      <c r="D85" s="1995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</row>
    <row r="86" spans="1:23" ht="15.75" hidden="1">
      <c r="A86" s="1995"/>
      <c r="B86" s="1995"/>
      <c r="C86" s="335">
        <v>601</v>
      </c>
      <c r="D86" s="1995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</row>
    <row r="87" spans="1:23" ht="15.75" hidden="1">
      <c r="A87" s="1995"/>
      <c r="B87" s="1995"/>
      <c r="C87" s="335">
        <f>1+C86</f>
        <v>602</v>
      </c>
      <c r="D87" s="1995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</row>
    <row r="88" spans="1:23" ht="15.75" hidden="1">
      <c r="A88" s="1995"/>
      <c r="B88" s="1995"/>
      <c r="C88" s="335">
        <f t="shared" ref="C88:C93" si="2">1+C87</f>
        <v>603</v>
      </c>
      <c r="D88" s="1995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</row>
    <row r="89" spans="1:23" ht="15.75" hidden="1">
      <c r="A89" s="1995"/>
      <c r="B89" s="1995"/>
      <c r="C89" s="335">
        <f t="shared" si="2"/>
        <v>604</v>
      </c>
      <c r="D89" s="1995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</row>
    <row r="90" spans="1:23" ht="15.75" hidden="1">
      <c r="A90" s="1995"/>
      <c r="B90" s="1995"/>
      <c r="C90" s="335">
        <f t="shared" si="2"/>
        <v>605</v>
      </c>
      <c r="D90" s="1995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</row>
    <row r="91" spans="1:23" ht="15.75" hidden="1">
      <c r="A91" s="1995"/>
      <c r="B91" s="1995"/>
      <c r="C91" s="335">
        <f t="shared" si="2"/>
        <v>606</v>
      </c>
      <c r="D91" s="1995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</row>
    <row r="92" spans="1:23" ht="15.75" hidden="1">
      <c r="A92" s="1995"/>
      <c r="B92" s="1995"/>
      <c r="C92" s="335">
        <f t="shared" si="2"/>
        <v>607</v>
      </c>
      <c r="D92" s="1995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</row>
    <row r="93" spans="1:23" ht="15.75" hidden="1">
      <c r="A93" s="1995"/>
      <c r="B93" s="1995"/>
      <c r="C93" s="335">
        <f t="shared" si="2"/>
        <v>608</v>
      </c>
      <c r="D93" s="1995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</row>
    <row r="94" spans="1:23" ht="15.75" hidden="1">
      <c r="A94" s="1995"/>
      <c r="B94" s="1995"/>
      <c r="C94" s="335">
        <f>1+C93</f>
        <v>609</v>
      </c>
      <c r="D94" s="1995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</row>
    <row r="95" spans="1:23" ht="15.75" hidden="1">
      <c r="A95" s="1995"/>
      <c r="B95" s="1995"/>
      <c r="C95" s="335">
        <v>611</v>
      </c>
      <c r="D95" s="1995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</row>
    <row r="96" spans="1:23" ht="15.75" hidden="1">
      <c r="A96" s="1995"/>
      <c r="B96" s="1995"/>
      <c r="C96" s="335">
        <v>621</v>
      </c>
      <c r="D96" s="1995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</row>
    <row r="97" spans="1:23" ht="15.75" hidden="1">
      <c r="A97" s="1995"/>
      <c r="B97" s="1995"/>
      <c r="C97" s="335">
        <f>1+C96</f>
        <v>622</v>
      </c>
      <c r="D97" s="1995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</row>
    <row r="98" spans="1:23" ht="15.75" hidden="1">
      <c r="A98" s="1995"/>
      <c r="B98" s="1995"/>
      <c r="C98" s="335">
        <f>1+C97</f>
        <v>623</v>
      </c>
      <c r="D98" s="1995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</row>
    <row r="99" spans="1:23" ht="15.75" hidden="1">
      <c r="A99" s="1995"/>
      <c r="B99" s="1995"/>
      <c r="C99" s="335">
        <v>631</v>
      </c>
      <c r="D99" s="1995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</row>
    <row r="100" spans="1:23" ht="15.75" hidden="1">
      <c r="A100" s="1995"/>
      <c r="B100" s="1995"/>
      <c r="C100" s="335">
        <v>632</v>
      </c>
      <c r="D100" s="1995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</row>
    <row r="101" spans="1:23" ht="15.75" hidden="1">
      <c r="A101" s="1995"/>
      <c r="B101" s="1995"/>
      <c r="C101" s="335">
        <v>641</v>
      </c>
      <c r="D101" s="1995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</row>
    <row r="102" spans="1:23" ht="15.75" hidden="1">
      <c r="A102" s="1995"/>
      <c r="B102" s="1995"/>
      <c r="C102" s="335">
        <f>1+C101</f>
        <v>642</v>
      </c>
      <c r="D102" s="1995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</row>
    <row r="103" spans="1:23" ht="15.75" hidden="1">
      <c r="A103" s="1995"/>
      <c r="B103" s="1995"/>
      <c r="C103" s="335">
        <v>651</v>
      </c>
      <c r="D103" s="1995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</row>
    <row r="104" spans="1:23" ht="15.75" hidden="1">
      <c r="A104" s="1995"/>
      <c r="B104" s="1995"/>
      <c r="C104" s="337">
        <f>1+C103</f>
        <v>652</v>
      </c>
      <c r="D104" s="1995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</row>
    <row r="105" spans="1:23" ht="15.75" hidden="1">
      <c r="A105" s="1995"/>
      <c r="B105" s="1995"/>
      <c r="C105" s="692">
        <v>660</v>
      </c>
      <c r="D105" s="1995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3"/>
      <c r="R105" s="303"/>
      <c r="S105" s="303"/>
      <c r="T105" s="303"/>
      <c r="U105" s="303"/>
      <c r="V105" s="303"/>
      <c r="W105" s="303"/>
    </row>
    <row r="106" spans="1:23" ht="15.75" hidden="1">
      <c r="A106" s="1995"/>
      <c r="B106" s="1995"/>
      <c r="C106" s="692">
        <v>670</v>
      </c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</row>
    <row r="107" spans="1:23" ht="15.75" hidden="1">
      <c r="A107" s="1995"/>
      <c r="B107" s="1995"/>
      <c r="C107" s="2045">
        <v>681</v>
      </c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</row>
    <row r="108" spans="1:23" ht="15.75" hidden="1">
      <c r="A108" s="1995"/>
      <c r="B108" s="1995"/>
      <c r="C108" s="335">
        <v>682</v>
      </c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</row>
    <row r="109" spans="1:23" ht="15.75" hidden="1">
      <c r="A109" s="1995"/>
      <c r="B109" s="1995"/>
      <c r="C109" s="335">
        <v>761</v>
      </c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</row>
    <row r="110" spans="1:23" ht="15.75" hidden="1">
      <c r="A110" s="1995"/>
      <c r="B110" s="1995"/>
      <c r="C110" s="335">
        <f>1+C109</f>
        <v>762</v>
      </c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</row>
    <row r="111" spans="1:23" ht="15.75" hidden="1">
      <c r="A111" s="1995"/>
      <c r="B111" s="1995"/>
      <c r="C111" s="335">
        <v>771</v>
      </c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</row>
    <row r="112" spans="1:23" ht="15.75" hidden="1">
      <c r="A112" s="1995"/>
      <c r="B112" s="1995"/>
      <c r="C112" s="335">
        <f>1+C111</f>
        <v>772</v>
      </c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</row>
    <row r="113" spans="1:23" ht="15.75" hidden="1">
      <c r="A113" s="1995"/>
      <c r="B113" s="1995"/>
      <c r="C113" s="335">
        <v>781</v>
      </c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</row>
    <row r="114" spans="1:23" ht="15.75" hidden="1">
      <c r="A114" s="1995"/>
      <c r="B114" s="1995"/>
      <c r="C114" s="335">
        <f>1+C113</f>
        <v>782</v>
      </c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</row>
    <row r="115" spans="1:23" ht="15.75" hidden="1">
      <c r="A115" s="1995"/>
      <c r="B115" s="1995"/>
      <c r="C115" s="335">
        <f>1+C114</f>
        <v>783</v>
      </c>
      <c r="D115" s="1995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</row>
    <row r="116" spans="1:23" ht="15.75" hidden="1">
      <c r="A116" s="1995"/>
      <c r="B116" s="1995"/>
      <c r="C116" s="335">
        <v>791</v>
      </c>
      <c r="D116" s="1995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</row>
    <row r="117" spans="1:23" ht="15.75" hidden="1">
      <c r="A117" s="1995"/>
      <c r="B117" s="1995"/>
      <c r="C117" s="335">
        <f>1+C116</f>
        <v>792</v>
      </c>
      <c r="D117" s="1995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</row>
    <row r="118" spans="1:23" ht="15.75" hidden="1">
      <c r="A118" s="1995"/>
      <c r="B118" s="1995"/>
      <c r="C118" s="335">
        <f>1+C117</f>
        <v>793</v>
      </c>
      <c r="D118" s="1995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</row>
    <row r="119" spans="1:23" ht="15.75" hidden="1">
      <c r="A119" s="1995"/>
      <c r="B119" s="1995"/>
      <c r="C119" s="335">
        <f>1+C118</f>
        <v>794</v>
      </c>
      <c r="D119" s="1995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</row>
    <row r="120" spans="1:23" ht="15.75" hidden="1">
      <c r="A120" s="1995"/>
      <c r="B120" s="1995"/>
      <c r="C120" s="335">
        <f>1+C119</f>
        <v>795</v>
      </c>
      <c r="D120" s="1995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</row>
    <row r="121" spans="1:23" ht="15.75" hidden="1">
      <c r="A121" s="1995"/>
      <c r="B121" s="1995"/>
      <c r="C121" s="335">
        <v>691</v>
      </c>
      <c r="D121" s="1995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</row>
    <row r="122" spans="1:23" ht="15.75" hidden="1">
      <c r="A122" s="1995"/>
      <c r="B122" s="1995"/>
      <c r="C122" s="335">
        <f>1+C121</f>
        <v>692</v>
      </c>
      <c r="D122" s="1995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</row>
    <row r="123" spans="1:23" ht="15.75" hidden="1">
      <c r="A123" s="1995"/>
      <c r="B123" s="1995"/>
      <c r="C123" s="335">
        <f>1+C122</f>
        <v>693</v>
      </c>
      <c r="D123" s="1995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</row>
    <row r="124" spans="1:23" ht="15.75" hidden="1">
      <c r="A124" s="1995"/>
      <c r="B124" s="1995"/>
      <c r="C124" s="335">
        <f>1+C123</f>
        <v>694</v>
      </c>
      <c r="D124" s="1995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</row>
    <row r="125" spans="1:23" ht="16.5" hidden="1" thickBot="1">
      <c r="A125" s="1995"/>
      <c r="B125" s="1995"/>
      <c r="C125" s="2044">
        <f>1+C124</f>
        <v>695</v>
      </c>
      <c r="D125" s="1995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</row>
    <row r="126" spans="1:23" hidden="1">
      <c r="A126" s="1995"/>
      <c r="B126" s="1995"/>
      <c r="C126" s="1995"/>
      <c r="D126" s="1995"/>
      <c r="E126" s="303"/>
      <c r="F126" s="303"/>
      <c r="G126" s="1995"/>
      <c r="H126" s="303"/>
      <c r="I126" s="303"/>
      <c r="J126" s="303"/>
      <c r="K126" s="1995"/>
      <c r="L126" s="303"/>
      <c r="M126" s="303"/>
      <c r="N126" s="303"/>
      <c r="O126" s="1995"/>
      <c r="P126" s="303"/>
      <c r="Q126" s="303"/>
      <c r="R126" s="303"/>
      <c r="S126" s="303"/>
      <c r="T126" s="303"/>
      <c r="U126" s="303"/>
      <c r="V126" s="303"/>
      <c r="W126" s="303"/>
    </row>
    <row r="127" spans="1:23" ht="16.5" thickBot="1">
      <c r="A127" s="1995"/>
      <c r="B127" s="198"/>
      <c r="C127" s="2042">
        <f>+IF(AND(D$127=0,E$127=0),0,"ОПР")</f>
        <v>0</v>
      </c>
      <c r="D127" s="2031">
        <f>+IF(AND(D$128=0,D$130=0),0,"Текуща година")</f>
        <v>0</v>
      </c>
      <c r="E127" s="2032">
        <f>+IF(AND(E$128=0,E$130=0),0,"Предходна година")</f>
        <v>0</v>
      </c>
      <c r="F127" s="198"/>
      <c r="G127" s="2042">
        <f>+IF(AND(H$127=0,I$127=0),0,"ОПР")</f>
        <v>0</v>
      </c>
      <c r="H127" s="2031">
        <f>+IF(AND(H$128=0,H$130=0),0,"Текуща година")</f>
        <v>0</v>
      </c>
      <c r="I127" s="2032">
        <f>+IF(AND(I$128=0,I$130=0),0,"Предходна година")</f>
        <v>0</v>
      </c>
      <c r="J127" s="198"/>
      <c r="K127" s="2042">
        <f>+IF(AND(L$127=0,M$127=0),0,"ОПР")</f>
        <v>0</v>
      </c>
      <c r="L127" s="2031">
        <f>+IF(AND(L$128=0,L$130=0),0,"Текуща година")</f>
        <v>0</v>
      </c>
      <c r="M127" s="2032">
        <f>+IF(AND(M$128=0,M$130=0),0,"Предходна година")</f>
        <v>0</v>
      </c>
      <c r="N127" s="198"/>
      <c r="O127" s="2042">
        <f>+IF(AND(P$127=0,Q$127=0),0,"ОПР")</f>
        <v>0</v>
      </c>
      <c r="P127" s="2031">
        <f>+IF(AND(P$128=0,P$130=0),0,"Текуща година")</f>
        <v>0</v>
      </c>
      <c r="Q127" s="2032">
        <f>+IF(AND(Q$128=0,Q$130=0),0,"Предходна година")</f>
        <v>0</v>
      </c>
      <c r="R127" s="303"/>
      <c r="S127" s="303"/>
      <c r="T127" s="303"/>
      <c r="U127" s="303"/>
      <c r="V127" s="303"/>
      <c r="W127" s="303"/>
    </row>
    <row r="128" spans="1:23" ht="16.5" thickBot="1">
      <c r="A128" s="2072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8"/>
      <c r="C128" s="2025">
        <f>+IF(AND(D$127=0,E$127=0),0,"Бюджет")</f>
        <v>0</v>
      </c>
      <c r="D128" s="2005">
        <f>+IF(AND('Income-2021'!D124&lt;&gt;0,+'Income-2021-leva'!D123=0),+'BALANCE-SHEET-2021'!D65-'Income-2021'!D113,0)</f>
        <v>0</v>
      </c>
      <c r="E128" s="2070">
        <f>+IF(AND('Income-2021'!E124&lt;&gt;0,+'Income-2021-leva'!E123=0),+'BALANCE-SHEET-2021'!E65-'Income-2021'!E113,0)</f>
        <v>0</v>
      </c>
      <c r="F128" s="198"/>
      <c r="G128" s="2025">
        <f>+IF(AND(H$127=0,I$127=0),0,"СЕС")</f>
        <v>0</v>
      </c>
      <c r="H128" s="2010">
        <f>+IF(AND('Income-2021'!G124&lt;&gt;0,+'Income-2021-leva'!G123=0),+'BALANCE-SHEET-2021'!G65-'Income-2021'!G113,0)</f>
        <v>0</v>
      </c>
      <c r="I128" s="2011">
        <f>+IF(AND('Income-2021'!H124&lt;&gt;0,+'Income-2021-leva'!H123=0),+'BALANCE-SHEET-2021'!H65-'Income-2021'!H113,0)</f>
        <v>0</v>
      </c>
      <c r="J128" s="198"/>
      <c r="K128" s="2025">
        <f>+IF(AND(L$127=0,M$127=0),0,"ДСД")</f>
        <v>0</v>
      </c>
      <c r="L128" s="2008">
        <f>+IF(AND('Income-2021'!J124&lt;&gt;0,+'Income-2021-leva'!J123=0),+'BALANCE-SHEET-2021'!J65-'Income-2021'!J113,0)</f>
        <v>0</v>
      </c>
      <c r="M128" s="2009">
        <f>+IF(AND('Income-2021'!K124&lt;&gt;0,+'Income-2021-leva'!K123=0),+'BALANCE-SHEET-2021'!K65-'Income-2021'!K113,0)</f>
        <v>0</v>
      </c>
      <c r="N128" s="198"/>
      <c r="O128" s="2025">
        <f>+IF(AND(P$127=0,Q$127=0),0,"ОБЩО")</f>
        <v>0</v>
      </c>
      <c r="P128" s="2006">
        <f>+IF(AND('Income-2021'!M124&lt;&gt;0,+'Income-2021-leva'!M123=0),+'BALANCE-SHEET-2021'!M65-'Income-2021'!M113,0)</f>
        <v>0</v>
      </c>
      <c r="Q128" s="2007">
        <f>+IF(AND('Income-2021'!N124&lt;&gt;0,+'Income-2021-leva'!N123=0),+'BALANCE-SHEET-2021'!N65-'Income-2021'!N113,0)</f>
        <v>0</v>
      </c>
      <c r="R128" s="303"/>
      <c r="S128" s="303"/>
      <c r="T128" s="303"/>
      <c r="U128" s="303"/>
      <c r="V128" s="303"/>
      <c r="W128" s="303"/>
    </row>
    <row r="129" spans="1:23">
      <c r="A129" s="303" t="s">
        <v>265</v>
      </c>
      <c r="B129" s="303"/>
      <c r="C129" s="303"/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</row>
    <row r="130" spans="1:23" ht="15.75">
      <c r="A130" s="2046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8"/>
      <c r="C130" s="2047">
        <f>+IF(AND(D$127=0,E$127=0),0,"Шифър")</f>
        <v>0</v>
      </c>
      <c r="D130" s="2054">
        <f>+SUM(D131:D133)</f>
        <v>0</v>
      </c>
      <c r="E130" s="2055">
        <f>+SUM(E131:E133)</f>
        <v>0</v>
      </c>
      <c r="F130" s="198"/>
      <c r="G130" s="2047">
        <f>+IF(AND(H$127=0,I$127=0),0,"Шифър")</f>
        <v>0</v>
      </c>
      <c r="H130" s="2054">
        <f>+SUM(H131:H133)</f>
        <v>0</v>
      </c>
      <c r="I130" s="2055">
        <f>+SUM(I131:I133)</f>
        <v>0</v>
      </c>
      <c r="J130" s="198"/>
      <c r="K130" s="2047">
        <f>+IF(AND(L$127=0,M$127=0),0,"Шифър")</f>
        <v>0</v>
      </c>
      <c r="L130" s="2054">
        <f>+SUM(L131:L133)</f>
        <v>0</v>
      </c>
      <c r="M130" s="2055">
        <f>+SUM(M131:M133)</f>
        <v>0</v>
      </c>
      <c r="N130" s="198"/>
      <c r="O130" s="2047">
        <f>+IF(AND(P$127=0,Q$127=0),0,"Шифър")</f>
        <v>0</v>
      </c>
      <c r="P130" s="2054">
        <f>+SUM(P131:P133)</f>
        <v>0</v>
      </c>
      <c r="Q130" s="2055">
        <f>+SUM(Q131:Q133)</f>
        <v>0</v>
      </c>
      <c r="R130" s="303"/>
      <c r="S130" s="303"/>
      <c r="T130" s="303"/>
      <c r="U130" s="303"/>
      <c r="V130" s="303"/>
      <c r="W130" s="303"/>
    </row>
    <row r="131" spans="1:23" ht="15.75">
      <c r="A131" s="2083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303"/>
      <c r="C131" s="2022"/>
      <c r="D131" s="2063"/>
      <c r="E131" s="2064"/>
      <c r="F131" s="303"/>
      <c r="G131" s="2022"/>
      <c r="H131" s="2063"/>
      <c r="I131" s="2064"/>
      <c r="J131" s="303"/>
      <c r="K131" s="2022"/>
      <c r="L131" s="2063"/>
      <c r="M131" s="2064"/>
      <c r="N131" s="303"/>
      <c r="O131" s="2022"/>
      <c r="P131" s="2063"/>
      <c r="Q131" s="2064"/>
      <c r="R131" s="303"/>
      <c r="S131" s="303"/>
      <c r="T131" s="303"/>
      <c r="U131" s="303"/>
      <c r="V131" s="303"/>
      <c r="W131" s="303"/>
    </row>
    <row r="132" spans="1:23" ht="15.75">
      <c r="A132" s="208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303"/>
      <c r="C132" s="2062"/>
      <c r="D132" s="2065"/>
      <c r="E132" s="2066"/>
      <c r="F132" s="303"/>
      <c r="G132" s="2062"/>
      <c r="H132" s="2065"/>
      <c r="I132" s="2066"/>
      <c r="J132" s="303"/>
      <c r="K132" s="2062"/>
      <c r="L132" s="2065"/>
      <c r="M132" s="2066"/>
      <c r="N132" s="303"/>
      <c r="O132" s="2062"/>
      <c r="P132" s="2065"/>
      <c r="Q132" s="2066"/>
      <c r="R132" s="303"/>
      <c r="S132" s="303"/>
      <c r="T132" s="303"/>
      <c r="U132" s="303"/>
      <c r="V132" s="303"/>
      <c r="W132" s="303"/>
    </row>
    <row r="133" spans="1:23" ht="16.5" thickBot="1">
      <c r="A133" s="208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303"/>
      <c r="C133" s="2023"/>
      <c r="D133" s="2067"/>
      <c r="E133" s="2068"/>
      <c r="F133" s="303"/>
      <c r="G133" s="2023"/>
      <c r="H133" s="2067"/>
      <c r="I133" s="2068"/>
      <c r="J133" s="303"/>
      <c r="K133" s="2023"/>
      <c r="L133" s="2067"/>
      <c r="M133" s="2068"/>
      <c r="N133" s="303"/>
      <c r="O133" s="2023"/>
      <c r="P133" s="2067"/>
      <c r="Q133" s="2068"/>
      <c r="R133" s="303"/>
      <c r="S133" s="303"/>
      <c r="T133" s="303"/>
      <c r="U133" s="303"/>
      <c r="V133" s="303"/>
      <c r="W133" s="303"/>
    </row>
    <row r="134" spans="1:23" ht="13.5" thickTop="1">
      <c r="A134" s="1995"/>
      <c r="B134" s="1995"/>
      <c r="C134" s="1995"/>
      <c r="D134" s="1995"/>
      <c r="E134" s="1995"/>
      <c r="F134" s="1995"/>
      <c r="G134" s="1995"/>
      <c r="H134" s="1995"/>
      <c r="I134" s="1995"/>
      <c r="J134" s="1995"/>
      <c r="K134" s="1995"/>
      <c r="L134" s="1995"/>
      <c r="M134" s="1995"/>
      <c r="N134" s="1995"/>
      <c r="O134" s="1995"/>
      <c r="P134" s="1995"/>
      <c r="Q134" s="1995"/>
      <c r="R134" s="303"/>
      <c r="S134" s="303"/>
      <c r="T134" s="303"/>
      <c r="U134" s="303"/>
      <c r="V134" s="303"/>
      <c r="W134" s="303"/>
    </row>
    <row r="135" spans="1:23">
      <c r="A135" s="1995"/>
      <c r="B135" s="1995"/>
      <c r="C135" s="1995"/>
      <c r="D135" s="1995"/>
      <c r="E135" s="303"/>
      <c r="F135" s="303"/>
      <c r="G135" s="1995"/>
      <c r="H135" s="303"/>
      <c r="I135" s="303"/>
      <c r="J135" s="303"/>
      <c r="K135" s="1995"/>
      <c r="L135" s="303"/>
      <c r="M135" s="303"/>
      <c r="N135" s="303"/>
      <c r="O135" s="1995"/>
      <c r="P135" s="303"/>
      <c r="Q135" s="303"/>
      <c r="R135" s="303"/>
      <c r="S135" s="303"/>
      <c r="T135" s="303"/>
      <c r="U135" s="303"/>
      <c r="V135" s="303"/>
      <c r="W135" s="303"/>
    </row>
    <row r="136" spans="1:23">
      <c r="A136" s="1995"/>
      <c r="B136" s="1995"/>
      <c r="C136" s="1995"/>
      <c r="D136" s="1995"/>
      <c r="E136" s="303"/>
      <c r="F136" s="303"/>
      <c r="G136" s="1995"/>
      <c r="H136" s="303"/>
      <c r="I136" s="303"/>
      <c r="J136" s="303"/>
      <c r="K136" s="1995"/>
      <c r="L136" s="303"/>
      <c r="M136" s="303"/>
      <c r="N136" s="303"/>
      <c r="O136" s="1995"/>
      <c r="P136" s="303"/>
      <c r="Q136" s="303"/>
      <c r="R136" s="303"/>
      <c r="S136" s="303"/>
      <c r="T136" s="303"/>
      <c r="U136" s="303"/>
      <c r="V136" s="303"/>
      <c r="W136" s="303"/>
    </row>
    <row r="137" spans="1:23">
      <c r="A137" s="1995"/>
      <c r="B137" s="1995"/>
      <c r="C137" s="1995"/>
      <c r="D137" s="1995"/>
      <c r="E137" s="303"/>
      <c r="F137" s="303"/>
      <c r="G137" s="1995"/>
      <c r="H137" s="303"/>
      <c r="I137" s="303"/>
      <c r="J137" s="303"/>
      <c r="K137" s="1995"/>
      <c r="L137" s="303"/>
      <c r="M137" s="303"/>
      <c r="N137" s="303"/>
      <c r="O137" s="1995"/>
      <c r="P137" s="303"/>
      <c r="Q137" s="303"/>
      <c r="R137" s="303"/>
      <c r="S137" s="303"/>
      <c r="T137" s="303"/>
      <c r="U137" s="303"/>
      <c r="V137" s="303"/>
      <c r="W137" s="303"/>
    </row>
    <row r="138" spans="1:23">
      <c r="A138" s="2625"/>
      <c r="B138" s="2625"/>
      <c r="C138" s="2625"/>
      <c r="D138" s="2012"/>
      <c r="E138" s="2013"/>
      <c r="F138" s="303"/>
      <c r="G138" s="303"/>
      <c r="H138" s="2012"/>
      <c r="I138" s="2013"/>
      <c r="J138" s="303"/>
      <c r="K138" s="303"/>
      <c r="L138" s="2012"/>
      <c r="M138" s="2013"/>
      <c r="N138" s="303"/>
      <c r="O138" s="303"/>
      <c r="P138" s="2012"/>
      <c r="Q138" s="2013"/>
      <c r="R138" s="303"/>
      <c r="S138" s="303"/>
      <c r="T138" s="303"/>
      <c r="U138" s="303"/>
      <c r="V138" s="303"/>
      <c r="W138" s="303"/>
    </row>
    <row r="139" spans="1:23">
      <c r="A139" s="1995"/>
      <c r="B139" s="1995"/>
      <c r="C139" s="1995"/>
      <c r="D139" s="1995"/>
      <c r="E139" s="303"/>
      <c r="F139" s="303"/>
      <c r="G139" s="1995"/>
      <c r="H139" s="303"/>
      <c r="I139" s="303"/>
      <c r="J139" s="303"/>
      <c r="K139" s="1995"/>
      <c r="L139" s="303"/>
      <c r="M139" s="303"/>
      <c r="N139" s="303"/>
      <c r="O139" s="1995"/>
      <c r="P139" s="303"/>
      <c r="Q139" s="303"/>
      <c r="R139" s="303"/>
      <c r="S139" s="303"/>
      <c r="T139" s="303"/>
      <c r="U139" s="303"/>
      <c r="V139" s="303"/>
      <c r="W139" s="303"/>
    </row>
    <row r="140" spans="1:23">
      <c r="A140" s="1995"/>
      <c r="B140" s="1995"/>
      <c r="C140" s="1995"/>
      <c r="D140" s="1995"/>
      <c r="E140" s="303"/>
      <c r="F140" s="303"/>
      <c r="G140" s="1995"/>
      <c r="H140" s="303"/>
      <c r="I140" s="303"/>
      <c r="J140" s="303"/>
      <c r="K140" s="1995"/>
      <c r="L140" s="303"/>
      <c r="M140" s="303"/>
      <c r="N140" s="303"/>
      <c r="O140" s="1995"/>
      <c r="P140" s="303"/>
      <c r="Q140" s="303"/>
      <c r="R140" s="303"/>
      <c r="S140" s="303"/>
      <c r="T140" s="303"/>
      <c r="U140" s="303"/>
      <c r="V140" s="303"/>
      <c r="W140" s="303"/>
    </row>
    <row r="141" spans="1:23">
      <c r="A141" s="1995"/>
      <c r="B141" s="1995"/>
      <c r="C141" s="1995"/>
      <c r="D141" s="1995"/>
      <c r="E141" s="303"/>
      <c r="F141" s="303"/>
      <c r="G141" s="1995"/>
      <c r="H141" s="303"/>
      <c r="I141" s="303"/>
      <c r="J141" s="303"/>
      <c r="K141" s="1995"/>
      <c r="L141" s="303"/>
      <c r="M141" s="303"/>
      <c r="N141" s="303"/>
      <c r="O141" s="1995"/>
      <c r="P141" s="303"/>
      <c r="Q141" s="303"/>
      <c r="R141" s="303"/>
      <c r="S141" s="303"/>
      <c r="T141" s="303"/>
      <c r="U141" s="303"/>
      <c r="V141" s="303"/>
      <c r="W141" s="303"/>
    </row>
    <row r="142" spans="1:23">
      <c r="A142" s="1995"/>
      <c r="B142" s="1995"/>
      <c r="C142" s="1995"/>
      <c r="D142" s="1995"/>
      <c r="E142" s="303"/>
      <c r="F142" s="303"/>
      <c r="G142" s="1995"/>
      <c r="H142" s="303"/>
      <c r="I142" s="303"/>
      <c r="J142" s="303"/>
      <c r="K142" s="1995"/>
      <c r="L142" s="303"/>
      <c r="M142" s="303"/>
      <c r="N142" s="303"/>
      <c r="O142" s="1995"/>
      <c r="P142" s="303"/>
      <c r="Q142" s="303"/>
      <c r="R142" s="303"/>
      <c r="S142" s="303"/>
      <c r="T142" s="303"/>
      <c r="U142" s="303"/>
      <c r="V142" s="303"/>
      <c r="W142" s="303"/>
    </row>
    <row r="143" spans="1:23">
      <c r="A143" s="1995"/>
      <c r="B143" s="1995"/>
      <c r="C143" s="1995"/>
      <c r="D143" s="1995"/>
      <c r="E143" s="303"/>
      <c r="F143" s="303"/>
      <c r="G143" s="1995"/>
      <c r="H143" s="303"/>
      <c r="I143" s="303"/>
      <c r="J143" s="303"/>
      <c r="K143" s="1995"/>
      <c r="L143" s="303"/>
      <c r="M143" s="303"/>
      <c r="N143" s="303"/>
      <c r="O143" s="1995"/>
      <c r="P143" s="303"/>
      <c r="Q143" s="303"/>
      <c r="R143" s="303"/>
      <c r="S143" s="303"/>
      <c r="T143" s="303"/>
      <c r="U143" s="303"/>
      <c r="V143" s="303"/>
      <c r="W143" s="303"/>
    </row>
    <row r="144" spans="1:23">
      <c r="A144" s="1995"/>
      <c r="B144" s="1995"/>
      <c r="C144" s="1995"/>
      <c r="D144" s="1995"/>
      <c r="E144" s="303"/>
      <c r="F144" s="303"/>
      <c r="G144" s="1995"/>
      <c r="H144" s="303"/>
      <c r="I144" s="303"/>
      <c r="J144" s="303"/>
      <c r="K144" s="1995"/>
      <c r="L144" s="303"/>
      <c r="M144" s="303"/>
      <c r="N144" s="303"/>
      <c r="O144" s="1995"/>
      <c r="P144" s="303"/>
      <c r="Q144" s="303"/>
      <c r="R144" s="303"/>
      <c r="S144" s="303"/>
      <c r="T144" s="303"/>
      <c r="U144" s="303"/>
      <c r="V144" s="303"/>
      <c r="W144" s="303"/>
    </row>
    <row r="145" spans="1:23">
      <c r="A145" s="1995"/>
      <c r="B145" s="1995"/>
      <c r="C145" s="1995"/>
      <c r="D145" s="1995"/>
      <c r="E145" s="303"/>
      <c r="F145" s="303"/>
      <c r="G145" s="1995"/>
      <c r="H145" s="303"/>
      <c r="I145" s="303"/>
      <c r="J145" s="303"/>
      <c r="K145" s="1995"/>
      <c r="L145" s="303"/>
      <c r="M145" s="303"/>
      <c r="N145" s="303"/>
      <c r="O145" s="1995"/>
      <c r="P145" s="303"/>
      <c r="Q145" s="303"/>
      <c r="R145" s="303"/>
      <c r="S145" s="303"/>
      <c r="T145" s="303"/>
      <c r="U145" s="303"/>
      <c r="V145" s="303"/>
      <c r="W145" s="303"/>
    </row>
    <row r="146" spans="1:23">
      <c r="A146" s="1995"/>
      <c r="B146" s="1995"/>
      <c r="C146" s="1995"/>
      <c r="D146" s="1995"/>
      <c r="E146" s="303"/>
      <c r="F146" s="303"/>
      <c r="G146" s="1995"/>
      <c r="H146" s="303"/>
      <c r="I146" s="303"/>
      <c r="J146" s="303"/>
      <c r="K146" s="1995"/>
      <c r="L146" s="303"/>
      <c r="M146" s="303"/>
      <c r="N146" s="303"/>
      <c r="O146" s="1995"/>
      <c r="P146" s="303"/>
      <c r="Q146" s="303"/>
      <c r="R146" s="303"/>
      <c r="S146" s="303"/>
      <c r="T146" s="303"/>
      <c r="U146" s="303"/>
      <c r="V146" s="303"/>
      <c r="W146" s="303"/>
    </row>
    <row r="147" spans="1:23">
      <c r="A147" s="1995"/>
      <c r="B147" s="1995"/>
      <c r="C147" s="1995"/>
      <c r="D147" s="1995"/>
      <c r="E147" s="303"/>
      <c r="F147" s="303"/>
      <c r="G147" s="1995"/>
      <c r="H147" s="303"/>
      <c r="I147" s="303"/>
      <c r="J147" s="303"/>
      <c r="K147" s="1995"/>
      <c r="L147" s="303"/>
      <c r="M147" s="303"/>
      <c r="N147" s="303"/>
      <c r="O147" s="1995"/>
      <c r="P147" s="303"/>
      <c r="Q147" s="303"/>
      <c r="R147" s="303"/>
      <c r="S147" s="303"/>
      <c r="T147" s="303"/>
      <c r="U147" s="303"/>
      <c r="V147" s="303"/>
      <c r="W147" s="303"/>
    </row>
    <row r="148" spans="1:23">
      <c r="A148" s="1995"/>
      <c r="B148" s="1995"/>
      <c r="C148" s="1995"/>
      <c r="D148" s="1995"/>
      <c r="E148" s="303"/>
      <c r="F148" s="303"/>
      <c r="G148" s="1995"/>
      <c r="H148" s="303"/>
      <c r="I148" s="303"/>
      <c r="J148" s="303"/>
      <c r="K148" s="1995"/>
      <c r="L148" s="303"/>
      <c r="M148" s="303"/>
      <c r="N148" s="303"/>
      <c r="O148" s="1995"/>
      <c r="P148" s="303"/>
      <c r="Q148" s="303"/>
      <c r="R148" s="303"/>
      <c r="S148" s="303"/>
      <c r="T148" s="303"/>
      <c r="U148" s="303"/>
      <c r="V148" s="303"/>
      <c r="W148" s="303"/>
    </row>
    <row r="149" spans="1:23">
      <c r="A149" s="1995"/>
      <c r="B149" s="1995"/>
      <c r="C149" s="1995"/>
      <c r="D149" s="1995"/>
      <c r="E149" s="303"/>
      <c r="F149" s="303"/>
      <c r="G149" s="1995"/>
      <c r="H149" s="303"/>
      <c r="I149" s="303"/>
      <c r="J149" s="303"/>
      <c r="K149" s="1995"/>
      <c r="L149" s="303"/>
      <c r="M149" s="303"/>
      <c r="N149" s="303"/>
      <c r="O149" s="1995"/>
      <c r="P149" s="303"/>
      <c r="Q149" s="303"/>
      <c r="R149" s="303"/>
      <c r="S149" s="303"/>
      <c r="T149" s="303"/>
      <c r="U149" s="303"/>
      <c r="V149" s="303"/>
      <c r="W149" s="303"/>
    </row>
    <row r="150" spans="1:23">
      <c r="A150" s="1995"/>
      <c r="B150" s="1995"/>
      <c r="C150" s="1995"/>
      <c r="D150" s="1995"/>
      <c r="E150" s="303"/>
      <c r="F150" s="303"/>
      <c r="G150" s="1995"/>
      <c r="H150" s="303"/>
      <c r="I150" s="303"/>
      <c r="J150" s="303"/>
      <c r="K150" s="1995"/>
      <c r="L150" s="303"/>
      <c r="M150" s="303"/>
      <c r="N150" s="303"/>
      <c r="O150" s="1995"/>
      <c r="P150" s="303"/>
      <c r="Q150" s="303"/>
      <c r="R150" s="303"/>
      <c r="S150" s="303"/>
      <c r="T150" s="303"/>
      <c r="U150" s="303"/>
      <c r="V150" s="303"/>
      <c r="W150" s="303"/>
    </row>
    <row r="151" spans="1:23">
      <c r="A151" s="1995"/>
      <c r="B151" s="1995"/>
      <c r="C151" s="1995"/>
      <c r="D151" s="1995"/>
      <c r="E151" s="303"/>
      <c r="F151" s="303"/>
      <c r="G151" s="1995"/>
      <c r="H151" s="303"/>
      <c r="I151" s="303"/>
      <c r="J151" s="303"/>
      <c r="K151" s="1995"/>
      <c r="L151" s="303"/>
      <c r="M151" s="303"/>
      <c r="N151" s="303"/>
      <c r="O151" s="1995"/>
      <c r="P151" s="303"/>
      <c r="Q151" s="303"/>
      <c r="R151" s="303"/>
      <c r="S151" s="303"/>
      <c r="T151" s="303"/>
      <c r="U151" s="303"/>
      <c r="V151" s="303"/>
      <c r="W151" s="303"/>
    </row>
    <row r="152" spans="1:23">
      <c r="A152" s="1995"/>
      <c r="B152" s="1995"/>
      <c r="C152" s="1995"/>
      <c r="D152" s="1995"/>
      <c r="E152" s="303"/>
      <c r="F152" s="303"/>
      <c r="G152" s="1995"/>
      <c r="H152" s="303"/>
      <c r="I152" s="303"/>
      <c r="J152" s="303"/>
      <c r="K152" s="1995"/>
      <c r="L152" s="303"/>
      <c r="M152" s="303"/>
      <c r="N152" s="303"/>
      <c r="O152" s="1995"/>
      <c r="P152" s="303"/>
      <c r="Q152" s="303"/>
      <c r="R152" s="303"/>
      <c r="S152" s="303"/>
      <c r="T152" s="303"/>
      <c r="U152" s="303"/>
      <c r="V152" s="303"/>
      <c r="W152" s="303"/>
    </row>
    <row r="153" spans="1:23">
      <c r="A153" s="1995"/>
      <c r="B153" s="1995"/>
      <c r="C153" s="1995"/>
      <c r="D153" s="1995"/>
      <c r="E153" s="303"/>
      <c r="F153" s="303"/>
      <c r="G153" s="1995"/>
      <c r="H153" s="303"/>
      <c r="I153" s="303"/>
      <c r="J153" s="303"/>
      <c r="K153" s="1995"/>
      <c r="L153" s="303"/>
      <c r="M153" s="303"/>
      <c r="N153" s="303"/>
      <c r="O153" s="1995"/>
      <c r="P153" s="303"/>
      <c r="Q153" s="303"/>
      <c r="R153" s="303"/>
      <c r="S153" s="303"/>
      <c r="T153" s="303"/>
      <c r="U153" s="303"/>
      <c r="V153" s="303"/>
      <c r="W153" s="303"/>
    </row>
    <row r="154" spans="1:23">
      <c r="A154" s="1995"/>
      <c r="B154" s="1995"/>
      <c r="C154" s="1995"/>
      <c r="D154" s="1995"/>
      <c r="E154" s="303"/>
      <c r="F154" s="303"/>
      <c r="G154" s="1995"/>
      <c r="H154" s="303"/>
      <c r="I154" s="303"/>
      <c r="J154" s="303"/>
      <c r="K154" s="1995"/>
      <c r="L154" s="303"/>
      <c r="M154" s="303"/>
      <c r="N154" s="303"/>
      <c r="O154" s="1995"/>
      <c r="P154" s="303"/>
      <c r="Q154" s="303"/>
      <c r="R154" s="303"/>
      <c r="S154" s="303"/>
      <c r="T154" s="303"/>
      <c r="U154" s="303"/>
      <c r="V154" s="303"/>
      <c r="W154" s="303"/>
    </row>
    <row r="155" spans="1:23">
      <c r="A155" s="1995"/>
      <c r="B155" s="1995"/>
      <c r="C155" s="1995"/>
      <c r="D155" s="1995"/>
      <c r="E155" s="303"/>
      <c r="F155" s="303"/>
      <c r="G155" s="1995"/>
      <c r="H155" s="303"/>
      <c r="I155" s="303"/>
      <c r="J155" s="303"/>
      <c r="K155" s="1995"/>
      <c r="L155" s="303"/>
      <c r="M155" s="303"/>
      <c r="N155" s="303"/>
      <c r="O155" s="1995"/>
      <c r="P155" s="303"/>
      <c r="Q155" s="303"/>
      <c r="R155" s="303"/>
      <c r="S155" s="303"/>
      <c r="T155" s="303"/>
      <c r="U155" s="303"/>
      <c r="V155" s="303"/>
      <c r="W155" s="303"/>
    </row>
    <row r="156" spans="1:23">
      <c r="A156" s="1995"/>
      <c r="B156" s="1995"/>
      <c r="C156" s="1995"/>
      <c r="D156" s="1995"/>
      <c r="E156" s="303"/>
      <c r="F156" s="303"/>
      <c r="G156" s="1995"/>
      <c r="H156" s="303"/>
      <c r="I156" s="303"/>
      <c r="J156" s="303"/>
      <c r="K156" s="1995"/>
      <c r="L156" s="303"/>
      <c r="M156" s="303"/>
      <c r="N156" s="303"/>
      <c r="O156" s="1995"/>
      <c r="P156" s="303"/>
      <c r="Q156" s="303"/>
      <c r="R156" s="303"/>
      <c r="S156" s="303"/>
      <c r="T156" s="303"/>
      <c r="U156" s="303"/>
      <c r="V156" s="303"/>
      <c r="W156" s="303"/>
    </row>
    <row r="157" spans="1:23">
      <c r="A157" s="1995"/>
      <c r="B157" s="1995"/>
      <c r="C157" s="1995"/>
      <c r="D157" s="1995"/>
      <c r="E157" s="303"/>
      <c r="F157" s="303"/>
      <c r="G157" s="1995"/>
      <c r="H157" s="303"/>
      <c r="I157" s="303"/>
      <c r="J157" s="303"/>
      <c r="K157" s="1995"/>
      <c r="L157" s="303"/>
      <c r="M157" s="303"/>
      <c r="N157" s="303"/>
      <c r="O157" s="1995"/>
      <c r="P157" s="303"/>
      <c r="Q157" s="303"/>
      <c r="R157" s="303"/>
      <c r="S157" s="303"/>
      <c r="T157" s="303"/>
      <c r="U157" s="303"/>
      <c r="V157" s="303"/>
      <c r="W157" s="303"/>
    </row>
    <row r="158" spans="1:23">
      <c r="A158" s="1995"/>
      <c r="B158" s="1995"/>
      <c r="C158" s="1995"/>
      <c r="D158" s="1995"/>
      <c r="E158" s="303"/>
      <c r="F158" s="303"/>
      <c r="G158" s="1995"/>
      <c r="H158" s="303"/>
      <c r="I158" s="303"/>
      <c r="J158" s="303"/>
      <c r="K158" s="1995"/>
      <c r="L158" s="303"/>
      <c r="M158" s="303"/>
      <c r="N158" s="303"/>
      <c r="O158" s="1995"/>
      <c r="P158" s="303"/>
      <c r="Q158" s="303"/>
      <c r="R158" s="303"/>
      <c r="S158" s="303"/>
      <c r="T158" s="303"/>
      <c r="U158" s="303"/>
      <c r="V158" s="303"/>
      <c r="W158" s="303"/>
    </row>
    <row r="159" spans="1:23">
      <c r="A159" s="1995"/>
      <c r="B159" s="1995"/>
      <c r="C159" s="1995"/>
      <c r="D159" s="1995"/>
      <c r="E159" s="303"/>
      <c r="F159" s="303"/>
      <c r="G159" s="1995"/>
      <c r="H159" s="303"/>
      <c r="I159" s="303"/>
      <c r="J159" s="303"/>
      <c r="K159" s="1995"/>
      <c r="L159" s="303"/>
      <c r="M159" s="303"/>
      <c r="N159" s="303"/>
      <c r="O159" s="1995"/>
      <c r="P159" s="303"/>
      <c r="Q159" s="303"/>
      <c r="R159" s="303"/>
      <c r="S159" s="303"/>
      <c r="T159" s="303"/>
      <c r="U159" s="303"/>
      <c r="V159" s="303"/>
      <c r="W159" s="303"/>
    </row>
    <row r="160" spans="1:23">
      <c r="A160" s="1995"/>
      <c r="B160" s="1995"/>
      <c r="C160" s="1995"/>
      <c r="D160" s="1995"/>
      <c r="E160" s="303"/>
      <c r="F160" s="303"/>
      <c r="G160" s="1995"/>
      <c r="H160" s="303"/>
      <c r="I160" s="303"/>
      <c r="J160" s="303"/>
      <c r="K160" s="1995"/>
      <c r="L160" s="303"/>
      <c r="M160" s="303"/>
      <c r="N160" s="303"/>
      <c r="O160" s="1995"/>
      <c r="P160" s="303"/>
      <c r="Q160" s="303"/>
      <c r="R160" s="303"/>
      <c r="S160" s="303"/>
      <c r="T160" s="303"/>
      <c r="U160" s="303"/>
      <c r="V160" s="303"/>
      <c r="W160" s="303"/>
    </row>
    <row r="161" spans="1:23">
      <c r="A161" s="1995"/>
      <c r="B161" s="1995"/>
      <c r="C161" s="1995"/>
      <c r="D161" s="1995"/>
      <c r="E161" s="303"/>
      <c r="F161" s="303"/>
      <c r="G161" s="1995"/>
      <c r="H161" s="303"/>
      <c r="I161" s="303"/>
      <c r="J161" s="303"/>
      <c r="K161" s="1995"/>
      <c r="L161" s="303"/>
      <c r="M161" s="303"/>
      <c r="N161" s="303"/>
      <c r="O161" s="1995"/>
      <c r="P161" s="303"/>
      <c r="Q161" s="303"/>
      <c r="R161" s="303"/>
      <c r="S161" s="303"/>
      <c r="T161" s="303"/>
      <c r="U161" s="303"/>
      <c r="V161" s="303"/>
      <c r="W161" s="303"/>
    </row>
  </sheetData>
  <sheetProtection password="889B" sheet="1" objects="1" scenarios="1"/>
  <mergeCells count="1">
    <mergeCell ref="A138:C138"/>
  </mergeCells>
  <conditionalFormatting sqref="G67:G125 K67:K125 O67:O125">
    <cfRule type="cellIs" dxfId="1210" priority="158" operator="notEqual">
      <formula>0</formula>
    </cfRule>
  </conditionalFormatting>
  <conditionalFormatting sqref="A3">
    <cfRule type="cellIs" dxfId="1209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08" priority="104" operator="equal">
      <formula>0</formula>
    </cfRule>
  </conditionalFormatting>
  <conditionalFormatting sqref="A6">
    <cfRule type="cellIs" dxfId="1207" priority="103" operator="equal">
      <formula>0</formula>
    </cfRule>
  </conditionalFormatting>
  <conditionalFormatting sqref="A7">
    <cfRule type="cellIs" dxfId="1206" priority="102" operator="equal">
      <formula>0</formula>
    </cfRule>
  </conditionalFormatting>
  <conditionalFormatting sqref="A53">
    <cfRule type="cellIs" dxfId="1205" priority="101" operator="equal">
      <formula>0</formula>
    </cfRule>
  </conditionalFormatting>
  <conditionalFormatting sqref="A54">
    <cfRule type="cellIs" dxfId="1204" priority="100" operator="equal">
      <formula>0</formula>
    </cfRule>
  </conditionalFormatting>
  <conditionalFormatting sqref="A55">
    <cfRule type="cellIs" dxfId="1203" priority="99" operator="equal">
      <formula>0</formula>
    </cfRule>
  </conditionalFormatting>
  <conditionalFormatting sqref="A128">
    <cfRule type="cellIs" dxfId="1202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1" priority="97" operator="equal">
      <formula>0</formula>
    </cfRule>
  </conditionalFormatting>
  <conditionalFormatting sqref="A131">
    <cfRule type="cellIs" dxfId="1200" priority="96" operator="equal">
      <formula>0</formula>
    </cfRule>
  </conditionalFormatting>
  <conditionalFormatting sqref="A132">
    <cfRule type="cellIs" dxfId="1199" priority="95" operator="equal">
      <formula>0</formula>
    </cfRule>
  </conditionalFormatting>
  <conditionalFormatting sqref="A133">
    <cfRule type="cellIs" dxfId="1198" priority="94" operator="equal">
      <formula>0</formula>
    </cfRule>
  </conditionalFormatting>
  <conditionalFormatting sqref="C2:Q3">
    <cfRule type="cellIs" dxfId="1197" priority="93" operator="equal">
      <formula>0</formula>
    </cfRule>
  </conditionalFormatting>
  <conditionalFormatting sqref="C5:E5 C53:E53 G5:I5 G53:I53 K5:M5 K53:M53 O5:Q5 O53:Q53">
    <cfRule type="cellIs" dxfId="1196" priority="92" operator="equal">
      <formula>0</formula>
    </cfRule>
  </conditionalFormatting>
  <conditionalFormatting sqref="D128">
    <cfRule type="cellIs" dxfId="1195" priority="91" operator="equal">
      <formula>0</formula>
    </cfRule>
  </conditionalFormatting>
  <conditionalFormatting sqref="E128">
    <cfRule type="cellIs" dxfId="1194" priority="90" operator="equal">
      <formula>0</formula>
    </cfRule>
  </conditionalFormatting>
  <conditionalFormatting sqref="D127">
    <cfRule type="cellIs" dxfId="1193" priority="89" operator="equal">
      <formula>0</formula>
    </cfRule>
  </conditionalFormatting>
  <conditionalFormatting sqref="E127">
    <cfRule type="cellIs" dxfId="1192" priority="88" operator="equal">
      <formula>0</formula>
    </cfRule>
  </conditionalFormatting>
  <conditionalFormatting sqref="C128">
    <cfRule type="cellIs" dxfId="1191" priority="87" operator="equal">
      <formula>0</formula>
    </cfRule>
  </conditionalFormatting>
  <conditionalFormatting sqref="D130">
    <cfRule type="cellIs" dxfId="1190" priority="86" operator="equal">
      <formula>0</formula>
    </cfRule>
  </conditionalFormatting>
  <conditionalFormatting sqref="E130">
    <cfRule type="cellIs" dxfId="1189" priority="85" operator="equal">
      <formula>0</formula>
    </cfRule>
  </conditionalFormatting>
  <conditionalFormatting sqref="C130">
    <cfRule type="cellIs" dxfId="1188" priority="84" operator="equal">
      <formula>0</formula>
    </cfRule>
  </conditionalFormatting>
  <conditionalFormatting sqref="G128">
    <cfRule type="cellIs" dxfId="1187" priority="83" operator="equal">
      <formula>0</formula>
    </cfRule>
  </conditionalFormatting>
  <conditionalFormatting sqref="G130:I130 H127:I128 K128:M128 O128:Q128 K130:M130 O130:Q130">
    <cfRule type="cellIs" dxfId="1186" priority="82" operator="equal">
      <formula>0</formula>
    </cfRule>
  </conditionalFormatting>
  <conditionalFormatting sqref="D138">
    <cfRule type="cellIs" dxfId="1185" priority="81" operator="notEqual">
      <formula>0</formula>
    </cfRule>
  </conditionalFormatting>
  <conditionalFormatting sqref="A138 C138">
    <cfRule type="cellIs" dxfId="1184" priority="80" operator="notEqual">
      <formula>0</formula>
    </cfRule>
  </conditionalFormatting>
  <conditionalFormatting sqref="E138">
    <cfRule type="cellIs" dxfId="1183" priority="79" operator="notEqual">
      <formula>0</formula>
    </cfRule>
  </conditionalFormatting>
  <conditionalFormatting sqref="G138">
    <cfRule type="cellIs" dxfId="1182" priority="78" operator="notEqual">
      <formula>0</formula>
    </cfRule>
  </conditionalFormatting>
  <conditionalFormatting sqref="K138">
    <cfRule type="cellIs" dxfId="1181" priority="77" operator="notEqual">
      <formula>0</formula>
    </cfRule>
  </conditionalFormatting>
  <conditionalFormatting sqref="O138">
    <cfRule type="cellIs" dxfId="1180" priority="76" operator="notEqual">
      <formula>0</formula>
    </cfRule>
  </conditionalFormatting>
  <conditionalFormatting sqref="H138">
    <cfRule type="cellIs" dxfId="1179" priority="75" operator="notEqual">
      <formula>0</formula>
    </cfRule>
  </conditionalFormatting>
  <conditionalFormatting sqref="I138">
    <cfRule type="cellIs" dxfId="1178" priority="74" operator="notEqual">
      <formula>0</formula>
    </cfRule>
  </conditionalFormatting>
  <conditionalFormatting sqref="L138">
    <cfRule type="cellIs" dxfId="1177" priority="73" operator="notEqual">
      <formula>0</formula>
    </cfRule>
  </conditionalFormatting>
  <conditionalFormatting sqref="M138">
    <cfRule type="cellIs" dxfId="1176" priority="72" operator="notEqual">
      <formula>0</formula>
    </cfRule>
  </conditionalFormatting>
  <conditionalFormatting sqref="P138">
    <cfRule type="cellIs" dxfId="1175" priority="71" operator="notEqual">
      <formula>0</formula>
    </cfRule>
  </conditionalFormatting>
  <conditionalFormatting sqref="Q138">
    <cfRule type="cellIs" dxfId="1174" priority="70" operator="notEqual">
      <formula>0</formula>
    </cfRule>
  </conditionalFormatting>
  <conditionalFormatting sqref="L127:M127">
    <cfRule type="cellIs" dxfId="1173" priority="69" operator="equal">
      <formula>0</formula>
    </cfRule>
  </conditionalFormatting>
  <conditionalFormatting sqref="P127:Q127">
    <cfRule type="cellIs" dxfId="1172" priority="68" operator="equal">
      <formula>0</formula>
    </cfRule>
  </conditionalFormatting>
  <conditionalFormatting sqref="D6:D7 D54:D55">
    <cfRule type="expression" dxfId="1171" priority="67">
      <formula>$D$2=0</formula>
    </cfRule>
  </conditionalFormatting>
  <conditionalFormatting sqref="E6:E7 E54:E55">
    <cfRule type="expression" dxfId="1170" priority="66">
      <formula>$E$2=0</formula>
    </cfRule>
  </conditionalFormatting>
  <conditionalFormatting sqref="H6:H7 H54:H55">
    <cfRule type="expression" dxfId="1169" priority="65">
      <formula>$H$2=0</formula>
    </cfRule>
  </conditionalFormatting>
  <conditionalFormatting sqref="I6:I7 I54:I55">
    <cfRule type="expression" dxfId="1168" priority="64">
      <formula>$I$2=0</formula>
    </cfRule>
  </conditionalFormatting>
  <conditionalFormatting sqref="L6:L7 L54:L55">
    <cfRule type="expression" dxfId="1167" priority="63">
      <formula>$L$2=0</formula>
    </cfRule>
  </conditionalFormatting>
  <conditionalFormatting sqref="M6:M7 M54:M55">
    <cfRule type="expression" dxfId="1166" priority="62">
      <formula>$M$2=0</formula>
    </cfRule>
  </conditionalFormatting>
  <conditionalFormatting sqref="P6:P7 P54:P55">
    <cfRule type="expression" dxfId="1165" priority="61">
      <formula>$P$2=0</formula>
    </cfRule>
  </conditionalFormatting>
  <conditionalFormatting sqref="Q6:Q7 Q54:Q55">
    <cfRule type="expression" dxfId="1164" priority="60">
      <formula>$Q$2=0</formula>
    </cfRule>
  </conditionalFormatting>
  <conditionalFormatting sqref="C6:C7">
    <cfRule type="expression" dxfId="1163" priority="59">
      <formula>$C$5=0</formula>
    </cfRule>
  </conditionalFormatting>
  <conditionalFormatting sqref="C54:C55">
    <cfRule type="expression" dxfId="1162" priority="58">
      <formula>$C$53=0</formula>
    </cfRule>
  </conditionalFormatting>
  <conditionalFormatting sqref="G6:G7">
    <cfRule type="expression" dxfId="1161" priority="57">
      <formula>$G$5=0</formula>
    </cfRule>
  </conditionalFormatting>
  <conditionalFormatting sqref="G54:G55">
    <cfRule type="expression" dxfId="1160" priority="56">
      <formula>$G$53=0</formula>
    </cfRule>
  </conditionalFormatting>
  <conditionalFormatting sqref="K6:K7">
    <cfRule type="expression" dxfId="1159" priority="55">
      <formula>$K$5=0</formula>
    </cfRule>
  </conditionalFormatting>
  <conditionalFormatting sqref="K54:K55">
    <cfRule type="expression" dxfId="1158" priority="54">
      <formula>$K$53=0</formula>
    </cfRule>
  </conditionalFormatting>
  <conditionalFormatting sqref="O6:O7">
    <cfRule type="expression" dxfId="1157" priority="53">
      <formula>$O$5=0</formula>
    </cfRule>
  </conditionalFormatting>
  <conditionalFormatting sqref="O54:O55">
    <cfRule type="expression" dxfId="1156" priority="52">
      <formula>$O$53=0</formula>
    </cfRule>
  </conditionalFormatting>
  <conditionalFormatting sqref="D131:D133">
    <cfRule type="expression" dxfId="1155" priority="51">
      <formula>$D$127=0</formula>
    </cfRule>
  </conditionalFormatting>
  <conditionalFormatting sqref="E131:E133">
    <cfRule type="expression" dxfId="1154" priority="50">
      <formula>$E$127=0</formula>
    </cfRule>
  </conditionalFormatting>
  <conditionalFormatting sqref="H131:H133">
    <cfRule type="expression" dxfId="1153" priority="49">
      <formula>$H$127=0</formula>
    </cfRule>
  </conditionalFormatting>
  <conditionalFormatting sqref="I131:I133">
    <cfRule type="expression" dxfId="1152" priority="47">
      <formula>$I$127=0</formula>
    </cfRule>
  </conditionalFormatting>
  <conditionalFormatting sqref="L131:L133">
    <cfRule type="expression" dxfId="1151" priority="46">
      <formula>$L$127=0</formula>
    </cfRule>
  </conditionalFormatting>
  <conditionalFormatting sqref="M131:M133">
    <cfRule type="expression" dxfId="1150" priority="45">
      <formula>$M$127=0</formula>
    </cfRule>
  </conditionalFormatting>
  <conditionalFormatting sqref="P131:P133">
    <cfRule type="expression" dxfId="1149" priority="44">
      <formula>$P$127=0</formula>
    </cfRule>
  </conditionalFormatting>
  <conditionalFormatting sqref="Q131:Q133">
    <cfRule type="expression" dxfId="1148" priority="43">
      <formula>$Q$127=0</formula>
    </cfRule>
  </conditionalFormatting>
  <conditionalFormatting sqref="C131:C133">
    <cfRule type="expression" dxfId="1147" priority="42">
      <formula>$C$130=0</formula>
    </cfRule>
  </conditionalFormatting>
  <conditionalFormatting sqref="G131:G133">
    <cfRule type="expression" dxfId="1146" priority="41">
      <formula>$G$130=0</formula>
    </cfRule>
  </conditionalFormatting>
  <conditionalFormatting sqref="K131:K133">
    <cfRule type="expression" dxfId="1145" priority="40">
      <formula>$K$130=0</formula>
    </cfRule>
  </conditionalFormatting>
  <conditionalFormatting sqref="O131:O133">
    <cfRule type="expression" dxfId="1144" priority="39">
      <formula>$O$130=0</formula>
    </cfRule>
  </conditionalFormatting>
  <conditionalFormatting sqref="A59">
    <cfRule type="cellIs" dxfId="1143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2" priority="37" operator="equal">
      <formula>0</formula>
    </cfRule>
  </conditionalFormatting>
  <conditionalFormatting sqref="A61">
    <cfRule type="cellIs" dxfId="1141" priority="36" operator="equal">
      <formula>0</formula>
    </cfRule>
  </conditionalFormatting>
  <conditionalFormatting sqref="A62">
    <cfRule type="cellIs" dxfId="1140" priority="35" operator="equal">
      <formula>0</formula>
    </cfRule>
  </conditionalFormatting>
  <conditionalFormatting sqref="A63">
    <cfRule type="cellIs" dxfId="1139" priority="34" operator="equal">
      <formula>0</formula>
    </cfRule>
  </conditionalFormatting>
  <conditionalFormatting sqref="C61:E61 G61:I61 K61:M61 O61:Q61">
    <cfRule type="cellIs" dxfId="1138" priority="33" operator="equal">
      <formula>0</formula>
    </cfRule>
  </conditionalFormatting>
  <conditionalFormatting sqref="D62:D63">
    <cfRule type="expression" dxfId="1137" priority="32">
      <formula>$D$58=0</formula>
    </cfRule>
  </conditionalFormatting>
  <conditionalFormatting sqref="E62:E63">
    <cfRule type="expression" dxfId="1136" priority="31">
      <formula>$E$58=0</formula>
    </cfRule>
  </conditionalFormatting>
  <conditionalFormatting sqref="H62:H63">
    <cfRule type="expression" dxfId="1135" priority="30">
      <formula>$H$58=0</formula>
    </cfRule>
  </conditionalFormatting>
  <conditionalFormatting sqref="I62:I63">
    <cfRule type="expression" dxfId="1134" priority="29">
      <formula>$I$58=0</formula>
    </cfRule>
  </conditionalFormatting>
  <conditionalFormatting sqref="L62:L63">
    <cfRule type="expression" dxfId="1133" priority="28">
      <formula>$L$58=0</formula>
    </cfRule>
  </conditionalFormatting>
  <conditionalFormatting sqref="M62:M63">
    <cfRule type="expression" dxfId="1132" priority="27">
      <formula>$M$58=0</formula>
    </cfRule>
  </conditionalFormatting>
  <conditionalFormatting sqref="P62:P63">
    <cfRule type="expression" dxfId="1131" priority="26">
      <formula>$P$58=0</formula>
    </cfRule>
  </conditionalFormatting>
  <conditionalFormatting sqref="Q62:Q63">
    <cfRule type="expression" dxfId="1130" priority="25">
      <formula>$Q$58=0</formula>
    </cfRule>
  </conditionalFormatting>
  <conditionalFormatting sqref="C62:C63">
    <cfRule type="expression" dxfId="1129" priority="24">
      <formula>$C$61=0</formula>
    </cfRule>
  </conditionalFormatting>
  <conditionalFormatting sqref="G62:G63">
    <cfRule type="expression" dxfId="1128" priority="23">
      <formula>$G$61=0</formula>
    </cfRule>
  </conditionalFormatting>
  <conditionalFormatting sqref="K62:K63">
    <cfRule type="expression" dxfId="1127" priority="22">
      <formula>$K$61=0</formula>
    </cfRule>
  </conditionalFormatting>
  <conditionalFormatting sqref="O62:O63">
    <cfRule type="expression" dxfId="1126" priority="21">
      <formula>$O$61=0</formula>
    </cfRule>
  </conditionalFormatting>
  <conditionalFormatting sqref="D57">
    <cfRule type="cellIs" dxfId="1125" priority="15" operator="equal">
      <formula>0</formula>
    </cfRule>
  </conditionalFormatting>
  <conditionalFormatting sqref="E57">
    <cfRule type="cellIs" dxfId="1124" priority="14" operator="equal">
      <formula>0</formula>
    </cfRule>
  </conditionalFormatting>
  <conditionalFormatting sqref="H57:I57">
    <cfRule type="cellIs" dxfId="1123" priority="13" operator="equal">
      <formula>0</formula>
    </cfRule>
  </conditionalFormatting>
  <conditionalFormatting sqref="L57:M57">
    <cfRule type="cellIs" dxfId="1122" priority="12" operator="equal">
      <formula>0</formula>
    </cfRule>
  </conditionalFormatting>
  <conditionalFormatting sqref="P57:Q57">
    <cfRule type="cellIs" dxfId="1121" priority="11" operator="equal">
      <formula>0</formula>
    </cfRule>
  </conditionalFormatting>
  <conditionalFormatting sqref="D66">
    <cfRule type="cellIs" dxfId="1120" priority="10" operator="equal">
      <formula>0</formula>
    </cfRule>
  </conditionalFormatting>
  <conditionalFormatting sqref="E66">
    <cfRule type="cellIs" dxfId="1119" priority="9" operator="equal">
      <formula>0</formula>
    </cfRule>
  </conditionalFormatting>
  <conditionalFormatting sqref="H66:I66">
    <cfRule type="cellIs" dxfId="1118" priority="8" operator="equal">
      <formula>0</formula>
    </cfRule>
  </conditionalFormatting>
  <conditionalFormatting sqref="L66:M66">
    <cfRule type="cellIs" dxfId="1117" priority="7" operator="equal">
      <formula>0</formula>
    </cfRule>
  </conditionalFormatting>
  <conditionalFormatting sqref="P66:Q66">
    <cfRule type="cellIs" dxfId="1116" priority="6" operator="equal">
      <formula>0</formula>
    </cfRule>
  </conditionalFormatting>
  <conditionalFormatting sqref="D1">
    <cfRule type="cellIs" dxfId="1115" priority="5" operator="equal">
      <formula>0</formula>
    </cfRule>
  </conditionalFormatting>
  <conditionalFormatting sqref="E1">
    <cfRule type="cellIs" dxfId="1114" priority="4" operator="equal">
      <formula>0</formula>
    </cfRule>
  </conditionalFormatting>
  <conditionalFormatting sqref="H1:I1">
    <cfRule type="cellIs" dxfId="1113" priority="3" operator="equal">
      <formula>0</formula>
    </cfRule>
  </conditionalFormatting>
  <conditionalFormatting sqref="L1:M1">
    <cfRule type="cellIs" dxfId="1112" priority="2" operator="equal">
      <formula>0</formula>
    </cfRule>
  </conditionalFormatting>
  <conditionalFormatting sqref="P1:Q1">
    <cfRule type="cellIs" dxfId="1111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0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0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498</v>
      </c>
      <c r="P8" s="1121"/>
      <c r="Q8" s="1122" t="str">
        <f>+O8</f>
        <v xml:space="preserve"> "Сметки за средства от ЕС" - NF-KSF</v>
      </c>
      <c r="R8" s="1123"/>
      <c r="S8" s="1124" t="str">
        <f>+O8</f>
        <v xml:space="preserve"> "Сметки за средства от ЕС" - NF-KSF</v>
      </c>
      <c r="T8" s="112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490</v>
      </c>
      <c r="G10" s="199" t="s">
        <v>380</v>
      </c>
      <c r="H10" s="147"/>
      <c r="I10" s="5"/>
      <c r="J10" s="5"/>
      <c r="K10" s="2457">
        <f>+'TRIAL-BALANCE'!K10:L10</f>
        <v>0</v>
      </c>
      <c r="L10" s="2458"/>
      <c r="M10" s="49"/>
      <c r="N10" s="1567">
        <f>+C8</f>
        <v>0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31" t="str">
        <f>+F10</f>
        <v>NF-CSF</v>
      </c>
      <c r="F12" s="2631"/>
      <c r="G12" s="1130" t="s">
        <v>1003</v>
      </c>
      <c r="H12" s="2632" t="str">
        <f>+'TRIAL-BALANCE'!H12:K12</f>
        <v>30 септември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32" t="s">
        <v>202</v>
      </c>
      <c r="O13" s="1133">
        <f t="shared" ref="O13:T13" si="0">+O890</f>
        <v>2122012.04</v>
      </c>
      <c r="P13" s="1134">
        <f t="shared" si="0"/>
        <v>2122012.04</v>
      </c>
      <c r="Q13" s="1135">
        <f t="shared" si="0"/>
        <v>8392521.9800000004</v>
      </c>
      <c r="R13" s="1134">
        <f t="shared" si="0"/>
        <v>8392521.9800000004</v>
      </c>
      <c r="S13" s="1135">
        <f t="shared" si="0"/>
        <v>4841988.84</v>
      </c>
      <c r="T13" s="1136">
        <f t="shared" si="0"/>
        <v>4841988.84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6842.68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6842.68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0</v>
      </c>
      <c r="P15" s="324">
        <v>323704.39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323704.39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14000</v>
      </c>
      <c r="P73" s="582">
        <v>0</v>
      </c>
      <c r="Q73" s="589"/>
      <c r="R73" s="121"/>
      <c r="S73" s="583">
        <f t="shared" si="10"/>
        <v>14000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>
        <v>58091.99</v>
      </c>
      <c r="P77" s="582">
        <v>0</v>
      </c>
      <c r="Q77" s="589">
        <v>13833.2</v>
      </c>
      <c r="R77" s="121">
        <v>19099.2</v>
      </c>
      <c r="S77" s="583">
        <f t="shared" si="10"/>
        <v>52825.990000000005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>
        <v>1308</v>
      </c>
      <c r="P81" s="582">
        <v>0</v>
      </c>
      <c r="Q81" s="589"/>
      <c r="R81" s="121"/>
      <c r="S81" s="583">
        <f t="shared" si="10"/>
        <v>1308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>
        <v>6968</v>
      </c>
      <c r="P89" s="582">
        <v>0</v>
      </c>
      <c r="Q89" s="589"/>
      <c r="R89" s="121">
        <v>6968</v>
      </c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>
        <v>126808.22</v>
      </c>
      <c r="P104" s="9">
        <v>0</v>
      </c>
      <c r="Q104" s="122">
        <v>22321</v>
      </c>
      <c r="R104" s="121">
        <v>14532.01</v>
      </c>
      <c r="S104" s="27">
        <f t="shared" si="15"/>
        <v>134597.21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81.67</v>
      </c>
      <c r="Q114" s="325">
        <v>916607.93</v>
      </c>
      <c r="R114" s="324">
        <v>925163.85</v>
      </c>
      <c r="S114" s="330">
        <v>0</v>
      </c>
      <c r="T114" s="327">
        <f>+IF(ABS(+O114+Q114)&lt;=ABS(P114+R114),-O114+P114-Q114+R114,0)</f>
        <v>8637.5899999999674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>
        <v>22227.3</v>
      </c>
      <c r="P115" s="582">
        <v>0</v>
      </c>
      <c r="Q115" s="122"/>
      <c r="R115" s="324"/>
      <c r="S115" s="27">
        <f>+IF(ABS(+O115+Q115)&gt;=ABS(P115+R115),+O115-P115+Q115-R115,0)</f>
        <v>22227.3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1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1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>
        <v>48299.79</v>
      </c>
      <c r="Q128" s="122">
        <v>499463.67999999999</v>
      </c>
      <c r="R128" s="324">
        <v>466527.82</v>
      </c>
      <c r="S128" s="579">
        <v>0</v>
      </c>
      <c r="T128" s="580">
        <f>+IF(ABS(+O128+Q128)&lt;=ABS(P128+R128),-O128+P128-Q128+R128,0)</f>
        <v>15363.929999999993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>
        <v>30682.89</v>
      </c>
      <c r="R146" s="324">
        <v>30682.89</v>
      </c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>
        <v>11.43</v>
      </c>
      <c r="R173" s="324">
        <v>11.43</v>
      </c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>
        <v>0</v>
      </c>
      <c r="P180" s="576">
        <v>3278.31</v>
      </c>
      <c r="Q180" s="589">
        <v>20729.82</v>
      </c>
      <c r="R180" s="576">
        <v>19143.48</v>
      </c>
      <c r="S180" s="583">
        <f>+IF(ABS(+O180+Q180)&gt;=ABS(P180+R180),+O180-P180+Q180-R180,0)</f>
        <v>0</v>
      </c>
      <c r="T180" s="580">
        <f t="shared" si="22"/>
        <v>1691.9700000000012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607562.63</v>
      </c>
      <c r="Q186" s="589">
        <v>775366.71</v>
      </c>
      <c r="R186" s="324">
        <v>587924.02</v>
      </c>
      <c r="S186" s="579">
        <v>0</v>
      </c>
      <c r="T186" s="580">
        <f>+IF(ABS(+O186+Q186)&lt;=ABS(P186+R186),-O186+P186-Q186+R186,0)</f>
        <v>420119.94000000006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>
        <v>0</v>
      </c>
      <c r="P191" s="576">
        <v>12344.68</v>
      </c>
      <c r="Q191" s="589">
        <v>64976.29</v>
      </c>
      <c r="R191" s="576">
        <v>56113.87</v>
      </c>
      <c r="S191" s="583">
        <f>+IF(ABS(+O191+Q191)&gt;=ABS(P191+R191),+O191-P191+Q191-R191,0)</f>
        <v>0</v>
      </c>
      <c r="T191" s="580">
        <f t="shared" si="23"/>
        <v>3482.260000000002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>
        <v>0</v>
      </c>
      <c r="P192" s="576">
        <v>4746.79</v>
      </c>
      <c r="Q192" s="589">
        <v>23518.45</v>
      </c>
      <c r="R192" s="576">
        <v>20160.36</v>
      </c>
      <c r="S192" s="583">
        <f>+IF(ABS(+O192+Q192)&gt;=ABS(P192+R192),+O192-P192+Q192-R192,0)</f>
        <v>0</v>
      </c>
      <c r="T192" s="580">
        <f t="shared" si="23"/>
        <v>1388.7000000000007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>
        <v>0</v>
      </c>
      <c r="P193" s="576">
        <v>2307.84</v>
      </c>
      <c r="Q193" s="589">
        <v>11765.76</v>
      </c>
      <c r="R193" s="576">
        <v>10323.74</v>
      </c>
      <c r="S193" s="583">
        <f>+IF(ABS(+O193+Q193)&gt;=ABS(P193+R193),+O193-P193+Q193-R193,0)</f>
        <v>0</v>
      </c>
      <c r="T193" s="580">
        <f t="shared" si="23"/>
        <v>865.81999999999971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64169.9</v>
      </c>
      <c r="Q202" s="589">
        <v>194245.15</v>
      </c>
      <c r="R202" s="576">
        <v>513664.48</v>
      </c>
      <c r="S202" s="583">
        <f t="shared" si="25"/>
        <v>0</v>
      </c>
      <c r="T202" s="580">
        <f t="shared" si="24"/>
        <v>383589.23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>
        <v>9774.81</v>
      </c>
      <c r="P216" s="576">
        <v>0</v>
      </c>
      <c r="Q216" s="589">
        <v>5061</v>
      </c>
      <c r="R216" s="576">
        <v>9752.66</v>
      </c>
      <c r="S216" s="583">
        <f t="shared" si="25"/>
        <v>5083.1499999999996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136071.43</v>
      </c>
      <c r="P217" s="576">
        <v>0</v>
      </c>
      <c r="Q217" s="589">
        <v>86678.24</v>
      </c>
      <c r="R217" s="576">
        <v>196134.77</v>
      </c>
      <c r="S217" s="583">
        <f t="shared" si="25"/>
        <v>26614.899999999994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607562.63</v>
      </c>
      <c r="P274" s="576">
        <v>0</v>
      </c>
      <c r="Q274" s="589">
        <v>587924.02</v>
      </c>
      <c r="R274" s="576">
        <v>775366.71</v>
      </c>
      <c r="S274" s="583">
        <f t="shared" si="31"/>
        <v>420119.93999999994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>
        <v>4932.8900000000003</v>
      </c>
      <c r="R279" s="576">
        <v>4932.8900000000003</v>
      </c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581"/>
      <c r="P295" s="582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581">
        <v>90526.3</v>
      </c>
      <c r="P296" s="582">
        <v>0</v>
      </c>
      <c r="Q296" s="122">
        <v>1292264.3999999999</v>
      </c>
      <c r="R296" s="576">
        <v>1244698.44</v>
      </c>
      <c r="S296" s="583">
        <f t="shared" si="34"/>
        <v>138092.26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581"/>
      <c r="P297" s="582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581"/>
      <c r="P298" s="582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581"/>
      <c r="P299" s="582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581"/>
      <c r="P300" s="582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5565.29</v>
      </c>
      <c r="R384" s="324"/>
      <c r="S384" s="326">
        <f t="shared" ref="S384:S415" si="47">+IF(ABS(+O384+Q384)&gt;=ABS(P384+R384),+O384-P384+Q384-R384,0)</f>
        <v>5565.29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9449.7000000000007</v>
      </c>
      <c r="R385" s="121"/>
      <c r="S385" s="27">
        <f t="shared" si="47"/>
        <v>9449.7000000000007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100440</v>
      </c>
      <c r="R386" s="121"/>
      <c r="S386" s="27">
        <f t="shared" si="47"/>
        <v>100440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402.27</v>
      </c>
      <c r="R391" s="121"/>
      <c r="S391" s="27">
        <f t="shared" si="47"/>
        <v>402.27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42204.82</v>
      </c>
      <c r="R393" s="121">
        <v>300</v>
      </c>
      <c r="S393" s="27">
        <f t="shared" si="47"/>
        <v>41904.82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>
        <v>7140</v>
      </c>
      <c r="R400" s="121"/>
      <c r="S400" s="27">
        <f t="shared" si="47"/>
        <v>7140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18941.099999999999</v>
      </c>
      <c r="R401" s="121"/>
      <c r="S401" s="27">
        <f t="shared" si="47"/>
        <v>18941.099999999999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>
        <v>10436.870000000001</v>
      </c>
      <c r="R410" s="121"/>
      <c r="S410" s="27">
        <f t="shared" si="47"/>
        <v>10436.870000000001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139945.91</v>
      </c>
      <c r="R411" s="121"/>
      <c r="S411" s="27">
        <f t="shared" si="47"/>
        <v>139945.91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>
        <v>108563.75</v>
      </c>
      <c r="R412" s="121"/>
      <c r="S412" s="583">
        <f t="shared" si="47"/>
        <v>108563.75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2930</v>
      </c>
      <c r="R413" s="121"/>
      <c r="S413" s="583">
        <f t="shared" si="47"/>
        <v>2930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35025.58</v>
      </c>
      <c r="R418" s="576"/>
      <c r="S418" s="583">
        <f t="shared" si="51"/>
        <v>35025.58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12471.78</v>
      </c>
      <c r="R419" s="576"/>
      <c r="S419" s="583">
        <f t="shared" si="51"/>
        <v>12471.78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5975.79</v>
      </c>
      <c r="R421" s="576"/>
      <c r="S421" s="583">
        <f t="shared" si="51"/>
        <v>5975.79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>
        <v>715940.37</v>
      </c>
      <c r="R437" s="576"/>
      <c r="S437" s="583">
        <f t="shared" si="51"/>
        <v>715940.37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>
        <v>4932.8900000000003</v>
      </c>
      <c r="R513" s="576"/>
      <c r="S513" s="583">
        <f t="shared" si="54"/>
        <v>4932.8900000000003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>
        <v>30682.89</v>
      </c>
      <c r="R525" s="576"/>
      <c r="S525" s="583">
        <f t="shared" si="54"/>
        <v>30682.89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575">
        <v>0</v>
      </c>
      <c r="P603" s="582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575">
        <v>0</v>
      </c>
      <c r="P604" s="582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575">
        <v>0</v>
      </c>
      <c r="P605" s="582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575">
        <v>0</v>
      </c>
      <c r="P606" s="582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7.84</v>
      </c>
      <c r="S679" s="583">
        <f t="shared" si="65"/>
        <v>0</v>
      </c>
      <c r="T679" s="580">
        <f t="shared" si="66"/>
        <v>7.84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>
        <v>2008.78</v>
      </c>
      <c r="S726" s="583">
        <f t="shared" si="65"/>
        <v>0</v>
      </c>
      <c r="T726" s="580">
        <f t="shared" si="66"/>
        <v>2008.78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>
        <v>14969.18</v>
      </c>
      <c r="S745" s="583">
        <f t="shared" si="68"/>
        <v>0</v>
      </c>
      <c r="T745" s="580">
        <f t="shared" si="69"/>
        <v>14969.18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>
        <v>25066.92</v>
      </c>
      <c r="R747" s="576">
        <v>938728.38</v>
      </c>
      <c r="S747" s="583">
        <f t="shared" si="68"/>
        <v>0</v>
      </c>
      <c r="T747" s="580">
        <f t="shared" si="69"/>
        <v>913661.46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>
        <v>40599.21</v>
      </c>
      <c r="R760" s="576"/>
      <c r="S760" s="583">
        <f t="shared" si="68"/>
        <v>40599.21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>
        <v>9883.2000000000007</v>
      </c>
      <c r="S770" s="583">
        <f t="shared" si="70"/>
        <v>0</v>
      </c>
      <c r="T770" s="580">
        <f t="shared" si="69"/>
        <v>9883.2000000000007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4" t="str">
        <f>+E12</f>
        <v>NF-CSF</v>
      </c>
      <c r="J829" s="2634"/>
      <c r="K829" s="2634"/>
      <c r="L829" s="96"/>
      <c r="M829" s="51"/>
      <c r="N829" s="128" t="s">
        <v>666</v>
      </c>
      <c r="O829" s="846">
        <f t="shared" ref="O829:T829" si="73">+ROUND(+SUM(O14:O828),2)</f>
        <v>1073338.68</v>
      </c>
      <c r="P829" s="847">
        <f t="shared" si="73"/>
        <v>1073338.68</v>
      </c>
      <c r="Q829" s="869">
        <f t="shared" si="73"/>
        <v>5867098</v>
      </c>
      <c r="R829" s="870">
        <f t="shared" si="73"/>
        <v>5867098</v>
      </c>
      <c r="S829" s="871">
        <f t="shared" si="73"/>
        <v>2106216.9700000002</v>
      </c>
      <c r="T829" s="872">
        <f t="shared" si="73"/>
        <v>2106216.9700000002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3" t="str">
        <f>+I829</f>
        <v>NF-CSF</v>
      </c>
      <c r="J831" s="2633"/>
      <c r="K831" s="2633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120"/>
      <c r="P833" s="9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120"/>
      <c r="P834" s="9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8">
        <v>0</v>
      </c>
      <c r="P835" s="121">
        <v>951409.23</v>
      </c>
      <c r="Q835" s="589">
        <v>838325.47</v>
      </c>
      <c r="R835" s="121">
        <v>107220</v>
      </c>
      <c r="S835" s="29">
        <v>0</v>
      </c>
      <c r="T835" s="28">
        <f>+IF(ABS(+O835+Q835)&lt;=ABS(P835+R835),-O835+P835-Q835+R835,0)</f>
        <v>220303.76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>
        <v>37599.519999999997</v>
      </c>
      <c r="R839" s="576"/>
      <c r="S839" s="583">
        <f>+IF(ABS(+O839+Q839)&gt;=ABS(P839+R839),+O839-P839+Q839-R839,0)</f>
        <v>37599.519999999997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97264.13</v>
      </c>
      <c r="Q848" s="589"/>
      <c r="R848" s="121"/>
      <c r="S848" s="579">
        <v>0</v>
      </c>
      <c r="T848" s="580">
        <f t="shared" ref="T848:T857" si="75">+IF(ABS(+O848+Q848)&lt;=ABS(P848+R848),-O848+P848-Q848+R848,0)</f>
        <v>97264.13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>
        <v>6780</v>
      </c>
      <c r="R849" s="576"/>
      <c r="S849" s="583">
        <f t="shared" ref="S849:S867" si="76">+IF(ABS(+O849+Q849)&gt;=ABS(P849+R849),+O849-P849+Q849-R849,0)</f>
        <v>6780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81963.09</v>
      </c>
      <c r="R850" s="576"/>
      <c r="S850" s="583">
        <f t="shared" si="76"/>
        <v>81963.09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919598.56</v>
      </c>
      <c r="S851" s="583">
        <f t="shared" si="76"/>
        <v>0</v>
      </c>
      <c r="T851" s="580">
        <f t="shared" si="75"/>
        <v>919598.56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>
        <v>100440</v>
      </c>
      <c r="R852" s="576"/>
      <c r="S852" s="583">
        <f t="shared" si="76"/>
        <v>100440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>
        <v>690</v>
      </c>
      <c r="S855" s="583">
        <f t="shared" si="76"/>
        <v>0</v>
      </c>
      <c r="T855" s="580">
        <f t="shared" si="75"/>
        <v>690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905811.34</v>
      </c>
      <c r="S857" s="583">
        <f t="shared" si="76"/>
        <v>0</v>
      </c>
      <c r="T857" s="580">
        <f t="shared" si="75"/>
        <v>905811.34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554504.56000000006</v>
      </c>
      <c r="S878" s="583">
        <f t="shared" si="81"/>
        <v>0</v>
      </c>
      <c r="T878" s="580">
        <f t="shared" si="79"/>
        <v>554504.56000000006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>
        <v>37599.519999999997</v>
      </c>
      <c r="S886" s="579">
        <v>0</v>
      </c>
      <c r="T886" s="580">
        <f>+IF(ABS(+O886+Q886)&lt;=ABS(P886+R886),-O886+P886-Q886+R886,0)</f>
        <v>37599.519999999997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>
        <v>1048673.3600000001</v>
      </c>
      <c r="P887" s="37">
        <v>0</v>
      </c>
      <c r="Q887" s="598">
        <v>1460315.9</v>
      </c>
      <c r="R887" s="597"/>
      <c r="S887" s="56">
        <f>+IF(ABS(+O887+Q887)&gt;=ABS(P887+R887),+O887-P887+Q887-R887,0)</f>
        <v>2508989.2599999998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30" t="str">
        <f>+I831</f>
        <v>NF-CSF</v>
      </c>
      <c r="J888" s="2630"/>
      <c r="K888" s="2630"/>
      <c r="L888" s="105"/>
      <c r="M888" s="51"/>
      <c r="N888" s="117">
        <v>9</v>
      </c>
      <c r="O888" s="846">
        <f t="shared" ref="O888:T888" si="82">+ROUND(SUM(O831:O887),2)</f>
        <v>1048673.3600000001</v>
      </c>
      <c r="P888" s="849">
        <f t="shared" si="82"/>
        <v>1048673.3600000001</v>
      </c>
      <c r="Q888" s="848">
        <f t="shared" si="82"/>
        <v>2525423.98</v>
      </c>
      <c r="R888" s="849">
        <f t="shared" si="82"/>
        <v>2525423.98</v>
      </c>
      <c r="S888" s="850">
        <f t="shared" si="82"/>
        <v>2735771.87</v>
      </c>
      <c r="T888" s="851">
        <f t="shared" si="82"/>
        <v>2735771.87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60"/>
      <c r="J889" s="560"/>
      <c r="K889" s="560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26" t="str">
        <f>+I888</f>
        <v>NF-CSF</v>
      </c>
      <c r="J890" s="2626"/>
      <c r="K890" s="2626"/>
      <c r="L890" s="287"/>
      <c r="M890" s="51"/>
      <c r="N890" s="288" t="s">
        <v>665</v>
      </c>
      <c r="O890" s="852">
        <f t="shared" ref="O890:T890" si="83">+ROUND(+O829+O888,2)</f>
        <v>2122012.04</v>
      </c>
      <c r="P890" s="853">
        <f t="shared" si="83"/>
        <v>2122012.04</v>
      </c>
      <c r="Q890" s="854">
        <f t="shared" si="83"/>
        <v>8392521.9800000004</v>
      </c>
      <c r="R890" s="853">
        <f t="shared" si="83"/>
        <v>8392521.9800000004</v>
      </c>
      <c r="S890" s="854">
        <f t="shared" si="83"/>
        <v>4841988.84</v>
      </c>
      <c r="T890" s="855">
        <f t="shared" si="83"/>
        <v>4841988.84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NF-KSF-TRIAL-BAL-2021'!O149+'NF-KSF-TRIAL-BAL-2021'!O154+'NF-KSF-TRIAL-BAL-2021'!O155+'NF-KSF-TRIAL-BAL-2021'!O229+'NF-KSF-TRIAL-BAL-2021'!O230+'NF-KSF-TRIAL-BAL-2021'!O231+'NF-KSF-TRIAL-BAL-2021'!O249+'NF-KSF-TRIAL-BAL-2021'!O250++'NF-KSF-TRIAL-BAL-2021'!O306+'NF-KSF-TRIAL-BAL-2021'!O307+'NF-KSF-TRIAL-BAL-2021'!O308+SUM('NF-KSF-TRIAL-BAL-2021'!O331:O335)+'NF-KSF-TRIAL-BAL-2021'!O346+'NF-KSF-TRIAL-BAL-2021'!O347+SUM('NF-KSF-TRIAL-BAL-2021'!O360:'NF-KSF-TRIAL-BAL-2021'!O363)+SUM('NF-KSF-TRIAL-BAL-2021'!O377:'NF-KSF-TRIAL-BAL-2021'!O379)</f>
        <v>0</v>
      </c>
      <c r="Q910" s="263">
        <v>0</v>
      </c>
      <c r="R910" s="264">
        <v>0</v>
      </c>
      <c r="S910" s="563" t="s">
        <v>148</v>
      </c>
      <c r="T910" s="465">
        <f>+'NF-KSF-TRIAL-BAL-2021'!S149+'NF-KSF-TRIAL-BAL-2021'!S154+'NF-KSF-TRIAL-BAL-2021'!S155+'NF-KSF-TRIAL-BAL-2021'!S229+'NF-KSF-TRIAL-BAL-2021'!S230+'NF-KSF-TRIAL-BAL-2021'!S231+'NF-KSF-TRIAL-BAL-2021'!S249+'NF-KSF-TRIAL-BAL-2021'!S250++'NF-KSF-TRIAL-BAL-2021'!S306+'NF-KSF-TRIAL-BAL-2021'!S307+'NF-KSF-TRIAL-BAL-2021'!S308+SUM('NF-KSF-TRIAL-BAL-2021'!S331:S335)+'NF-KSF-TRIAL-BAL-2021'!S346+'NF-KSF-TRIAL-BAL-2021'!S347+SUM('NF-KSF-TRIAL-BAL-2021'!S360:'NF-KSF-TRIAL-BAL-2021'!S363)+SUM('NF-KSF-TRIAL-BAL-2021'!S377:'NF-KSF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+P22-O23+SUM('NF-KSF-TRIAL-BAL-2021'!P41:P45)+SUM(P48:P49)+P65+P69+P151+P232+P233+P234+P251+P252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+T22-S23+SUM('NF-KSF-TRIAL-BAL-2021'!T41:T45)+SUM(T48:T49)+T65+T69+T151+T232+T233+T234+T251+T252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I831:K831"/>
    <mergeCell ref="I829:K829"/>
    <mergeCell ref="A3:C5"/>
    <mergeCell ref="D4:E4"/>
    <mergeCell ref="G4:L4"/>
    <mergeCell ref="H13:L13"/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</mergeCells>
  <phoneticPr fontId="0" type="noConversion"/>
  <conditionalFormatting sqref="Q907:S908 O907:O908 O898:O899 O910:O911 O901:O902 O904:O905 Q898:S899 Q901:S902 Q910:S911 Q904:S905 O831:P887 O13:T13 O14:P335 O338:P828">
    <cfRule type="cellIs" dxfId="1110" priority="2071" stopIfTrue="1" operator="lessThan">
      <formula>0</formula>
    </cfRule>
  </conditionalFormatting>
  <conditionalFormatting sqref="P898:P899 T898:T899 P901:P902 T901:T902 P904:P905 T904:T905 P907:P908 T907:T908 T910:T911 P910:P911">
    <cfRule type="cellIs" dxfId="1109" priority="2072" stopIfTrue="1" operator="equal">
      <formula>0</formula>
    </cfRule>
  </conditionalFormatting>
  <conditionalFormatting sqref="M890 O890:U890 O829:P829 M888:U888">
    <cfRule type="cellIs" dxfId="1108" priority="2073" stopIfTrue="1" operator="lessThan">
      <formula>0</formula>
    </cfRule>
  </conditionalFormatting>
  <conditionalFormatting sqref="O2 Q2 S2">
    <cfRule type="cellIs" dxfId="1107" priority="2074" stopIfTrue="1" operator="equal">
      <formula>"""O K"""</formula>
    </cfRule>
  </conditionalFormatting>
  <conditionalFormatting sqref="T2 T4 R2 R4 P2 P4">
    <cfRule type="cellIs" dxfId="1106" priority="2075" stopIfTrue="1" operator="equal">
      <formula>"O K"</formula>
    </cfRule>
    <cfRule type="cellIs" dxfId="1105" priority="2076" stopIfTrue="1" operator="notEqual">
      <formula>"O K"</formula>
    </cfRule>
  </conditionalFormatting>
  <conditionalFormatting sqref="E12:F12">
    <cfRule type="cellIs" dxfId="1104" priority="2077" stopIfTrue="1" operator="equal">
      <formula>0</formula>
    </cfRule>
  </conditionalFormatting>
  <conditionalFormatting sqref="N10">
    <cfRule type="cellIs" dxfId="1103" priority="2078" stopIfTrue="1" operator="equal">
      <formula>0</formula>
    </cfRule>
  </conditionalFormatting>
  <conditionalFormatting sqref="E2:L2 C6:E6 G6:L6 C8">
    <cfRule type="cellIs" dxfId="1102" priority="2079" stopIfTrue="1" operator="equal">
      <formula>0</formula>
    </cfRule>
  </conditionalFormatting>
  <conditionalFormatting sqref="G8:H8">
    <cfRule type="cellIs" dxfId="1101" priority="2069" stopIfTrue="1" operator="equal">
      <formula>0</formula>
    </cfRule>
  </conditionalFormatting>
  <conditionalFormatting sqref="J8:L8">
    <cfRule type="cellIs" dxfId="1100" priority="2068" stopIfTrue="1" operator="equal">
      <formula>0</formula>
    </cfRule>
  </conditionalFormatting>
  <conditionalFormatting sqref="O336:P337">
    <cfRule type="cellIs" dxfId="1099" priority="1088" stopIfTrue="1" operator="lessThan">
      <formula>0</formula>
    </cfRule>
  </conditionalFormatting>
  <conditionalFormatting sqref="E2:L2 C8">
    <cfRule type="cellIs" dxfId="1098" priority="1086" stopIfTrue="1" operator="equal">
      <formula>0</formula>
    </cfRule>
  </conditionalFormatting>
  <conditionalFormatting sqref="K10:L10">
    <cfRule type="cellIs" dxfId="1097" priority="1085" stopIfTrue="1" operator="equal">
      <formula>0</formula>
    </cfRule>
  </conditionalFormatting>
  <conditionalFormatting sqref="D4">
    <cfRule type="cellIs" dxfId="1096" priority="1075" stopIfTrue="1" operator="between">
      <formula>1000000000000</formula>
      <formula>9999999999999990</formula>
    </cfRule>
    <cfRule type="cellIs" dxfId="1095" priority="1076" stopIfTrue="1" operator="between">
      <formula>1000000000</formula>
      <formula>999999999999</formula>
    </cfRule>
    <cfRule type="cellIs" dxfId="1094" priority="1077" stopIfTrue="1" operator="between">
      <formula>10000</formula>
      <formula>99999999</formula>
    </cfRule>
    <cfRule type="cellIs" dxfId="1093" priority="1078" stopIfTrue="1" operator="between">
      <formula>10</formula>
      <formula>9999</formula>
    </cfRule>
  </conditionalFormatting>
  <conditionalFormatting sqref="D4">
    <cfRule type="cellIs" dxfId="1092" priority="1074" operator="equal">
      <formula>0</formula>
    </cfRule>
  </conditionalFormatting>
  <conditionalFormatting sqref="A3:C5">
    <cfRule type="cellIs" dxfId="1091" priority="1073" operator="equal">
      <formula>"Код на общински разпоредител с бюджет"</formula>
    </cfRule>
  </conditionalFormatting>
  <conditionalFormatting sqref="G4:L4">
    <cfRule type="cellIs" dxfId="1090" priority="1068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89" priority="1066" stopIfTrue="1" operator="lessThan">
      <formula>0</formula>
    </cfRule>
  </conditionalFormatting>
  <conditionalFormatting sqref="Q829:U829">
    <cfRule type="cellIs" dxfId="1088" priority="1067" stopIfTrue="1" operator="lessThan">
      <formula>0</formula>
    </cfRule>
  </conditionalFormatting>
  <conditionalFormatting sqref="Q763:R763">
    <cfRule type="cellIs" dxfId="1087" priority="1060" stopIfTrue="1" operator="lessThan">
      <formula>0</formula>
    </cfRule>
  </conditionalFormatting>
  <conditionalFormatting sqref="Q336:Q337">
    <cfRule type="cellIs" dxfId="1086" priority="1059" stopIfTrue="1" operator="lessThan">
      <formula>0</formula>
    </cfRule>
  </conditionalFormatting>
  <conditionalFormatting sqref="R56:R59">
    <cfRule type="cellIs" dxfId="1085" priority="1047" stopIfTrue="1" operator="lessThan">
      <formula>0</formula>
    </cfRule>
  </conditionalFormatting>
  <conditionalFormatting sqref="R62:R69">
    <cfRule type="cellIs" dxfId="1084" priority="1046" stopIfTrue="1" operator="lessThan">
      <formula>0</formula>
    </cfRule>
  </conditionalFormatting>
  <conditionalFormatting sqref="R26:R52">
    <cfRule type="cellIs" dxfId="1083" priority="1045" stopIfTrue="1" operator="lessThan">
      <formula>0</formula>
    </cfRule>
  </conditionalFormatting>
  <conditionalFormatting sqref="R71:R89">
    <cfRule type="cellIs" dxfId="1082" priority="1044" stopIfTrue="1" operator="lessThan">
      <formula>0</formula>
    </cfRule>
  </conditionalFormatting>
  <conditionalFormatting sqref="R103:R112">
    <cfRule type="cellIs" dxfId="1081" priority="1043" stopIfTrue="1" operator="lessThan">
      <formula>0</formula>
    </cfRule>
  </conditionalFormatting>
  <conditionalFormatting sqref="R118">
    <cfRule type="cellIs" dxfId="1080" priority="1042" stopIfTrue="1" operator="lessThan">
      <formula>0</formula>
    </cfRule>
  </conditionalFormatting>
  <conditionalFormatting sqref="R122">
    <cfRule type="cellIs" dxfId="1079" priority="1041" stopIfTrue="1" operator="lessThan">
      <formula>0</formula>
    </cfRule>
  </conditionalFormatting>
  <conditionalFormatting sqref="R125">
    <cfRule type="cellIs" dxfId="1078" priority="1040" stopIfTrue="1" operator="lessThan">
      <formula>0</formula>
    </cfRule>
  </conditionalFormatting>
  <conditionalFormatting sqref="R127">
    <cfRule type="cellIs" dxfId="1077" priority="1039" stopIfTrue="1" operator="lessThan">
      <formula>0</formula>
    </cfRule>
  </conditionalFormatting>
  <conditionalFormatting sqref="R128">
    <cfRule type="cellIs" dxfId="1076" priority="1038" stopIfTrue="1" operator="lessThan">
      <formula>0</formula>
    </cfRule>
  </conditionalFormatting>
  <conditionalFormatting sqref="R130">
    <cfRule type="cellIs" dxfId="1075" priority="1037" stopIfTrue="1" operator="lessThan">
      <formula>0</formula>
    </cfRule>
  </conditionalFormatting>
  <conditionalFormatting sqref="R132">
    <cfRule type="cellIs" dxfId="1074" priority="1036" stopIfTrue="1" operator="lessThan">
      <formula>0</formula>
    </cfRule>
  </conditionalFormatting>
  <conditionalFormatting sqref="R133">
    <cfRule type="cellIs" dxfId="1073" priority="1035" stopIfTrue="1" operator="lessThan">
      <formula>0</formula>
    </cfRule>
  </conditionalFormatting>
  <conditionalFormatting sqref="R135">
    <cfRule type="cellIs" dxfId="1072" priority="1034" stopIfTrue="1" operator="lessThan">
      <formula>0</formula>
    </cfRule>
  </conditionalFormatting>
  <conditionalFormatting sqref="R123">
    <cfRule type="cellIs" dxfId="1071" priority="1033" stopIfTrue="1" operator="lessThan">
      <formula>0</formula>
    </cfRule>
  </conditionalFormatting>
  <conditionalFormatting sqref="R124">
    <cfRule type="cellIs" dxfId="1070" priority="1032" stopIfTrue="1" operator="lessThan">
      <formula>0</formula>
    </cfRule>
  </conditionalFormatting>
  <conditionalFormatting sqref="R126">
    <cfRule type="cellIs" dxfId="1069" priority="1031" stopIfTrue="1" operator="lessThan">
      <formula>0</formula>
    </cfRule>
  </conditionalFormatting>
  <conditionalFormatting sqref="R129">
    <cfRule type="cellIs" dxfId="1068" priority="1030" stopIfTrue="1" operator="lessThan">
      <formula>0</formula>
    </cfRule>
  </conditionalFormatting>
  <conditionalFormatting sqref="R131">
    <cfRule type="cellIs" dxfId="1067" priority="1029" stopIfTrue="1" operator="lessThan">
      <formula>0</formula>
    </cfRule>
  </conditionalFormatting>
  <conditionalFormatting sqref="R134">
    <cfRule type="cellIs" dxfId="1066" priority="1028" stopIfTrue="1" operator="lessThan">
      <formula>0</formula>
    </cfRule>
  </conditionalFormatting>
  <conditionalFormatting sqref="R136:R138">
    <cfRule type="cellIs" dxfId="1065" priority="1027" stopIfTrue="1" operator="lessThan">
      <formula>0</formula>
    </cfRule>
  </conditionalFormatting>
  <conditionalFormatting sqref="R141">
    <cfRule type="cellIs" dxfId="1064" priority="1026" stopIfTrue="1" operator="lessThan">
      <formula>0</formula>
    </cfRule>
  </conditionalFormatting>
  <conditionalFormatting sqref="R144:R145">
    <cfRule type="cellIs" dxfId="1063" priority="1025" stopIfTrue="1" operator="lessThan">
      <formula>0</formula>
    </cfRule>
  </conditionalFormatting>
  <conditionalFormatting sqref="R147:R149">
    <cfRule type="cellIs" dxfId="1062" priority="1024" stopIfTrue="1" operator="lessThan">
      <formula>0</formula>
    </cfRule>
  </conditionalFormatting>
  <conditionalFormatting sqref="R139">
    <cfRule type="cellIs" dxfId="1061" priority="1022" stopIfTrue="1" operator="lessThan">
      <formula>0</formula>
    </cfRule>
  </conditionalFormatting>
  <conditionalFormatting sqref="R140">
    <cfRule type="cellIs" dxfId="1060" priority="1020" stopIfTrue="1" operator="lessThan">
      <formula>0</formula>
    </cfRule>
  </conditionalFormatting>
  <conditionalFormatting sqref="R142">
    <cfRule type="cellIs" dxfId="1059" priority="1018" stopIfTrue="1" operator="lessThan">
      <formula>0</formula>
    </cfRule>
  </conditionalFormatting>
  <conditionalFormatting sqref="R143">
    <cfRule type="cellIs" dxfId="1058" priority="1016" stopIfTrue="1" operator="lessThan">
      <formula>0</formula>
    </cfRule>
  </conditionalFormatting>
  <conditionalFormatting sqref="R146">
    <cfRule type="cellIs" dxfId="1057" priority="1014" stopIfTrue="1" operator="lessThan">
      <formula>0</formula>
    </cfRule>
  </conditionalFormatting>
  <conditionalFormatting sqref="R150">
    <cfRule type="cellIs" dxfId="1056" priority="1012" stopIfTrue="1" operator="lessThan">
      <formula>0</formula>
    </cfRule>
  </conditionalFormatting>
  <conditionalFormatting sqref="R151">
    <cfRule type="cellIs" dxfId="1055" priority="1010" stopIfTrue="1" operator="lessThan">
      <formula>0</formula>
    </cfRule>
  </conditionalFormatting>
  <conditionalFormatting sqref="R152">
    <cfRule type="cellIs" dxfId="1054" priority="1009" stopIfTrue="1" operator="lessThan">
      <formula>0</formula>
    </cfRule>
  </conditionalFormatting>
  <conditionalFormatting sqref="R153">
    <cfRule type="cellIs" dxfId="1053" priority="1008" stopIfTrue="1" operator="lessThan">
      <formula>0</formula>
    </cfRule>
  </conditionalFormatting>
  <conditionalFormatting sqref="R154:R159">
    <cfRule type="cellIs" dxfId="1052" priority="1007" stopIfTrue="1" operator="lessThan">
      <formula>0</formula>
    </cfRule>
  </conditionalFormatting>
  <conditionalFormatting sqref="R161:R172">
    <cfRule type="cellIs" dxfId="1051" priority="1006" stopIfTrue="1" operator="lessThan">
      <formula>0</formula>
    </cfRule>
  </conditionalFormatting>
  <conditionalFormatting sqref="R173:R175">
    <cfRule type="cellIs" dxfId="1050" priority="1005" stopIfTrue="1" operator="lessThan">
      <formula>0</formula>
    </cfRule>
  </conditionalFormatting>
  <conditionalFormatting sqref="R184">
    <cfRule type="cellIs" dxfId="1049" priority="1003" stopIfTrue="1" operator="lessThan">
      <formula>0</formula>
    </cfRule>
  </conditionalFormatting>
  <conditionalFormatting sqref="R186:R187">
    <cfRule type="cellIs" dxfId="1048" priority="1001" stopIfTrue="1" operator="lessThan">
      <formula>0</formula>
    </cfRule>
  </conditionalFormatting>
  <conditionalFormatting sqref="R190">
    <cfRule type="cellIs" dxfId="1047" priority="999" stopIfTrue="1" operator="lessThan">
      <formula>0</formula>
    </cfRule>
  </conditionalFormatting>
  <conditionalFormatting sqref="R185">
    <cfRule type="cellIs" dxfId="1046" priority="998" stopIfTrue="1" operator="lessThan">
      <formula>0</formula>
    </cfRule>
  </conditionalFormatting>
  <conditionalFormatting sqref="R188:R189">
    <cfRule type="cellIs" dxfId="1045" priority="997" stopIfTrue="1" operator="lessThan">
      <formula>0</formula>
    </cfRule>
  </conditionalFormatting>
  <conditionalFormatting sqref="R196">
    <cfRule type="cellIs" dxfId="1044" priority="996" stopIfTrue="1" operator="lessThan">
      <formula>0</formula>
    </cfRule>
  </conditionalFormatting>
  <conditionalFormatting sqref="R195">
    <cfRule type="cellIs" dxfId="1043" priority="994" stopIfTrue="1" operator="lessThan">
      <formula>0</formula>
    </cfRule>
  </conditionalFormatting>
  <conditionalFormatting sqref="R197:R198">
    <cfRule type="cellIs" dxfId="1042" priority="992" stopIfTrue="1" operator="lessThan">
      <formula>0</formula>
    </cfRule>
  </conditionalFormatting>
  <conditionalFormatting sqref="R220">
    <cfRule type="cellIs" dxfId="1041" priority="990" stopIfTrue="1" operator="lessThan">
      <formula>0</formula>
    </cfRule>
  </conditionalFormatting>
  <conditionalFormatting sqref="R222">
    <cfRule type="cellIs" dxfId="1040" priority="988" stopIfTrue="1" operator="lessThan">
      <formula>0</formula>
    </cfRule>
  </conditionalFormatting>
  <conditionalFormatting sqref="R224:R228">
    <cfRule type="cellIs" dxfId="1039" priority="986" stopIfTrue="1" operator="lessThan">
      <formula>0</formula>
    </cfRule>
  </conditionalFormatting>
  <conditionalFormatting sqref="R219">
    <cfRule type="cellIs" dxfId="1038" priority="985" stopIfTrue="1" operator="lessThan">
      <formula>0</formula>
    </cfRule>
  </conditionalFormatting>
  <conditionalFormatting sqref="R221">
    <cfRule type="cellIs" dxfId="1037" priority="984" stopIfTrue="1" operator="lessThan">
      <formula>0</formula>
    </cfRule>
  </conditionalFormatting>
  <conditionalFormatting sqref="R223">
    <cfRule type="cellIs" dxfId="1036" priority="983" stopIfTrue="1" operator="lessThan">
      <formula>0</formula>
    </cfRule>
  </conditionalFormatting>
  <conditionalFormatting sqref="R229:R231">
    <cfRule type="cellIs" dxfId="1035" priority="982" stopIfTrue="1" operator="lessThan">
      <formula>0</formula>
    </cfRule>
  </conditionalFormatting>
  <conditionalFormatting sqref="R232:R235">
    <cfRule type="cellIs" dxfId="1034" priority="980" stopIfTrue="1" operator="lessThan">
      <formula>0</formula>
    </cfRule>
  </conditionalFormatting>
  <conditionalFormatting sqref="R237:R238">
    <cfRule type="cellIs" dxfId="1033" priority="978" stopIfTrue="1" operator="lessThan">
      <formula>0</formula>
    </cfRule>
  </conditionalFormatting>
  <conditionalFormatting sqref="R241:R244">
    <cfRule type="cellIs" dxfId="1032" priority="976" stopIfTrue="1" operator="lessThan">
      <formula>0</formula>
    </cfRule>
  </conditionalFormatting>
  <conditionalFormatting sqref="R251:R252">
    <cfRule type="cellIs" dxfId="1031" priority="974" stopIfTrue="1" operator="lessThan">
      <formula>0</formula>
    </cfRule>
  </conditionalFormatting>
  <conditionalFormatting sqref="R257:R270">
    <cfRule type="cellIs" dxfId="1030" priority="972" stopIfTrue="1" operator="lessThan">
      <formula>0</formula>
    </cfRule>
  </conditionalFormatting>
  <conditionalFormatting sqref="R284">
    <cfRule type="cellIs" dxfId="1029" priority="970" stopIfTrue="1" operator="lessThan">
      <formula>0</formula>
    </cfRule>
  </conditionalFormatting>
  <conditionalFormatting sqref="R236">
    <cfRule type="cellIs" dxfId="1028" priority="969" stopIfTrue="1" operator="lessThan">
      <formula>0</formula>
    </cfRule>
  </conditionalFormatting>
  <conditionalFormatting sqref="R239:R240">
    <cfRule type="cellIs" dxfId="1027" priority="968" stopIfTrue="1" operator="lessThan">
      <formula>0</formula>
    </cfRule>
  </conditionalFormatting>
  <conditionalFormatting sqref="R245:R250">
    <cfRule type="cellIs" dxfId="1026" priority="967" stopIfTrue="1" operator="lessThan">
      <formula>0</formula>
    </cfRule>
  </conditionalFormatting>
  <conditionalFormatting sqref="R253:R256">
    <cfRule type="cellIs" dxfId="1025" priority="966" stopIfTrue="1" operator="lessThan">
      <formula>0</formula>
    </cfRule>
  </conditionalFormatting>
  <conditionalFormatting sqref="R283">
    <cfRule type="cellIs" dxfId="1024" priority="965" stopIfTrue="1" operator="lessThan">
      <formula>0</formula>
    </cfRule>
  </conditionalFormatting>
  <conditionalFormatting sqref="R287:R288">
    <cfRule type="cellIs" dxfId="1023" priority="964" stopIfTrue="1" operator="lessThan">
      <formula>0</formula>
    </cfRule>
  </conditionalFormatting>
  <conditionalFormatting sqref="R291:R292">
    <cfRule type="cellIs" dxfId="1022" priority="963" stopIfTrue="1" operator="lessThan">
      <formula>0</formula>
    </cfRule>
  </conditionalFormatting>
  <conditionalFormatting sqref="R289:R290">
    <cfRule type="cellIs" dxfId="1021" priority="962" stopIfTrue="1" operator="lessThan">
      <formula>0</formula>
    </cfRule>
  </conditionalFormatting>
  <conditionalFormatting sqref="R293">
    <cfRule type="cellIs" dxfId="1020" priority="960" stopIfTrue="1" operator="lessThan">
      <formula>0</formula>
    </cfRule>
  </conditionalFormatting>
  <conditionalFormatting sqref="R294:R321">
    <cfRule type="cellIs" dxfId="1019" priority="958" stopIfTrue="1" operator="lessThan">
      <formula>0</formula>
    </cfRule>
  </conditionalFormatting>
  <conditionalFormatting sqref="R323:R326">
    <cfRule type="cellIs" dxfId="1018" priority="957" stopIfTrue="1" operator="lessThan">
      <formula>0</formula>
    </cfRule>
  </conditionalFormatting>
  <conditionalFormatting sqref="R331:R336">
    <cfRule type="cellIs" dxfId="1017" priority="956" stopIfTrue="1" operator="lessThan">
      <formula>0</formula>
    </cfRule>
  </conditionalFormatting>
  <conditionalFormatting sqref="R338:R343">
    <cfRule type="cellIs" dxfId="1016" priority="955" stopIfTrue="1" operator="lessThan">
      <formula>0</formula>
    </cfRule>
  </conditionalFormatting>
  <conditionalFormatting sqref="R346:R363">
    <cfRule type="cellIs" dxfId="1015" priority="954" stopIfTrue="1" operator="lessThan">
      <formula>0</formula>
    </cfRule>
  </conditionalFormatting>
  <conditionalFormatting sqref="R368:R379">
    <cfRule type="cellIs" dxfId="1014" priority="953" stopIfTrue="1" operator="lessThan">
      <formula>0</formula>
    </cfRule>
  </conditionalFormatting>
  <conditionalFormatting sqref="R337">
    <cfRule type="cellIs" dxfId="1013" priority="951" stopIfTrue="1" operator="lessThan">
      <formula>0</formula>
    </cfRule>
  </conditionalFormatting>
  <conditionalFormatting sqref="R364:R367">
    <cfRule type="cellIs" dxfId="1012" priority="949" stopIfTrue="1" operator="lessThan">
      <formula>0</formula>
    </cfRule>
  </conditionalFormatting>
  <conditionalFormatting sqref="R380:R382">
    <cfRule type="cellIs" dxfId="1011" priority="947" stopIfTrue="1" operator="lessThan">
      <formula>0</formula>
    </cfRule>
  </conditionalFormatting>
  <conditionalFormatting sqref="R415">
    <cfRule type="cellIs" dxfId="1010" priority="946" stopIfTrue="1" operator="lessThan">
      <formula>0</formula>
    </cfRule>
  </conditionalFormatting>
  <conditionalFormatting sqref="R416">
    <cfRule type="cellIs" dxfId="1009" priority="944" stopIfTrue="1" operator="lessThan">
      <formula>0</formula>
    </cfRule>
  </conditionalFormatting>
  <conditionalFormatting sqref="R566:R569">
    <cfRule type="cellIs" dxfId="1008" priority="938" stopIfTrue="1" operator="lessThan">
      <formula>0</formula>
    </cfRule>
  </conditionalFormatting>
  <conditionalFormatting sqref="R571:R572">
    <cfRule type="cellIs" dxfId="1007" priority="936" stopIfTrue="1" operator="lessThan">
      <formula>0</formula>
    </cfRule>
  </conditionalFormatting>
  <conditionalFormatting sqref="R576:R578">
    <cfRule type="cellIs" dxfId="1006" priority="934" stopIfTrue="1" operator="lessThan">
      <formula>0</formula>
    </cfRule>
  </conditionalFormatting>
  <conditionalFormatting sqref="R580">
    <cfRule type="cellIs" dxfId="1005" priority="932" stopIfTrue="1" operator="lessThan">
      <formula>0</formula>
    </cfRule>
  </conditionalFormatting>
  <conditionalFormatting sqref="R573:R575">
    <cfRule type="cellIs" dxfId="1004" priority="931" stopIfTrue="1" operator="lessThan">
      <formula>0</formula>
    </cfRule>
  </conditionalFormatting>
  <conditionalFormatting sqref="R579">
    <cfRule type="cellIs" dxfId="1003" priority="930" stopIfTrue="1" operator="lessThan">
      <formula>0</formula>
    </cfRule>
  </conditionalFormatting>
  <conditionalFormatting sqref="R604">
    <cfRule type="cellIs" dxfId="1002" priority="929" stopIfTrue="1" operator="lessThan">
      <formula>0</formula>
    </cfRule>
  </conditionalFormatting>
  <conditionalFormatting sqref="R608">
    <cfRule type="cellIs" dxfId="1001" priority="928" stopIfTrue="1" operator="lessThan">
      <formula>0</formula>
    </cfRule>
  </conditionalFormatting>
  <conditionalFormatting sqref="R832:R834">
    <cfRule type="cellIs" dxfId="1000" priority="927" stopIfTrue="1" operator="lessThan">
      <formula>0</formula>
    </cfRule>
  </conditionalFormatting>
  <conditionalFormatting sqref="R837:R841">
    <cfRule type="cellIs" dxfId="999" priority="926" stopIfTrue="1" operator="lessThan">
      <formula>0</formula>
    </cfRule>
  </conditionalFormatting>
  <conditionalFormatting sqref="R846">
    <cfRule type="cellIs" dxfId="998" priority="925" stopIfTrue="1" operator="lessThan">
      <formula>0</formula>
    </cfRule>
  </conditionalFormatting>
  <conditionalFormatting sqref="R858:R867">
    <cfRule type="cellIs" dxfId="997" priority="924" stopIfTrue="1" operator="lessThan">
      <formula>0</formula>
    </cfRule>
  </conditionalFormatting>
  <conditionalFormatting sqref="R884">
    <cfRule type="cellIs" dxfId="996" priority="923" stopIfTrue="1" operator="lessThan">
      <formula>0</formula>
    </cfRule>
  </conditionalFormatting>
  <conditionalFormatting sqref="R887">
    <cfRule type="cellIs" dxfId="995" priority="922" stopIfTrue="1" operator="lessThan">
      <formula>0</formula>
    </cfRule>
  </conditionalFormatting>
  <conditionalFormatting sqref="R835:R836">
    <cfRule type="cellIs" dxfId="994" priority="921" stopIfTrue="1" operator="lessThan">
      <formula>0</formula>
    </cfRule>
  </conditionalFormatting>
  <conditionalFormatting sqref="R842:R845">
    <cfRule type="cellIs" dxfId="993" priority="920" stopIfTrue="1" operator="lessThan">
      <formula>0</formula>
    </cfRule>
  </conditionalFormatting>
  <conditionalFormatting sqref="R848">
    <cfRule type="cellIs" dxfId="992" priority="919" stopIfTrue="1" operator="lessThan">
      <formula>0</formula>
    </cfRule>
  </conditionalFormatting>
  <conditionalFormatting sqref="R868:R875">
    <cfRule type="cellIs" dxfId="991" priority="918" stopIfTrue="1" operator="lessThan">
      <formula>0</formula>
    </cfRule>
  </conditionalFormatting>
  <conditionalFormatting sqref="R885:R886">
    <cfRule type="cellIs" dxfId="990" priority="917" stopIfTrue="1" operator="lessThan">
      <formula>0</formula>
    </cfRule>
  </conditionalFormatting>
  <conditionalFormatting sqref="R53">
    <cfRule type="cellIs" dxfId="989" priority="916" stopIfTrue="1" operator="lessThan">
      <formula>0</formula>
    </cfRule>
  </conditionalFormatting>
  <conditionalFormatting sqref="S115 S113:T113 S117 S383:T383">
    <cfRule type="cellIs" dxfId="988" priority="584" stopIfTrue="1" operator="lessThan">
      <formula>0</formula>
    </cfRule>
  </conditionalFormatting>
  <conditionalFormatting sqref="S570">
    <cfRule type="cellIs" dxfId="987" priority="513" stopIfTrue="1" operator="lessThan">
      <formula>0</formula>
    </cfRule>
  </conditionalFormatting>
  <conditionalFormatting sqref="T570">
    <cfRule type="cellIs" dxfId="986" priority="511" stopIfTrue="1" operator="lessThan">
      <formula>0</formula>
    </cfRule>
  </conditionalFormatting>
  <conditionalFormatting sqref="S570">
    <cfRule type="expression" dxfId="985" priority="512">
      <formula>(#REF!+#REF!)&lt;&gt;(#REF!+#REF!)</formula>
    </cfRule>
  </conditionalFormatting>
  <conditionalFormatting sqref="T570">
    <cfRule type="expression" dxfId="984" priority="510">
      <formula>(#REF!+#REF!)&lt;&gt;(#REF!+#REF!)</formula>
    </cfRule>
  </conditionalFormatting>
  <conditionalFormatting sqref="T115">
    <cfRule type="cellIs" dxfId="983" priority="163" stopIfTrue="1" operator="lessThan">
      <formula>0</formula>
    </cfRule>
  </conditionalFormatting>
  <conditionalFormatting sqref="T115">
    <cfRule type="expression" dxfId="982" priority="160">
      <formula>#REF!&lt;0</formula>
    </cfRule>
    <cfRule type="expression" dxfId="981" priority="161">
      <formula>AND($N$4="12",ABS(#REF!+#REF!)&gt;ABS(#REF!+#REF!),#REF!+#REF!&lt;0)</formula>
    </cfRule>
    <cfRule type="expression" dxfId="980" priority="162">
      <formula>AND(ABS(#REF!+#REF!)&gt;ABS(#REF!+#REF!),#REF!+#REF!&gt;0)</formula>
    </cfRule>
  </conditionalFormatting>
  <conditionalFormatting sqref="T117">
    <cfRule type="cellIs" dxfId="979" priority="159" stopIfTrue="1" operator="lessThan">
      <formula>0</formula>
    </cfRule>
  </conditionalFormatting>
  <conditionalFormatting sqref="T117">
    <cfRule type="expression" dxfId="978" priority="156">
      <formula>#REF!&lt;0</formula>
    </cfRule>
    <cfRule type="expression" dxfId="977" priority="157">
      <formula>AND($N$4="12",ABS(#REF!+#REF!)&gt;ABS(#REF!+#REF!),#REF!+#REF!&lt;0)</formula>
    </cfRule>
    <cfRule type="expression" dxfId="976" priority="158">
      <formula>AND(ABS(#REF!+#REF!)&gt;ABS(#REF!+#REF!),#REF!+#REF!&gt;0)</formula>
    </cfRule>
  </conditionalFormatting>
  <conditionalFormatting sqref="V53">
    <cfRule type="cellIs" dxfId="975" priority="134" operator="notEqual">
      <formula>0</formula>
    </cfRule>
  </conditionalFormatting>
  <conditionalFormatting sqref="V54">
    <cfRule type="cellIs" dxfId="974" priority="133" operator="notEqual">
      <formula>0</formula>
    </cfRule>
  </conditionalFormatting>
  <conditionalFormatting sqref="V13">
    <cfRule type="cellIs" dxfId="973" priority="132" operator="notEqual">
      <formula>0</formula>
    </cfRule>
  </conditionalFormatting>
  <conditionalFormatting sqref="V12">
    <cfRule type="cellIs" dxfId="972" priority="131" operator="notEqual">
      <formula>0</formula>
    </cfRule>
  </conditionalFormatting>
  <conditionalFormatting sqref="V10">
    <cfRule type="cellIs" dxfId="971" priority="130" operator="notEqual">
      <formula>0</formula>
    </cfRule>
  </conditionalFormatting>
  <conditionalFormatting sqref="V14:V15">
    <cfRule type="cellIs" dxfId="970" priority="129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69" priority="128" operator="notEqual">
      <formula>0</formula>
    </cfRule>
  </conditionalFormatting>
  <conditionalFormatting sqref="V60:V61">
    <cfRule type="cellIs" dxfId="968" priority="127" operator="notEqual">
      <formula>0</formula>
    </cfRule>
  </conditionalFormatting>
  <conditionalFormatting sqref="V26">
    <cfRule type="cellIs" dxfId="967" priority="126" operator="notEqual">
      <formula>0</formula>
    </cfRule>
  </conditionalFormatting>
  <conditionalFormatting sqref="V27:V52">
    <cfRule type="cellIs" dxfId="966" priority="125" operator="notEqual">
      <formula>0</formula>
    </cfRule>
  </conditionalFormatting>
  <conditionalFormatting sqref="V56:V59">
    <cfRule type="cellIs" dxfId="965" priority="124" operator="notEqual">
      <formula>0</formula>
    </cfRule>
  </conditionalFormatting>
  <conditionalFormatting sqref="V62:V69">
    <cfRule type="cellIs" dxfId="964" priority="123" operator="notEqual">
      <formula>0</formula>
    </cfRule>
  </conditionalFormatting>
  <conditionalFormatting sqref="V94:V101">
    <cfRule type="cellIs" dxfId="963" priority="122" operator="notEqual">
      <formula>0</formula>
    </cfRule>
  </conditionalFormatting>
  <conditionalFormatting sqref="V114">
    <cfRule type="cellIs" dxfId="962" priority="121" operator="notEqual">
      <formula>0</formula>
    </cfRule>
  </conditionalFormatting>
  <conditionalFormatting sqref="V116">
    <cfRule type="cellIs" dxfId="961" priority="120" operator="notEqual">
      <formula>0</formula>
    </cfRule>
  </conditionalFormatting>
  <conditionalFormatting sqref="V118">
    <cfRule type="cellIs" dxfId="960" priority="119" operator="notEqual">
      <formula>0</formula>
    </cfRule>
  </conditionalFormatting>
  <conditionalFormatting sqref="V122">
    <cfRule type="cellIs" dxfId="959" priority="118" operator="notEqual">
      <formula>0</formula>
    </cfRule>
  </conditionalFormatting>
  <conditionalFormatting sqref="V125">
    <cfRule type="cellIs" dxfId="958" priority="117" operator="notEqual">
      <formula>0</formula>
    </cfRule>
  </conditionalFormatting>
  <conditionalFormatting sqref="V127:V128">
    <cfRule type="cellIs" dxfId="957" priority="116" operator="notEqual">
      <formula>0</formula>
    </cfRule>
  </conditionalFormatting>
  <conditionalFormatting sqref="V130">
    <cfRule type="cellIs" dxfId="956" priority="115" operator="notEqual">
      <formula>0</formula>
    </cfRule>
  </conditionalFormatting>
  <conditionalFormatting sqref="V132:V133">
    <cfRule type="cellIs" dxfId="955" priority="114" operator="notEqual">
      <formula>0</formula>
    </cfRule>
  </conditionalFormatting>
  <conditionalFormatting sqref="V135">
    <cfRule type="cellIs" dxfId="954" priority="113" operator="notEqual">
      <formula>0</formula>
    </cfRule>
  </conditionalFormatting>
  <conditionalFormatting sqref="V139:V140">
    <cfRule type="cellIs" dxfId="953" priority="112" operator="notEqual">
      <formula>0</formula>
    </cfRule>
  </conditionalFormatting>
  <conditionalFormatting sqref="V142:V143">
    <cfRule type="cellIs" dxfId="952" priority="111" operator="notEqual">
      <formula>0</formula>
    </cfRule>
  </conditionalFormatting>
  <conditionalFormatting sqref="V146">
    <cfRule type="cellIs" dxfId="951" priority="110" operator="notEqual">
      <formula>0</formula>
    </cfRule>
  </conditionalFormatting>
  <conditionalFormatting sqref="V150:V151">
    <cfRule type="cellIs" dxfId="950" priority="109" operator="notEqual">
      <formula>0</formula>
    </cfRule>
  </conditionalFormatting>
  <conditionalFormatting sqref="V173:V175">
    <cfRule type="cellIs" dxfId="949" priority="108" operator="notEqual">
      <formula>0</formula>
    </cfRule>
  </conditionalFormatting>
  <conditionalFormatting sqref="V184">
    <cfRule type="cellIs" dxfId="948" priority="107" operator="notEqual">
      <formula>0</formula>
    </cfRule>
  </conditionalFormatting>
  <conditionalFormatting sqref="V186:V187">
    <cfRule type="cellIs" dxfId="947" priority="106" operator="notEqual">
      <formula>0</formula>
    </cfRule>
  </conditionalFormatting>
  <conditionalFormatting sqref="V190">
    <cfRule type="cellIs" dxfId="946" priority="105" operator="notEqual">
      <formula>0</formula>
    </cfRule>
  </conditionalFormatting>
  <conditionalFormatting sqref="V195">
    <cfRule type="cellIs" dxfId="945" priority="104" operator="notEqual">
      <formula>0</formula>
    </cfRule>
  </conditionalFormatting>
  <conditionalFormatting sqref="V197:V198">
    <cfRule type="cellIs" dxfId="944" priority="103" operator="notEqual">
      <formula>0</formula>
    </cfRule>
  </conditionalFormatting>
  <conditionalFormatting sqref="V220">
    <cfRule type="cellIs" dxfId="943" priority="102" operator="notEqual">
      <formula>0</formula>
    </cfRule>
  </conditionalFormatting>
  <conditionalFormatting sqref="V222">
    <cfRule type="cellIs" dxfId="942" priority="101" operator="notEqual">
      <formula>0</formula>
    </cfRule>
  </conditionalFormatting>
  <conditionalFormatting sqref="V224:V228">
    <cfRule type="cellIs" dxfId="941" priority="100" operator="notEqual">
      <formula>0</formula>
    </cfRule>
  </conditionalFormatting>
  <conditionalFormatting sqref="V232:V235">
    <cfRule type="cellIs" dxfId="940" priority="99" operator="notEqual">
      <formula>0</formula>
    </cfRule>
  </conditionalFormatting>
  <conditionalFormatting sqref="V237:V238">
    <cfRule type="cellIs" dxfId="939" priority="98" operator="notEqual">
      <formula>0</formula>
    </cfRule>
  </conditionalFormatting>
  <conditionalFormatting sqref="V241:V244">
    <cfRule type="cellIs" dxfId="938" priority="97" operator="notEqual">
      <formula>0</formula>
    </cfRule>
  </conditionalFormatting>
  <conditionalFormatting sqref="V251:V252">
    <cfRule type="cellIs" dxfId="937" priority="96" operator="notEqual">
      <formula>0</formula>
    </cfRule>
  </conditionalFormatting>
  <conditionalFormatting sqref="V257:V270">
    <cfRule type="cellIs" dxfId="936" priority="95" operator="notEqual">
      <formula>0</formula>
    </cfRule>
  </conditionalFormatting>
  <conditionalFormatting sqref="V284">
    <cfRule type="cellIs" dxfId="935" priority="94" operator="notEqual">
      <formula>0</formula>
    </cfRule>
  </conditionalFormatting>
  <conditionalFormatting sqref="V337">
    <cfRule type="cellIs" dxfId="934" priority="93" operator="notEqual">
      <formula>0</formula>
    </cfRule>
  </conditionalFormatting>
  <conditionalFormatting sqref="V364:V367">
    <cfRule type="cellIs" dxfId="933" priority="92" operator="notEqual">
      <formula>0</formula>
    </cfRule>
  </conditionalFormatting>
  <conditionalFormatting sqref="V380:V382">
    <cfRule type="cellIs" dxfId="932" priority="91" operator="notEqual">
      <formula>0</formula>
    </cfRule>
  </conditionalFormatting>
  <conditionalFormatting sqref="V416">
    <cfRule type="cellIs" dxfId="931" priority="90" operator="notEqual">
      <formula>0</formula>
    </cfRule>
  </conditionalFormatting>
  <conditionalFormatting sqref="V566:V569">
    <cfRule type="cellIs" dxfId="930" priority="89" operator="notEqual">
      <formula>0</formula>
    </cfRule>
  </conditionalFormatting>
  <conditionalFormatting sqref="V571:V572">
    <cfRule type="cellIs" dxfId="929" priority="88" operator="notEqual">
      <formula>0</formula>
    </cfRule>
  </conditionalFormatting>
  <conditionalFormatting sqref="V576:V578">
    <cfRule type="cellIs" dxfId="928" priority="87" operator="notEqual">
      <formula>0</formula>
    </cfRule>
  </conditionalFormatting>
  <conditionalFormatting sqref="V580">
    <cfRule type="cellIs" dxfId="927" priority="86" operator="notEqual">
      <formula>0</formula>
    </cfRule>
  </conditionalFormatting>
  <conditionalFormatting sqref="V835:V836">
    <cfRule type="cellIs" dxfId="926" priority="85" operator="notEqual">
      <formula>0</formula>
    </cfRule>
  </conditionalFormatting>
  <conditionalFormatting sqref="V842:V845">
    <cfRule type="cellIs" dxfId="925" priority="84" operator="notEqual">
      <formula>0</formula>
    </cfRule>
  </conditionalFormatting>
  <conditionalFormatting sqref="V848">
    <cfRule type="cellIs" dxfId="924" priority="83" operator="notEqual">
      <formula>0</formula>
    </cfRule>
  </conditionalFormatting>
  <conditionalFormatting sqref="V868:V875">
    <cfRule type="cellIs" dxfId="923" priority="82" operator="notEqual">
      <formula>0</formula>
    </cfRule>
  </conditionalFormatting>
  <conditionalFormatting sqref="V885:V886">
    <cfRule type="cellIs" dxfId="922" priority="81" operator="notEqual">
      <formula>0</formula>
    </cfRule>
  </conditionalFormatting>
  <conditionalFormatting sqref="V55">
    <cfRule type="cellIs" dxfId="921" priority="80" operator="notEqual">
      <formula>0</formula>
    </cfRule>
  </conditionalFormatting>
  <conditionalFormatting sqref="V71:V89">
    <cfRule type="cellIs" dxfId="920" priority="79" operator="notEqual">
      <formula>0</formula>
    </cfRule>
  </conditionalFormatting>
  <conditionalFormatting sqref="V103:V112">
    <cfRule type="cellIs" dxfId="919" priority="78" operator="notEqual">
      <formula>0</formula>
    </cfRule>
  </conditionalFormatting>
  <conditionalFormatting sqref="V115">
    <cfRule type="cellIs" dxfId="918" priority="77" operator="notEqual">
      <formula>0</formula>
    </cfRule>
  </conditionalFormatting>
  <conditionalFormatting sqref="V119">
    <cfRule type="cellIs" dxfId="917" priority="76" operator="notEqual">
      <formula>0</formula>
    </cfRule>
  </conditionalFormatting>
  <conditionalFormatting sqref="V123:V124">
    <cfRule type="cellIs" dxfId="916" priority="75" operator="notEqual">
      <formula>0</formula>
    </cfRule>
  </conditionalFormatting>
  <conditionalFormatting sqref="V126">
    <cfRule type="cellIs" dxfId="915" priority="74" operator="notEqual">
      <formula>0</formula>
    </cfRule>
  </conditionalFormatting>
  <conditionalFormatting sqref="V129">
    <cfRule type="cellIs" dxfId="914" priority="73" operator="notEqual">
      <formula>0</formula>
    </cfRule>
  </conditionalFormatting>
  <conditionalFormatting sqref="V131">
    <cfRule type="cellIs" dxfId="913" priority="72" operator="notEqual">
      <formula>0</formula>
    </cfRule>
  </conditionalFormatting>
  <conditionalFormatting sqref="V134">
    <cfRule type="cellIs" dxfId="912" priority="71" operator="notEqual">
      <formula>0</formula>
    </cfRule>
  </conditionalFormatting>
  <conditionalFormatting sqref="V136:V138">
    <cfRule type="cellIs" dxfId="911" priority="70" operator="notEqual">
      <formula>0</formula>
    </cfRule>
  </conditionalFormatting>
  <conditionalFormatting sqref="V141">
    <cfRule type="cellIs" dxfId="910" priority="69" operator="notEqual">
      <formula>0</formula>
    </cfRule>
  </conditionalFormatting>
  <conditionalFormatting sqref="V144:V145">
    <cfRule type="cellIs" dxfId="909" priority="68" operator="notEqual">
      <formula>0</formula>
    </cfRule>
  </conditionalFormatting>
  <conditionalFormatting sqref="V147:V149">
    <cfRule type="cellIs" dxfId="908" priority="67" operator="notEqual">
      <formula>0</formula>
    </cfRule>
  </conditionalFormatting>
  <conditionalFormatting sqref="V152:V159">
    <cfRule type="cellIs" dxfId="907" priority="66" operator="notEqual">
      <formula>0</formula>
    </cfRule>
  </conditionalFormatting>
  <conditionalFormatting sqref="V161:V172">
    <cfRule type="cellIs" dxfId="906" priority="65" operator="notEqual">
      <formula>0</formula>
    </cfRule>
  </conditionalFormatting>
  <conditionalFormatting sqref="V185">
    <cfRule type="cellIs" dxfId="905" priority="64" operator="notEqual">
      <formula>0</formula>
    </cfRule>
  </conditionalFormatting>
  <conditionalFormatting sqref="V188:V189">
    <cfRule type="cellIs" dxfId="904" priority="63" operator="notEqual">
      <formula>0</formula>
    </cfRule>
  </conditionalFormatting>
  <conditionalFormatting sqref="V196">
    <cfRule type="cellIs" dxfId="903" priority="62" operator="notEqual">
      <formula>0</formula>
    </cfRule>
  </conditionalFormatting>
  <conditionalFormatting sqref="V219">
    <cfRule type="cellIs" dxfId="902" priority="61" operator="notEqual">
      <formula>0</formula>
    </cfRule>
  </conditionalFormatting>
  <conditionalFormatting sqref="V221">
    <cfRule type="cellIs" dxfId="901" priority="60" operator="notEqual">
      <formula>0</formula>
    </cfRule>
  </conditionalFormatting>
  <conditionalFormatting sqref="V223">
    <cfRule type="cellIs" dxfId="900" priority="59" operator="notEqual">
      <formula>0</formula>
    </cfRule>
  </conditionalFormatting>
  <conditionalFormatting sqref="V229:V231">
    <cfRule type="cellIs" dxfId="899" priority="58" operator="notEqual">
      <formula>0</formula>
    </cfRule>
  </conditionalFormatting>
  <conditionalFormatting sqref="V236">
    <cfRule type="cellIs" dxfId="898" priority="57" operator="notEqual">
      <formula>0</formula>
    </cfRule>
  </conditionalFormatting>
  <conditionalFormatting sqref="V239:V240">
    <cfRule type="cellIs" dxfId="897" priority="56" operator="notEqual">
      <formula>0</formula>
    </cfRule>
  </conditionalFormatting>
  <conditionalFormatting sqref="V245:V250">
    <cfRule type="cellIs" dxfId="896" priority="55" operator="notEqual">
      <formula>0</formula>
    </cfRule>
  </conditionalFormatting>
  <conditionalFormatting sqref="V253:V256">
    <cfRule type="cellIs" dxfId="895" priority="54" operator="notEqual">
      <formula>0</formula>
    </cfRule>
  </conditionalFormatting>
  <conditionalFormatting sqref="V283">
    <cfRule type="cellIs" dxfId="894" priority="53" operator="notEqual">
      <formula>0</formula>
    </cfRule>
  </conditionalFormatting>
  <conditionalFormatting sqref="V286:V288">
    <cfRule type="cellIs" dxfId="893" priority="52" operator="notEqual">
      <formula>0</formula>
    </cfRule>
  </conditionalFormatting>
  <conditionalFormatting sqref="V289:V321">
    <cfRule type="cellIs" dxfId="892" priority="51" operator="notEqual">
      <formula>0</formula>
    </cfRule>
  </conditionalFormatting>
  <conditionalFormatting sqref="V323:V326">
    <cfRule type="cellIs" dxfId="891" priority="50" operator="notEqual">
      <formula>0</formula>
    </cfRule>
  </conditionalFormatting>
  <conditionalFormatting sqref="V331:V336">
    <cfRule type="cellIs" dxfId="890" priority="49" operator="notEqual">
      <formula>0</formula>
    </cfRule>
  </conditionalFormatting>
  <conditionalFormatting sqref="V338:V343">
    <cfRule type="cellIs" dxfId="889" priority="48" operator="notEqual">
      <formula>0</formula>
    </cfRule>
  </conditionalFormatting>
  <conditionalFormatting sqref="V346:V363">
    <cfRule type="cellIs" dxfId="888" priority="47" operator="notEqual">
      <formula>0</formula>
    </cfRule>
  </conditionalFormatting>
  <conditionalFormatting sqref="V368:V379">
    <cfRule type="cellIs" dxfId="887" priority="46" operator="notEqual">
      <formula>0</formula>
    </cfRule>
  </conditionalFormatting>
  <conditionalFormatting sqref="V415">
    <cfRule type="cellIs" dxfId="886" priority="45" operator="notEqual">
      <formula>0</formula>
    </cfRule>
  </conditionalFormatting>
  <conditionalFormatting sqref="V573:V575">
    <cfRule type="cellIs" dxfId="885" priority="44" operator="notEqual">
      <formula>0</formula>
    </cfRule>
  </conditionalFormatting>
  <conditionalFormatting sqref="V579">
    <cfRule type="cellIs" dxfId="884" priority="43" operator="notEqual">
      <formula>0</formula>
    </cfRule>
  </conditionalFormatting>
  <conditionalFormatting sqref="V604">
    <cfRule type="cellIs" dxfId="883" priority="42" operator="notEqual">
      <formula>0</formula>
    </cfRule>
  </conditionalFormatting>
  <conditionalFormatting sqref="V608">
    <cfRule type="cellIs" dxfId="882" priority="41" operator="notEqual">
      <formula>0</formula>
    </cfRule>
  </conditionalFormatting>
  <conditionalFormatting sqref="V832:V834">
    <cfRule type="cellIs" dxfId="881" priority="40" operator="notEqual">
      <formula>0</formula>
    </cfRule>
  </conditionalFormatting>
  <conditionalFormatting sqref="V837:V841">
    <cfRule type="cellIs" dxfId="880" priority="39" operator="notEqual">
      <formula>0</formula>
    </cfRule>
  </conditionalFormatting>
  <conditionalFormatting sqref="V846">
    <cfRule type="cellIs" dxfId="879" priority="38" operator="notEqual">
      <formula>0</formula>
    </cfRule>
  </conditionalFormatting>
  <conditionalFormatting sqref="V858:V867">
    <cfRule type="cellIs" dxfId="878" priority="37" operator="notEqual">
      <formula>0</formula>
    </cfRule>
  </conditionalFormatting>
  <conditionalFormatting sqref="V884">
    <cfRule type="cellIs" dxfId="877" priority="36" operator="notEqual">
      <formula>0</formula>
    </cfRule>
  </conditionalFormatting>
  <conditionalFormatting sqref="V117">
    <cfRule type="cellIs" dxfId="876" priority="35" operator="notEqual">
      <formula>0</formula>
    </cfRule>
  </conditionalFormatting>
  <conditionalFormatting sqref="V847">
    <cfRule type="cellIs" dxfId="875" priority="33" operator="equal">
      <formula>1</formula>
    </cfRule>
    <cfRule type="cellIs" dxfId="874" priority="34" operator="notEqual">
      <formula>0</formula>
    </cfRule>
  </conditionalFormatting>
  <conditionalFormatting sqref="V178">
    <cfRule type="cellIs" dxfId="873" priority="31" operator="equal">
      <formula>1</formula>
    </cfRule>
    <cfRule type="cellIs" dxfId="872" priority="32" operator="notEqual">
      <formula>0</formula>
    </cfRule>
  </conditionalFormatting>
  <conditionalFormatting sqref="V90:V93">
    <cfRule type="cellIs" dxfId="871" priority="29" operator="equal">
      <formula>1</formula>
    </cfRule>
    <cfRule type="cellIs" dxfId="870" priority="30" operator="notEqual">
      <formula>0</formula>
    </cfRule>
  </conditionalFormatting>
  <conditionalFormatting sqref="V16:V25">
    <cfRule type="cellIs" dxfId="869" priority="27" operator="equal">
      <formula>1</formula>
    </cfRule>
    <cfRule type="cellIs" dxfId="868" priority="28" operator="notEqual">
      <formula>0</formula>
    </cfRule>
  </conditionalFormatting>
  <conditionalFormatting sqref="V402:V409">
    <cfRule type="cellIs" dxfId="867" priority="25" operator="equal">
      <formula>1</formula>
    </cfRule>
    <cfRule type="cellIs" dxfId="866" priority="26" operator="notEqual">
      <formula>0</formula>
    </cfRule>
  </conditionalFormatting>
  <conditionalFormatting sqref="V640">
    <cfRule type="cellIs" dxfId="865" priority="23" operator="equal">
      <formula>1</formula>
    </cfRule>
    <cfRule type="cellIs" dxfId="864" priority="24" operator="notEqual">
      <formula>0</formula>
    </cfRule>
  </conditionalFormatting>
  <conditionalFormatting sqref="V667">
    <cfRule type="cellIs" dxfId="863" priority="21" operator="equal">
      <formula>1</formula>
    </cfRule>
    <cfRule type="cellIs" dxfId="862" priority="22" operator="notEqual">
      <formula>0</formula>
    </cfRule>
  </conditionalFormatting>
  <conditionalFormatting sqref="V763">
    <cfRule type="cellIs" dxfId="861" priority="19" operator="equal">
      <formula>1</formula>
    </cfRule>
    <cfRule type="cellIs" dxfId="860" priority="20" operator="notEqual">
      <formula>0</formula>
    </cfRule>
  </conditionalFormatting>
  <conditionalFormatting sqref="Q761:R761">
    <cfRule type="cellIs" dxfId="859" priority="17" stopIfTrue="1" operator="lessThan">
      <formula>0</formula>
    </cfRule>
  </conditionalFormatting>
  <conditionalFormatting sqref="V761">
    <cfRule type="cellIs" dxfId="858" priority="15" operator="equal">
      <formula>1</formula>
    </cfRule>
    <cfRule type="cellIs" dxfId="857" priority="16" operator="notEqual">
      <formula>0</formula>
    </cfRule>
  </conditionalFormatting>
  <conditionalFormatting sqref="H13:L13">
    <cfRule type="cellIs" dxfId="856" priority="14" operator="notEqual">
      <formula>0</formula>
    </cfRule>
  </conditionalFormatting>
  <conditionalFormatting sqref="S14:T112">
    <cfRule type="cellIs" dxfId="855" priority="13" stopIfTrue="1" operator="lessThan">
      <formula>0</formula>
    </cfRule>
  </conditionalFormatting>
  <conditionalFormatting sqref="S114:T114">
    <cfRule type="cellIs" dxfId="854" priority="12" stopIfTrue="1" operator="lessThan">
      <formula>0</formula>
    </cfRule>
  </conditionalFormatting>
  <conditionalFormatting sqref="S116:T116">
    <cfRule type="cellIs" dxfId="853" priority="11" stopIfTrue="1" operator="lessThan">
      <formula>0</formula>
    </cfRule>
  </conditionalFormatting>
  <conditionalFormatting sqref="S118:T335 S338:T382">
    <cfRule type="cellIs" dxfId="852" priority="10" stopIfTrue="1" operator="lessThan">
      <formula>0</formula>
    </cfRule>
  </conditionalFormatting>
  <conditionalFormatting sqref="S336:T337">
    <cfRule type="cellIs" dxfId="851" priority="9" stopIfTrue="1" operator="lessThan">
      <formula>0</formula>
    </cfRule>
  </conditionalFormatting>
  <conditionalFormatting sqref="S384:T565">
    <cfRule type="cellIs" dxfId="850" priority="8" stopIfTrue="1" operator="lessThan">
      <formula>0</formula>
    </cfRule>
  </conditionalFormatting>
  <conditionalFormatting sqref="S566:T569">
    <cfRule type="cellIs" dxfId="849" priority="7" stopIfTrue="1" operator="lessThan">
      <formula>0</formula>
    </cfRule>
  </conditionalFormatting>
  <conditionalFormatting sqref="S573:T828">
    <cfRule type="cellIs" dxfId="848" priority="6" stopIfTrue="1" operator="lessThan">
      <formula>0</formula>
    </cfRule>
  </conditionalFormatting>
  <conditionalFormatting sqref="S571:T572">
    <cfRule type="cellIs" dxfId="847" priority="5" stopIfTrue="1" operator="lessThan">
      <formula>0</formula>
    </cfRule>
  </conditionalFormatting>
  <conditionalFormatting sqref="S832:T887">
    <cfRule type="cellIs" dxfId="846" priority="4" stopIfTrue="1" operator="lessThan">
      <formula>0</formula>
    </cfRule>
  </conditionalFormatting>
  <conditionalFormatting sqref="R115 R117">
    <cfRule type="cellIs" dxfId="845" priority="3" stopIfTrue="1" operator="lessThan">
      <formula>0</formula>
    </cfRule>
  </conditionalFormatting>
  <conditionalFormatting sqref="R114">
    <cfRule type="cellIs" dxfId="844" priority="2" stopIfTrue="1" operator="lessThan">
      <formula>0</formula>
    </cfRule>
  </conditionalFormatting>
  <conditionalFormatting sqref="R116">
    <cfRule type="cellIs" dxfId="843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0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0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1285</v>
      </c>
      <c r="P8" s="1121"/>
      <c r="Q8" s="1137" t="str">
        <f>+O8</f>
        <v xml:space="preserve">     "Сметки за средства от ЕС" - RA</v>
      </c>
      <c r="R8" s="1121"/>
      <c r="S8" s="1138" t="str">
        <f>+O8</f>
        <v xml:space="preserve">     "Сметки за средства от ЕС" - RA</v>
      </c>
      <c r="T8" s="1139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491</v>
      </c>
      <c r="G10" s="199" t="s">
        <v>380</v>
      </c>
      <c r="H10" s="147"/>
      <c r="I10" s="5"/>
      <c r="J10" s="5"/>
      <c r="K10" s="2457">
        <f>+'TRIAL-BALANCE'!K10:L10</f>
        <v>0</v>
      </c>
      <c r="L10" s="2458"/>
      <c r="M10" s="49"/>
      <c r="N10" s="1577">
        <f>+C8</f>
        <v>0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0" t="str">
        <f>+F10</f>
        <v>R A</v>
      </c>
      <c r="F12" s="2640"/>
      <c r="G12" s="1130" t="s">
        <v>1003</v>
      </c>
      <c r="H12" s="2632" t="str">
        <f>+'TRIAL-BALANCE'!H12:K12</f>
        <v>30 септември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46" t="s">
        <v>202</v>
      </c>
      <c r="O13" s="1147">
        <f t="shared" ref="O13:T13" si="0">+O890</f>
        <v>9683624.4100000001</v>
      </c>
      <c r="P13" s="1148">
        <f t="shared" si="0"/>
        <v>9683624.4100000001</v>
      </c>
      <c r="Q13" s="1149">
        <f t="shared" si="0"/>
        <v>25677094.030000001</v>
      </c>
      <c r="R13" s="1148">
        <f t="shared" si="0"/>
        <v>25677094.030000001</v>
      </c>
      <c r="S13" s="1149">
        <f t="shared" si="0"/>
        <v>11711239.85</v>
      </c>
      <c r="T13" s="1150">
        <f t="shared" si="0"/>
        <v>11711239.85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656.37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656.37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2163114.1</v>
      </c>
      <c r="P15" s="324">
        <v>0</v>
      </c>
      <c r="Q15" s="325"/>
      <c r="R15" s="324"/>
      <c r="S15" s="326">
        <f>+IF(ABS(+O15+Q15)&gt;=ABS(P15+R15),+O15-P15+Q15-R15,0)</f>
        <v>2163114.1</v>
      </c>
      <c r="T15" s="327">
        <f>+IF(ABS(+O15+Q15)&lt;=ABS(P15+R15),-O15+P15-Q15+R15,0)</f>
        <v>0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1616660.69</v>
      </c>
      <c r="P73" s="582">
        <v>0</v>
      </c>
      <c r="Q73" s="589"/>
      <c r="R73" s="121"/>
      <c r="S73" s="583">
        <f t="shared" si="10"/>
        <v>1616660.69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>
        <v>106273.44</v>
      </c>
      <c r="P78" s="582">
        <v>0</v>
      </c>
      <c r="Q78" s="589"/>
      <c r="R78" s="121"/>
      <c r="S78" s="583">
        <f t="shared" si="10"/>
        <v>106273.44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4330345.22</v>
      </c>
      <c r="Q114" s="325">
        <v>4265153.13</v>
      </c>
      <c r="R114" s="324">
        <v>367178.31</v>
      </c>
      <c r="S114" s="330">
        <v>0</v>
      </c>
      <c r="T114" s="327">
        <f>+IF(ABS(+O114+Q114)&lt;=ABS(P114+R114),-O114+P114-Q114+R114,0)</f>
        <v>432370.39999999985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120">
        <v>454817.51</v>
      </c>
      <c r="P115" s="9">
        <v>0</v>
      </c>
      <c r="Q115" s="122">
        <v>9820.4599999999991</v>
      </c>
      <c r="R115" s="324">
        <v>464637.97</v>
      </c>
      <c r="S115" s="27">
        <f>+IF(ABS(+O115+Q115)&gt;=ABS(P115+R115),+O115-P115+Q115-R115,0)</f>
        <v>5.8207660913467407E-11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454817.46</v>
      </c>
      <c r="Q186" s="589">
        <v>3560814.67</v>
      </c>
      <c r="R186" s="324">
        <v>3763036.86</v>
      </c>
      <c r="S186" s="579">
        <v>0</v>
      </c>
      <c r="T186" s="580">
        <f>+IF(ABS(+O186+Q186)&lt;=ABS(P186+R186),-O186+P186-Q186+R186,0)</f>
        <v>657039.64999999991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12327.52</v>
      </c>
      <c r="Q202" s="589">
        <v>11831.5</v>
      </c>
      <c r="R202" s="576"/>
      <c r="S202" s="583">
        <f t="shared" si="25"/>
        <v>0</v>
      </c>
      <c r="T202" s="580">
        <f t="shared" si="24"/>
        <v>496.02000000000044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/>
      <c r="P217" s="576"/>
      <c r="Q217" s="589"/>
      <c r="R217" s="576"/>
      <c r="S217" s="583">
        <f t="shared" si="25"/>
        <v>0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454817.46</v>
      </c>
      <c r="P274" s="576">
        <v>0</v>
      </c>
      <c r="Q274" s="589">
        <v>3763036.86</v>
      </c>
      <c r="R274" s="576">
        <v>3560814.67</v>
      </c>
      <c r="S274" s="583">
        <f t="shared" si="31"/>
        <v>657039.65000000037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>
        <v>2463.37</v>
      </c>
      <c r="P296" s="9">
        <v>0</v>
      </c>
      <c r="Q296" s="122">
        <v>964695.22</v>
      </c>
      <c r="R296" s="576">
        <v>722022.52</v>
      </c>
      <c r="S296" s="583">
        <f t="shared" si="34"/>
        <v>245136.06999999995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120"/>
      <c r="P301" s="9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120"/>
      <c r="P302" s="9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17552.259999999998</v>
      </c>
      <c r="R401" s="121"/>
      <c r="S401" s="27">
        <f t="shared" si="47"/>
        <v>17552.259999999998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>
        <v>814264.02</v>
      </c>
      <c r="R438" s="576"/>
      <c r="S438" s="583">
        <f t="shared" si="51"/>
        <v>814264.02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575">
        <v>0</v>
      </c>
      <c r="P642" s="582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575">
        <v>0</v>
      </c>
      <c r="P669" s="582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6.08</v>
      </c>
      <c r="S679" s="583">
        <f t="shared" si="65"/>
        <v>0</v>
      </c>
      <c r="T679" s="580">
        <f t="shared" si="66"/>
        <v>6.08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>
        <v>3550955.11</v>
      </c>
      <c r="R745" s="576">
        <v>4317389.96</v>
      </c>
      <c r="S745" s="583">
        <f t="shared" si="68"/>
        <v>0</v>
      </c>
      <c r="T745" s="580">
        <f t="shared" si="69"/>
        <v>766434.85000000009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>
        <v>3763036.86</v>
      </c>
      <c r="S747" s="583">
        <f t="shared" si="68"/>
        <v>0</v>
      </c>
      <c r="T747" s="580">
        <f t="shared" si="69"/>
        <v>3763036.86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8" t="str">
        <f>+E12</f>
        <v>R A</v>
      </c>
      <c r="J829" s="2638"/>
      <c r="K829" s="2638"/>
      <c r="L829" s="96"/>
      <c r="M829" s="51"/>
      <c r="N829" s="128" t="s">
        <v>666</v>
      </c>
      <c r="O829" s="840">
        <f t="shared" ref="O829:T829" si="73">+ROUND(+SUM(O14:O828),2)</f>
        <v>4798146.57</v>
      </c>
      <c r="P829" s="841">
        <f t="shared" si="73"/>
        <v>4798146.57</v>
      </c>
      <c r="Q829" s="842">
        <f t="shared" si="73"/>
        <v>16958123.23</v>
      </c>
      <c r="R829" s="843">
        <f t="shared" si="73"/>
        <v>16958123.23</v>
      </c>
      <c r="S829" s="844">
        <f t="shared" si="73"/>
        <v>5620040.2300000004</v>
      </c>
      <c r="T829" s="845">
        <f t="shared" si="73"/>
        <v>5620040.2300000004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9" t="str">
        <f>+I829</f>
        <v>R A</v>
      </c>
      <c r="J831" s="2639"/>
      <c r="K831" s="263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>
        <v>475868.8</v>
      </c>
      <c r="Q835" s="589">
        <v>446197.86</v>
      </c>
      <c r="R835" s="121">
        <v>467399.83</v>
      </c>
      <c r="S835" s="29">
        <v>0</v>
      </c>
      <c r="T835" s="28">
        <f>+IF(ABS(+O835+Q835)&lt;=ABS(P835+R835),-O835+P835-Q835+R835,0)</f>
        <v>497070.77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>
        <v>477220.38</v>
      </c>
      <c r="P839" s="582">
        <v>0</v>
      </c>
      <c r="Q839" s="589">
        <v>22168.35</v>
      </c>
      <c r="R839" s="576">
        <v>56021.7</v>
      </c>
      <c r="S839" s="583">
        <f>+IF(ABS(+O839+Q839)&gt;=ABS(P839+R839),+O839-P839+Q839-R839,0)</f>
        <v>443367.02999999997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3932388.66</v>
      </c>
      <c r="Q848" s="589">
        <v>3477503.88</v>
      </c>
      <c r="R848" s="121">
        <v>242666.65</v>
      </c>
      <c r="S848" s="579">
        <v>0</v>
      </c>
      <c r="T848" s="580">
        <f t="shared" ref="T848:T857" si="75">+IF(ABS(+O848+Q848)&lt;=ABS(P848+R848),-O848+P848-Q848+R848,0)</f>
        <v>697551.43000000028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>
        <v>467399.83</v>
      </c>
      <c r="R849" s="576"/>
      <c r="S849" s="583">
        <f t="shared" ref="S849:S867" si="76">+IF(ABS(+O849+Q849)&gt;=ABS(P849+R849),+O849-P849+Q849-R849,0)</f>
        <v>467399.83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/>
      <c r="R850" s="576"/>
      <c r="S850" s="583">
        <f t="shared" si="76"/>
        <v>0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446197.86</v>
      </c>
      <c r="S851" s="583">
        <f t="shared" si="76"/>
        <v>0</v>
      </c>
      <c r="T851" s="580">
        <f t="shared" si="75"/>
        <v>446197.86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446197.86</v>
      </c>
      <c r="S857" s="583">
        <f t="shared" si="76"/>
        <v>0</v>
      </c>
      <c r="T857" s="580">
        <f t="shared" si="75"/>
        <v>446197.86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3560814.67</v>
      </c>
      <c r="S878" s="583">
        <f t="shared" si="81"/>
        <v>0</v>
      </c>
      <c r="T878" s="580">
        <f t="shared" si="79"/>
        <v>3560814.67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>
        <v>477220.38</v>
      </c>
      <c r="Q886" s="589">
        <v>56021.7</v>
      </c>
      <c r="R886" s="121">
        <v>22168.35</v>
      </c>
      <c r="S886" s="579">
        <v>0</v>
      </c>
      <c r="T886" s="580">
        <f>+IF(ABS(+O886+Q886)&lt;=ABS(P886+R886),-O886+P886-Q886+R886,0)</f>
        <v>443367.02999999997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>
        <v>4408257.46</v>
      </c>
      <c r="P887" s="839">
        <v>0</v>
      </c>
      <c r="Q887" s="598">
        <v>4249679.18</v>
      </c>
      <c r="R887" s="597">
        <v>3477503.88</v>
      </c>
      <c r="S887" s="56">
        <f>+IF(ABS(+O887+Q887)&gt;=ABS(P887+R887),+O887-P887+Q887-R887,0)</f>
        <v>5180432.7600000007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1" t="str">
        <f>+I831</f>
        <v>R A</v>
      </c>
      <c r="J888" s="2641"/>
      <c r="K888" s="2641"/>
      <c r="L888" s="105"/>
      <c r="M888" s="51"/>
      <c r="N888" s="117">
        <v>9</v>
      </c>
      <c r="O888" s="840">
        <f t="shared" ref="O888:T888" si="82">+ROUND(SUM(O831:O887),2)</f>
        <v>4885477.84</v>
      </c>
      <c r="P888" s="843">
        <f t="shared" si="82"/>
        <v>4885477.84</v>
      </c>
      <c r="Q888" s="842">
        <f t="shared" si="82"/>
        <v>8718970.8000000007</v>
      </c>
      <c r="R888" s="843">
        <f t="shared" si="82"/>
        <v>8718970.8000000007</v>
      </c>
      <c r="S888" s="844">
        <f t="shared" si="82"/>
        <v>6091199.6200000001</v>
      </c>
      <c r="T888" s="845">
        <f t="shared" si="82"/>
        <v>6091199.6200000001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7" t="str">
        <f>+I888</f>
        <v>R A</v>
      </c>
      <c r="J890" s="2637"/>
      <c r="K890" s="2637"/>
      <c r="L890" s="287"/>
      <c r="M890" s="51"/>
      <c r="N890" s="288" t="s">
        <v>665</v>
      </c>
      <c r="O890" s="430">
        <f t="shared" ref="O890:T890" si="83">+ROUND(+O829+O888,2)</f>
        <v>9683624.4100000001</v>
      </c>
      <c r="P890" s="431">
        <f t="shared" si="83"/>
        <v>9683624.4100000001</v>
      </c>
      <c r="Q890" s="432">
        <f t="shared" si="83"/>
        <v>25677094.030000001</v>
      </c>
      <c r="R890" s="431">
        <f t="shared" si="83"/>
        <v>25677094.030000001</v>
      </c>
      <c r="S890" s="432">
        <f t="shared" si="83"/>
        <v>11711239.85</v>
      </c>
      <c r="T890" s="433">
        <f t="shared" si="83"/>
        <v>11711239.85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RA-TRIAL-BAL-2021'!O149+'RA-TRIAL-BAL-2021'!O154+'RA-TRIAL-BAL-2021'!O155+'RA-TRIAL-BAL-2021'!O229+'RA-TRIAL-BAL-2021'!O230+'RA-TRIAL-BAL-2021'!O231+'RA-TRIAL-BAL-2021'!O249+'RA-TRIAL-BAL-2021'!O250++'RA-TRIAL-BAL-2021'!O306+'RA-TRIAL-BAL-2021'!O307+'RA-TRIAL-BAL-2021'!O308+SUM('RA-TRIAL-BAL-2021'!O331:O335)+'RA-TRIAL-BAL-2021'!O346+'RA-TRIAL-BAL-2021'!O347+SUM('RA-TRIAL-BAL-2021'!O360:'RA-TRIAL-BAL-2021'!O363)+SUM('RA-TRIAL-BAL-2021'!O377:'RA-TRIAL-BAL-2021'!O379)</f>
        <v>0</v>
      </c>
      <c r="Q910" s="263">
        <v>0</v>
      </c>
      <c r="R910" s="264">
        <v>0</v>
      </c>
      <c r="S910" s="563" t="s">
        <v>148</v>
      </c>
      <c r="T910" s="465">
        <f>+'RA-TRIAL-BAL-2021'!S149+'RA-TRIAL-BAL-2021'!S154+'RA-TRIAL-BAL-2021'!S155+'RA-TRIAL-BAL-2021'!S229+'RA-TRIAL-BAL-2021'!S230+'RA-TRIAL-BAL-2021'!S231+'RA-TRIAL-BAL-2021'!S249+'RA-TRIAL-BAL-2021'!S250++'RA-TRIAL-BAL-2021'!S306+'RA-TRIAL-BAL-2021'!S307+'RA-TRIAL-BAL-2021'!S308+SUM('RA-TRIAL-BAL-2021'!S331:S335)+'RA-TRIAL-BAL-2021'!S346+'RA-TRIAL-BAL-2021'!S347+SUM('RA-TRIAL-BAL-2021'!S360:'RA-TRIAL-BAL-2021'!S363)+SUM('RA-TRIAL-BAL-2021'!S377:'RA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+P22-O23+SUM('RA-TRIAL-BAL-2021'!P41:P45)+SUM(P48:P49)+P65+P69+P151+P232+P233+P234+P251+P252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+T22-S23+SUM('RA-TRIAL-BAL-2021'!T41:T45)+SUM(T48:T49)+T65+T69+T151+T232+T233+T234+T251+T252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Q901:S902 Q910:S911 Q904:S905 O907:O908 Q907:S908 O898:O899 O910:O911 O901:O902 O904:O905 O831:P887 O13:T13 O338:P828 O14:P335">
    <cfRule type="cellIs" dxfId="842" priority="1134" stopIfTrue="1" operator="lessThan">
      <formula>0</formula>
    </cfRule>
  </conditionalFormatting>
  <conditionalFormatting sqref="P898:P899 T898:T899 P904:P905 T904:T905 P907:P908 T907:T908 T910:T911 P910:P911">
    <cfRule type="cellIs" dxfId="841" priority="1135" stopIfTrue="1" operator="equal">
      <formula>0</formula>
    </cfRule>
  </conditionalFormatting>
  <conditionalFormatting sqref="M890 O890:U890 O829:P829 M888:U888">
    <cfRule type="cellIs" dxfId="840" priority="1136" stopIfTrue="1" operator="lessThan">
      <formula>0</formula>
    </cfRule>
  </conditionalFormatting>
  <conditionalFormatting sqref="O2 Q2 S2">
    <cfRule type="cellIs" dxfId="839" priority="1137" stopIfTrue="1" operator="equal">
      <formula>"""O K"""</formula>
    </cfRule>
  </conditionalFormatting>
  <conditionalFormatting sqref="T2 T4 R2 R4 P2 P4">
    <cfRule type="cellIs" dxfId="838" priority="1138" stopIfTrue="1" operator="equal">
      <formula>"O K"</formula>
    </cfRule>
    <cfRule type="cellIs" dxfId="837" priority="1139" stopIfTrue="1" operator="notEqual">
      <formula>"O K"</formula>
    </cfRule>
  </conditionalFormatting>
  <conditionalFormatting sqref="E12:F12">
    <cfRule type="cellIs" dxfId="836" priority="1140" stopIfTrue="1" operator="equal">
      <formula>0</formula>
    </cfRule>
  </conditionalFormatting>
  <conditionalFormatting sqref="N10">
    <cfRule type="cellIs" dxfId="835" priority="1141" stopIfTrue="1" operator="equal">
      <formula>0</formula>
    </cfRule>
  </conditionalFormatting>
  <conditionalFormatting sqref="E2:L2 C6:E6 G6:L6 C8">
    <cfRule type="cellIs" dxfId="834" priority="1142" stopIfTrue="1" operator="equal">
      <formula>0</formula>
    </cfRule>
  </conditionalFormatting>
  <conditionalFormatting sqref="G8:H8">
    <cfRule type="cellIs" dxfId="833" priority="1124" stopIfTrue="1" operator="equal">
      <formula>0</formula>
    </cfRule>
  </conditionalFormatting>
  <conditionalFormatting sqref="J8:L8">
    <cfRule type="cellIs" dxfId="832" priority="1123" stopIfTrue="1" operator="equal">
      <formula>0</formula>
    </cfRule>
  </conditionalFormatting>
  <conditionalFormatting sqref="P901:P902">
    <cfRule type="cellIs" dxfId="831" priority="1122" stopIfTrue="1" operator="equal">
      <formula>0</formula>
    </cfRule>
  </conditionalFormatting>
  <conditionalFormatting sqref="T901:T902">
    <cfRule type="cellIs" dxfId="830" priority="1121" stopIfTrue="1" operator="equal">
      <formula>0</formula>
    </cfRule>
  </conditionalFormatting>
  <conditionalFormatting sqref="O336:P337">
    <cfRule type="cellIs" dxfId="829" priority="1120" stopIfTrue="1" operator="lessThan">
      <formula>0</formula>
    </cfRule>
  </conditionalFormatting>
  <conditionalFormatting sqref="E2:L2 C8">
    <cfRule type="cellIs" dxfId="828" priority="1118" stopIfTrue="1" operator="equal">
      <formula>0</formula>
    </cfRule>
  </conditionalFormatting>
  <conditionalFormatting sqref="K10:L10">
    <cfRule type="cellIs" dxfId="827" priority="1117" stopIfTrue="1" operator="equal">
      <formula>0</formula>
    </cfRule>
  </conditionalFormatting>
  <conditionalFormatting sqref="D4">
    <cfRule type="cellIs" dxfId="826" priority="1107" stopIfTrue="1" operator="between">
      <formula>1000000000000</formula>
      <formula>9999999999999990</formula>
    </cfRule>
    <cfRule type="cellIs" dxfId="825" priority="1108" stopIfTrue="1" operator="between">
      <formula>1000000000</formula>
      <formula>999999999999</formula>
    </cfRule>
    <cfRule type="cellIs" dxfId="824" priority="1109" stopIfTrue="1" operator="between">
      <formula>10000</formula>
      <formula>99999999</formula>
    </cfRule>
    <cfRule type="cellIs" dxfId="823" priority="1110" stopIfTrue="1" operator="between">
      <formula>10</formula>
      <formula>9999</formula>
    </cfRule>
  </conditionalFormatting>
  <conditionalFormatting sqref="D4">
    <cfRule type="cellIs" dxfId="822" priority="1106" operator="equal">
      <formula>0</formula>
    </cfRule>
  </conditionalFormatting>
  <conditionalFormatting sqref="A3:C5">
    <cfRule type="cellIs" dxfId="821" priority="1105" operator="equal">
      <formula>"Код на общински разпоредител с бюджет"</formula>
    </cfRule>
  </conditionalFormatting>
  <conditionalFormatting sqref="G4:L4">
    <cfRule type="cellIs" dxfId="820" priority="109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19" priority="1097" stopIfTrue="1" operator="lessThan">
      <formula>0</formula>
    </cfRule>
  </conditionalFormatting>
  <conditionalFormatting sqref="U829">
    <cfRule type="cellIs" dxfId="818" priority="1098" stopIfTrue="1" operator="lessThan">
      <formula>0</formula>
    </cfRule>
  </conditionalFormatting>
  <conditionalFormatting sqref="Q763:R763">
    <cfRule type="cellIs" dxfId="817" priority="1091" stopIfTrue="1" operator="lessThan">
      <formula>0</formula>
    </cfRule>
  </conditionalFormatting>
  <conditionalFormatting sqref="Q336:Q337">
    <cfRule type="cellIs" dxfId="816" priority="1090" stopIfTrue="1" operator="lessThan">
      <formula>0</formula>
    </cfRule>
  </conditionalFormatting>
  <conditionalFormatting sqref="R56:R59">
    <cfRule type="cellIs" dxfId="815" priority="1078" stopIfTrue="1" operator="lessThan">
      <formula>0</formula>
    </cfRule>
  </conditionalFormatting>
  <conditionalFormatting sqref="R62:R69">
    <cfRule type="cellIs" dxfId="814" priority="1077" stopIfTrue="1" operator="lessThan">
      <formula>0</formula>
    </cfRule>
  </conditionalFormatting>
  <conditionalFormatting sqref="R26:R52">
    <cfRule type="cellIs" dxfId="813" priority="1076" stopIfTrue="1" operator="lessThan">
      <formula>0</formula>
    </cfRule>
  </conditionalFormatting>
  <conditionalFormatting sqref="R71:R89">
    <cfRule type="cellIs" dxfId="812" priority="1075" stopIfTrue="1" operator="lessThan">
      <formula>0</formula>
    </cfRule>
  </conditionalFormatting>
  <conditionalFormatting sqref="R103:R112">
    <cfRule type="cellIs" dxfId="811" priority="1074" stopIfTrue="1" operator="lessThan">
      <formula>0</formula>
    </cfRule>
  </conditionalFormatting>
  <conditionalFormatting sqref="R118">
    <cfRule type="cellIs" dxfId="810" priority="1073" stopIfTrue="1" operator="lessThan">
      <formula>0</formula>
    </cfRule>
  </conditionalFormatting>
  <conditionalFormatting sqref="R122">
    <cfRule type="cellIs" dxfId="809" priority="1072" stopIfTrue="1" operator="lessThan">
      <formula>0</formula>
    </cfRule>
  </conditionalFormatting>
  <conditionalFormatting sqref="R125">
    <cfRule type="cellIs" dxfId="808" priority="1071" stopIfTrue="1" operator="lessThan">
      <formula>0</formula>
    </cfRule>
  </conditionalFormatting>
  <conditionalFormatting sqref="R127">
    <cfRule type="cellIs" dxfId="807" priority="1070" stopIfTrue="1" operator="lessThan">
      <formula>0</formula>
    </cfRule>
  </conditionalFormatting>
  <conditionalFormatting sqref="R128">
    <cfRule type="cellIs" dxfId="806" priority="1069" stopIfTrue="1" operator="lessThan">
      <formula>0</formula>
    </cfRule>
  </conditionalFormatting>
  <conditionalFormatting sqref="R130">
    <cfRule type="cellIs" dxfId="805" priority="1068" stopIfTrue="1" operator="lessThan">
      <formula>0</formula>
    </cfRule>
  </conditionalFormatting>
  <conditionalFormatting sqref="R132">
    <cfRule type="cellIs" dxfId="804" priority="1067" stopIfTrue="1" operator="lessThan">
      <formula>0</formula>
    </cfRule>
  </conditionalFormatting>
  <conditionalFormatting sqref="R133">
    <cfRule type="cellIs" dxfId="803" priority="1066" stopIfTrue="1" operator="lessThan">
      <formula>0</formula>
    </cfRule>
  </conditionalFormatting>
  <conditionalFormatting sqref="R135">
    <cfRule type="cellIs" dxfId="802" priority="1065" stopIfTrue="1" operator="lessThan">
      <formula>0</formula>
    </cfRule>
  </conditionalFormatting>
  <conditionalFormatting sqref="R123">
    <cfRule type="cellIs" dxfId="801" priority="1064" stopIfTrue="1" operator="lessThan">
      <formula>0</formula>
    </cfRule>
  </conditionalFormatting>
  <conditionalFormatting sqref="R124">
    <cfRule type="cellIs" dxfId="800" priority="1063" stopIfTrue="1" operator="lessThan">
      <formula>0</formula>
    </cfRule>
  </conditionalFormatting>
  <conditionalFormatting sqref="R126">
    <cfRule type="cellIs" dxfId="799" priority="1062" stopIfTrue="1" operator="lessThan">
      <formula>0</formula>
    </cfRule>
  </conditionalFormatting>
  <conditionalFormatting sqref="R129">
    <cfRule type="cellIs" dxfId="798" priority="1061" stopIfTrue="1" operator="lessThan">
      <formula>0</formula>
    </cfRule>
  </conditionalFormatting>
  <conditionalFormatting sqref="R131">
    <cfRule type="cellIs" dxfId="797" priority="1060" stopIfTrue="1" operator="lessThan">
      <formula>0</formula>
    </cfRule>
  </conditionalFormatting>
  <conditionalFormatting sqref="R134">
    <cfRule type="cellIs" dxfId="796" priority="1059" stopIfTrue="1" operator="lessThan">
      <formula>0</formula>
    </cfRule>
  </conditionalFormatting>
  <conditionalFormatting sqref="R136:R138">
    <cfRule type="cellIs" dxfId="795" priority="1058" stopIfTrue="1" operator="lessThan">
      <formula>0</formula>
    </cfRule>
  </conditionalFormatting>
  <conditionalFormatting sqref="R141">
    <cfRule type="cellIs" dxfId="794" priority="1057" stopIfTrue="1" operator="lessThan">
      <formula>0</formula>
    </cfRule>
  </conditionalFormatting>
  <conditionalFormatting sqref="R144:R145">
    <cfRule type="cellIs" dxfId="793" priority="1056" stopIfTrue="1" operator="lessThan">
      <formula>0</formula>
    </cfRule>
  </conditionalFormatting>
  <conditionalFormatting sqref="R147:R149">
    <cfRule type="cellIs" dxfId="792" priority="1055" stopIfTrue="1" operator="lessThan">
      <formula>0</formula>
    </cfRule>
  </conditionalFormatting>
  <conditionalFormatting sqref="R139">
    <cfRule type="cellIs" dxfId="791" priority="1053" stopIfTrue="1" operator="lessThan">
      <formula>0</formula>
    </cfRule>
  </conditionalFormatting>
  <conditionalFormatting sqref="R140">
    <cfRule type="cellIs" dxfId="790" priority="1051" stopIfTrue="1" operator="lessThan">
      <formula>0</formula>
    </cfRule>
  </conditionalFormatting>
  <conditionalFormatting sqref="R142">
    <cfRule type="cellIs" dxfId="789" priority="1049" stopIfTrue="1" operator="lessThan">
      <formula>0</formula>
    </cfRule>
  </conditionalFormatting>
  <conditionalFormatting sqref="R143">
    <cfRule type="cellIs" dxfId="788" priority="1047" stopIfTrue="1" operator="lessThan">
      <formula>0</formula>
    </cfRule>
  </conditionalFormatting>
  <conditionalFormatting sqref="R146">
    <cfRule type="cellIs" dxfId="787" priority="1045" stopIfTrue="1" operator="lessThan">
      <formula>0</formula>
    </cfRule>
  </conditionalFormatting>
  <conditionalFormatting sqref="R150">
    <cfRule type="cellIs" dxfId="786" priority="1043" stopIfTrue="1" operator="lessThan">
      <formula>0</formula>
    </cfRule>
  </conditionalFormatting>
  <conditionalFormatting sqref="R151">
    <cfRule type="cellIs" dxfId="785" priority="1041" stopIfTrue="1" operator="lessThan">
      <formula>0</formula>
    </cfRule>
  </conditionalFormatting>
  <conditionalFormatting sqref="R152">
    <cfRule type="cellIs" dxfId="784" priority="1040" stopIfTrue="1" operator="lessThan">
      <formula>0</formula>
    </cfRule>
  </conditionalFormatting>
  <conditionalFormatting sqref="R153">
    <cfRule type="cellIs" dxfId="783" priority="1039" stopIfTrue="1" operator="lessThan">
      <formula>0</formula>
    </cfRule>
  </conditionalFormatting>
  <conditionalFormatting sqref="R154:R159">
    <cfRule type="cellIs" dxfId="782" priority="1038" stopIfTrue="1" operator="lessThan">
      <formula>0</formula>
    </cfRule>
  </conditionalFormatting>
  <conditionalFormatting sqref="R161:R172">
    <cfRule type="cellIs" dxfId="781" priority="1037" stopIfTrue="1" operator="lessThan">
      <formula>0</formula>
    </cfRule>
  </conditionalFormatting>
  <conditionalFormatting sqref="R173:R175">
    <cfRule type="cellIs" dxfId="780" priority="1036" stopIfTrue="1" operator="lessThan">
      <formula>0</formula>
    </cfRule>
  </conditionalFormatting>
  <conditionalFormatting sqref="R184">
    <cfRule type="cellIs" dxfId="779" priority="1034" stopIfTrue="1" operator="lessThan">
      <formula>0</formula>
    </cfRule>
  </conditionalFormatting>
  <conditionalFormatting sqref="R186:R187">
    <cfRule type="cellIs" dxfId="778" priority="1032" stopIfTrue="1" operator="lessThan">
      <formula>0</formula>
    </cfRule>
  </conditionalFormatting>
  <conditionalFormatting sqref="R190">
    <cfRule type="cellIs" dxfId="777" priority="1030" stopIfTrue="1" operator="lessThan">
      <formula>0</formula>
    </cfRule>
  </conditionalFormatting>
  <conditionalFormatting sqref="R185">
    <cfRule type="cellIs" dxfId="776" priority="1029" stopIfTrue="1" operator="lessThan">
      <formula>0</formula>
    </cfRule>
  </conditionalFormatting>
  <conditionalFormatting sqref="R188:R189">
    <cfRule type="cellIs" dxfId="775" priority="1028" stopIfTrue="1" operator="lessThan">
      <formula>0</formula>
    </cfRule>
  </conditionalFormatting>
  <conditionalFormatting sqref="R196">
    <cfRule type="cellIs" dxfId="774" priority="1027" stopIfTrue="1" operator="lessThan">
      <formula>0</formula>
    </cfRule>
  </conditionalFormatting>
  <conditionalFormatting sqref="R195">
    <cfRule type="cellIs" dxfId="773" priority="1025" stopIfTrue="1" operator="lessThan">
      <formula>0</formula>
    </cfRule>
  </conditionalFormatting>
  <conditionalFormatting sqref="R197:R198">
    <cfRule type="cellIs" dxfId="772" priority="1023" stopIfTrue="1" operator="lessThan">
      <formula>0</formula>
    </cfRule>
  </conditionalFormatting>
  <conditionalFormatting sqref="R220">
    <cfRule type="cellIs" dxfId="771" priority="1021" stopIfTrue="1" operator="lessThan">
      <formula>0</formula>
    </cfRule>
  </conditionalFormatting>
  <conditionalFormatting sqref="R222">
    <cfRule type="cellIs" dxfId="770" priority="1019" stopIfTrue="1" operator="lessThan">
      <formula>0</formula>
    </cfRule>
  </conditionalFormatting>
  <conditionalFormatting sqref="R224:R228">
    <cfRule type="cellIs" dxfId="769" priority="1017" stopIfTrue="1" operator="lessThan">
      <formula>0</formula>
    </cfRule>
  </conditionalFormatting>
  <conditionalFormatting sqref="R219">
    <cfRule type="cellIs" dxfId="768" priority="1016" stopIfTrue="1" operator="lessThan">
      <formula>0</formula>
    </cfRule>
  </conditionalFormatting>
  <conditionalFormatting sqref="R221">
    <cfRule type="cellIs" dxfId="767" priority="1015" stopIfTrue="1" operator="lessThan">
      <formula>0</formula>
    </cfRule>
  </conditionalFormatting>
  <conditionalFormatting sqref="R223">
    <cfRule type="cellIs" dxfId="766" priority="1014" stopIfTrue="1" operator="lessThan">
      <formula>0</formula>
    </cfRule>
  </conditionalFormatting>
  <conditionalFormatting sqref="R229:R231">
    <cfRule type="cellIs" dxfId="765" priority="1013" stopIfTrue="1" operator="lessThan">
      <formula>0</formula>
    </cfRule>
  </conditionalFormatting>
  <conditionalFormatting sqref="R232:R235">
    <cfRule type="cellIs" dxfId="764" priority="1011" stopIfTrue="1" operator="lessThan">
      <formula>0</formula>
    </cfRule>
  </conditionalFormatting>
  <conditionalFormatting sqref="R237:R238">
    <cfRule type="cellIs" dxfId="763" priority="1009" stopIfTrue="1" operator="lessThan">
      <formula>0</formula>
    </cfRule>
  </conditionalFormatting>
  <conditionalFormatting sqref="R241:R244">
    <cfRule type="cellIs" dxfId="762" priority="1007" stopIfTrue="1" operator="lessThan">
      <formula>0</formula>
    </cfRule>
  </conditionalFormatting>
  <conditionalFormatting sqref="R251:R252">
    <cfRule type="cellIs" dxfId="761" priority="1005" stopIfTrue="1" operator="lessThan">
      <formula>0</formula>
    </cfRule>
  </conditionalFormatting>
  <conditionalFormatting sqref="R257:R270">
    <cfRule type="cellIs" dxfId="760" priority="1003" stopIfTrue="1" operator="lessThan">
      <formula>0</formula>
    </cfRule>
  </conditionalFormatting>
  <conditionalFormatting sqref="R284">
    <cfRule type="cellIs" dxfId="759" priority="1001" stopIfTrue="1" operator="lessThan">
      <formula>0</formula>
    </cfRule>
  </conditionalFormatting>
  <conditionalFormatting sqref="R236">
    <cfRule type="cellIs" dxfId="758" priority="1000" stopIfTrue="1" operator="lessThan">
      <formula>0</formula>
    </cfRule>
  </conditionalFormatting>
  <conditionalFormatting sqref="R239:R240">
    <cfRule type="cellIs" dxfId="757" priority="999" stopIfTrue="1" operator="lessThan">
      <formula>0</formula>
    </cfRule>
  </conditionalFormatting>
  <conditionalFormatting sqref="R245:R250">
    <cfRule type="cellIs" dxfId="756" priority="998" stopIfTrue="1" operator="lessThan">
      <formula>0</formula>
    </cfRule>
  </conditionalFormatting>
  <conditionalFormatting sqref="R253:R256">
    <cfRule type="cellIs" dxfId="755" priority="997" stopIfTrue="1" operator="lessThan">
      <formula>0</formula>
    </cfRule>
  </conditionalFormatting>
  <conditionalFormatting sqref="R283">
    <cfRule type="cellIs" dxfId="754" priority="996" stopIfTrue="1" operator="lessThan">
      <formula>0</formula>
    </cfRule>
  </conditionalFormatting>
  <conditionalFormatting sqref="R287:R288">
    <cfRule type="cellIs" dxfId="753" priority="995" stopIfTrue="1" operator="lessThan">
      <formula>0</formula>
    </cfRule>
  </conditionalFormatting>
  <conditionalFormatting sqref="R291:R292">
    <cfRule type="cellIs" dxfId="752" priority="994" stopIfTrue="1" operator="lessThan">
      <formula>0</formula>
    </cfRule>
  </conditionalFormatting>
  <conditionalFormatting sqref="R289:R290">
    <cfRule type="cellIs" dxfId="751" priority="993" stopIfTrue="1" operator="lessThan">
      <formula>0</formula>
    </cfRule>
  </conditionalFormatting>
  <conditionalFormatting sqref="R293">
    <cfRule type="cellIs" dxfId="750" priority="991" stopIfTrue="1" operator="lessThan">
      <formula>0</formula>
    </cfRule>
  </conditionalFormatting>
  <conditionalFormatting sqref="R294:R321">
    <cfRule type="cellIs" dxfId="749" priority="989" stopIfTrue="1" operator="lessThan">
      <formula>0</formula>
    </cfRule>
  </conditionalFormatting>
  <conditionalFormatting sqref="R323:R326">
    <cfRule type="cellIs" dxfId="748" priority="988" stopIfTrue="1" operator="lessThan">
      <formula>0</formula>
    </cfRule>
  </conditionalFormatting>
  <conditionalFormatting sqref="R331:R336">
    <cfRule type="cellIs" dxfId="747" priority="987" stopIfTrue="1" operator="lessThan">
      <formula>0</formula>
    </cfRule>
  </conditionalFormatting>
  <conditionalFormatting sqref="R338:R343">
    <cfRule type="cellIs" dxfId="746" priority="986" stopIfTrue="1" operator="lessThan">
      <formula>0</formula>
    </cfRule>
  </conditionalFormatting>
  <conditionalFormatting sqref="R346:R363">
    <cfRule type="cellIs" dxfId="745" priority="985" stopIfTrue="1" operator="lessThan">
      <formula>0</formula>
    </cfRule>
  </conditionalFormatting>
  <conditionalFormatting sqref="R368:R379">
    <cfRule type="cellIs" dxfId="744" priority="984" stopIfTrue="1" operator="lessThan">
      <formula>0</formula>
    </cfRule>
  </conditionalFormatting>
  <conditionalFormatting sqref="R337">
    <cfRule type="cellIs" dxfId="743" priority="982" stopIfTrue="1" operator="lessThan">
      <formula>0</formula>
    </cfRule>
  </conditionalFormatting>
  <conditionalFormatting sqref="R364:R367">
    <cfRule type="cellIs" dxfId="742" priority="980" stopIfTrue="1" operator="lessThan">
      <formula>0</formula>
    </cfRule>
  </conditionalFormatting>
  <conditionalFormatting sqref="R380:R382">
    <cfRule type="cellIs" dxfId="741" priority="978" stopIfTrue="1" operator="lessThan">
      <formula>0</formula>
    </cfRule>
  </conditionalFormatting>
  <conditionalFormatting sqref="R415">
    <cfRule type="cellIs" dxfId="740" priority="977" stopIfTrue="1" operator="lessThan">
      <formula>0</formula>
    </cfRule>
  </conditionalFormatting>
  <conditionalFormatting sqref="R416">
    <cfRule type="cellIs" dxfId="739" priority="975" stopIfTrue="1" operator="lessThan">
      <formula>0</formula>
    </cfRule>
  </conditionalFormatting>
  <conditionalFormatting sqref="R566:R569">
    <cfRule type="cellIs" dxfId="738" priority="969" stopIfTrue="1" operator="lessThan">
      <formula>0</formula>
    </cfRule>
  </conditionalFormatting>
  <conditionalFormatting sqref="R571:R572">
    <cfRule type="cellIs" dxfId="737" priority="967" stopIfTrue="1" operator="lessThan">
      <formula>0</formula>
    </cfRule>
  </conditionalFormatting>
  <conditionalFormatting sqref="R576:R578">
    <cfRule type="cellIs" dxfId="736" priority="965" stopIfTrue="1" operator="lessThan">
      <formula>0</formula>
    </cfRule>
  </conditionalFormatting>
  <conditionalFormatting sqref="R580">
    <cfRule type="cellIs" dxfId="735" priority="963" stopIfTrue="1" operator="lessThan">
      <formula>0</formula>
    </cfRule>
  </conditionalFormatting>
  <conditionalFormatting sqref="R573:R575">
    <cfRule type="cellIs" dxfId="734" priority="962" stopIfTrue="1" operator="lessThan">
      <formula>0</formula>
    </cfRule>
  </conditionalFormatting>
  <conditionalFormatting sqref="R579">
    <cfRule type="cellIs" dxfId="733" priority="961" stopIfTrue="1" operator="lessThan">
      <formula>0</formula>
    </cfRule>
  </conditionalFormatting>
  <conditionalFormatting sqref="R604">
    <cfRule type="cellIs" dxfId="732" priority="960" stopIfTrue="1" operator="lessThan">
      <formula>0</formula>
    </cfRule>
  </conditionalFormatting>
  <conditionalFormatting sqref="R608">
    <cfRule type="cellIs" dxfId="731" priority="959" stopIfTrue="1" operator="lessThan">
      <formula>0</formula>
    </cfRule>
  </conditionalFormatting>
  <conditionalFormatting sqref="R832:R834">
    <cfRule type="cellIs" dxfId="730" priority="958" stopIfTrue="1" operator="lessThan">
      <formula>0</formula>
    </cfRule>
  </conditionalFormatting>
  <conditionalFormatting sqref="R837:R841">
    <cfRule type="cellIs" dxfId="729" priority="957" stopIfTrue="1" operator="lessThan">
      <formula>0</formula>
    </cfRule>
  </conditionalFormatting>
  <conditionalFormatting sqref="R846">
    <cfRule type="cellIs" dxfId="728" priority="956" stopIfTrue="1" operator="lessThan">
      <formula>0</formula>
    </cfRule>
  </conditionalFormatting>
  <conditionalFormatting sqref="R858:R867">
    <cfRule type="cellIs" dxfId="727" priority="955" stopIfTrue="1" operator="lessThan">
      <formula>0</formula>
    </cfRule>
  </conditionalFormatting>
  <conditionalFormatting sqref="R884">
    <cfRule type="cellIs" dxfId="726" priority="954" stopIfTrue="1" operator="lessThan">
      <formula>0</formula>
    </cfRule>
  </conditionalFormatting>
  <conditionalFormatting sqref="R887">
    <cfRule type="cellIs" dxfId="725" priority="953" stopIfTrue="1" operator="lessThan">
      <formula>0</formula>
    </cfRule>
  </conditionalFormatting>
  <conditionalFormatting sqref="R835:R836">
    <cfRule type="cellIs" dxfId="724" priority="952" stopIfTrue="1" operator="lessThan">
      <formula>0</formula>
    </cfRule>
  </conditionalFormatting>
  <conditionalFormatting sqref="R842:R845">
    <cfRule type="cellIs" dxfId="723" priority="951" stopIfTrue="1" operator="lessThan">
      <formula>0</formula>
    </cfRule>
  </conditionalFormatting>
  <conditionalFormatting sqref="R848">
    <cfRule type="cellIs" dxfId="722" priority="950" stopIfTrue="1" operator="lessThan">
      <formula>0</formula>
    </cfRule>
  </conditionalFormatting>
  <conditionalFormatting sqref="R868:R875">
    <cfRule type="cellIs" dxfId="721" priority="949" stopIfTrue="1" operator="lessThan">
      <formula>0</formula>
    </cfRule>
  </conditionalFormatting>
  <conditionalFormatting sqref="R885:R886">
    <cfRule type="cellIs" dxfId="720" priority="948" stopIfTrue="1" operator="lessThan">
      <formula>0</formula>
    </cfRule>
  </conditionalFormatting>
  <conditionalFormatting sqref="R53">
    <cfRule type="cellIs" dxfId="719" priority="947" stopIfTrue="1" operator="lessThan">
      <formula>0</formula>
    </cfRule>
  </conditionalFormatting>
  <conditionalFormatting sqref="Q829:T829">
    <cfRule type="cellIs" dxfId="718" priority="670" stopIfTrue="1" operator="lessThan">
      <formula>0</formula>
    </cfRule>
  </conditionalFormatting>
  <conditionalFormatting sqref="V53">
    <cfRule type="cellIs" dxfId="717" priority="147" operator="notEqual">
      <formula>0</formula>
    </cfRule>
  </conditionalFormatting>
  <conditionalFormatting sqref="V54">
    <cfRule type="cellIs" dxfId="716" priority="146" operator="notEqual">
      <formula>0</formula>
    </cfRule>
  </conditionalFormatting>
  <conditionalFormatting sqref="V13">
    <cfRule type="cellIs" dxfId="715" priority="145" operator="notEqual">
      <formula>0</formula>
    </cfRule>
  </conditionalFormatting>
  <conditionalFormatting sqref="V12">
    <cfRule type="cellIs" dxfId="714" priority="144" operator="notEqual">
      <formula>0</formula>
    </cfRule>
  </conditionalFormatting>
  <conditionalFormatting sqref="V10">
    <cfRule type="cellIs" dxfId="713" priority="143" operator="notEqual">
      <formula>0</formula>
    </cfRule>
  </conditionalFormatting>
  <conditionalFormatting sqref="V14:V15">
    <cfRule type="cellIs" dxfId="712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1" priority="141" operator="notEqual">
      <formula>0</formula>
    </cfRule>
  </conditionalFormatting>
  <conditionalFormatting sqref="V60:V61">
    <cfRule type="cellIs" dxfId="710" priority="140" operator="notEqual">
      <formula>0</formula>
    </cfRule>
  </conditionalFormatting>
  <conditionalFormatting sqref="V26">
    <cfRule type="cellIs" dxfId="709" priority="139" operator="notEqual">
      <formula>0</formula>
    </cfRule>
  </conditionalFormatting>
  <conditionalFormatting sqref="V27:V52">
    <cfRule type="cellIs" dxfId="708" priority="138" operator="notEqual">
      <formula>0</formula>
    </cfRule>
  </conditionalFormatting>
  <conditionalFormatting sqref="V56:V59">
    <cfRule type="cellIs" dxfId="707" priority="137" operator="notEqual">
      <formula>0</formula>
    </cfRule>
  </conditionalFormatting>
  <conditionalFormatting sqref="V62:V69">
    <cfRule type="cellIs" dxfId="706" priority="136" operator="notEqual">
      <formula>0</formula>
    </cfRule>
  </conditionalFormatting>
  <conditionalFormatting sqref="V94:V101">
    <cfRule type="cellIs" dxfId="705" priority="135" operator="notEqual">
      <formula>0</formula>
    </cfRule>
  </conditionalFormatting>
  <conditionalFormatting sqref="V114">
    <cfRule type="cellIs" dxfId="704" priority="134" operator="notEqual">
      <formula>0</formula>
    </cfRule>
  </conditionalFormatting>
  <conditionalFormatting sqref="V116">
    <cfRule type="cellIs" dxfId="703" priority="133" operator="notEqual">
      <formula>0</formula>
    </cfRule>
  </conditionalFormatting>
  <conditionalFormatting sqref="V118">
    <cfRule type="cellIs" dxfId="702" priority="132" operator="notEqual">
      <formula>0</formula>
    </cfRule>
  </conditionalFormatting>
  <conditionalFormatting sqref="V122">
    <cfRule type="cellIs" dxfId="701" priority="131" operator="notEqual">
      <formula>0</formula>
    </cfRule>
  </conditionalFormatting>
  <conditionalFormatting sqref="V125">
    <cfRule type="cellIs" dxfId="700" priority="130" operator="notEqual">
      <formula>0</formula>
    </cfRule>
  </conditionalFormatting>
  <conditionalFormatting sqref="V127:V128">
    <cfRule type="cellIs" dxfId="699" priority="129" operator="notEqual">
      <formula>0</formula>
    </cfRule>
  </conditionalFormatting>
  <conditionalFormatting sqref="V130">
    <cfRule type="cellIs" dxfId="698" priority="128" operator="notEqual">
      <formula>0</formula>
    </cfRule>
  </conditionalFormatting>
  <conditionalFormatting sqref="V132:V133">
    <cfRule type="cellIs" dxfId="697" priority="127" operator="notEqual">
      <formula>0</formula>
    </cfRule>
  </conditionalFormatting>
  <conditionalFormatting sqref="V135">
    <cfRule type="cellIs" dxfId="696" priority="126" operator="notEqual">
      <formula>0</formula>
    </cfRule>
  </conditionalFormatting>
  <conditionalFormatting sqref="V139:V140">
    <cfRule type="cellIs" dxfId="695" priority="125" operator="notEqual">
      <formula>0</formula>
    </cfRule>
  </conditionalFormatting>
  <conditionalFormatting sqref="V142:V143">
    <cfRule type="cellIs" dxfId="694" priority="124" operator="notEqual">
      <formula>0</formula>
    </cfRule>
  </conditionalFormatting>
  <conditionalFormatting sqref="V146">
    <cfRule type="cellIs" dxfId="693" priority="123" operator="notEqual">
      <formula>0</formula>
    </cfRule>
  </conditionalFormatting>
  <conditionalFormatting sqref="V150:V151">
    <cfRule type="cellIs" dxfId="692" priority="122" operator="notEqual">
      <formula>0</formula>
    </cfRule>
  </conditionalFormatting>
  <conditionalFormatting sqref="V173:V175">
    <cfRule type="cellIs" dxfId="691" priority="121" operator="notEqual">
      <formula>0</formula>
    </cfRule>
  </conditionalFormatting>
  <conditionalFormatting sqref="V184">
    <cfRule type="cellIs" dxfId="690" priority="120" operator="notEqual">
      <formula>0</formula>
    </cfRule>
  </conditionalFormatting>
  <conditionalFormatting sqref="V186:V187">
    <cfRule type="cellIs" dxfId="689" priority="119" operator="notEqual">
      <formula>0</formula>
    </cfRule>
  </conditionalFormatting>
  <conditionalFormatting sqref="V190">
    <cfRule type="cellIs" dxfId="688" priority="118" operator="notEqual">
      <formula>0</formula>
    </cfRule>
  </conditionalFormatting>
  <conditionalFormatting sqref="V195">
    <cfRule type="cellIs" dxfId="687" priority="117" operator="notEqual">
      <formula>0</formula>
    </cfRule>
  </conditionalFormatting>
  <conditionalFormatting sqref="V197:V198">
    <cfRule type="cellIs" dxfId="686" priority="116" operator="notEqual">
      <formula>0</formula>
    </cfRule>
  </conditionalFormatting>
  <conditionalFormatting sqref="V220">
    <cfRule type="cellIs" dxfId="685" priority="115" operator="notEqual">
      <formula>0</formula>
    </cfRule>
  </conditionalFormatting>
  <conditionalFormatting sqref="V222">
    <cfRule type="cellIs" dxfId="684" priority="114" operator="notEqual">
      <formula>0</formula>
    </cfRule>
  </conditionalFormatting>
  <conditionalFormatting sqref="V224:V228">
    <cfRule type="cellIs" dxfId="683" priority="113" operator="notEqual">
      <formula>0</formula>
    </cfRule>
  </conditionalFormatting>
  <conditionalFormatting sqref="V232:V235">
    <cfRule type="cellIs" dxfId="682" priority="112" operator="notEqual">
      <formula>0</formula>
    </cfRule>
  </conditionalFormatting>
  <conditionalFormatting sqref="V237:V238">
    <cfRule type="cellIs" dxfId="681" priority="111" operator="notEqual">
      <formula>0</formula>
    </cfRule>
  </conditionalFormatting>
  <conditionalFormatting sqref="V241:V244">
    <cfRule type="cellIs" dxfId="680" priority="110" operator="notEqual">
      <formula>0</formula>
    </cfRule>
  </conditionalFormatting>
  <conditionalFormatting sqref="V251:V252">
    <cfRule type="cellIs" dxfId="679" priority="109" operator="notEqual">
      <formula>0</formula>
    </cfRule>
  </conditionalFormatting>
  <conditionalFormatting sqref="V257:V270">
    <cfRule type="cellIs" dxfId="678" priority="108" operator="notEqual">
      <formula>0</formula>
    </cfRule>
  </conditionalFormatting>
  <conditionalFormatting sqref="V284">
    <cfRule type="cellIs" dxfId="677" priority="107" operator="notEqual">
      <formula>0</formula>
    </cfRule>
  </conditionalFormatting>
  <conditionalFormatting sqref="V337">
    <cfRule type="cellIs" dxfId="676" priority="106" operator="notEqual">
      <formula>0</formula>
    </cfRule>
  </conditionalFormatting>
  <conditionalFormatting sqref="V364:V367">
    <cfRule type="cellIs" dxfId="675" priority="105" operator="notEqual">
      <formula>0</formula>
    </cfRule>
  </conditionalFormatting>
  <conditionalFormatting sqref="V380:V382">
    <cfRule type="cellIs" dxfId="674" priority="104" operator="notEqual">
      <formula>0</formula>
    </cfRule>
  </conditionalFormatting>
  <conditionalFormatting sqref="V416">
    <cfRule type="cellIs" dxfId="673" priority="103" operator="notEqual">
      <formula>0</formula>
    </cfRule>
  </conditionalFormatting>
  <conditionalFormatting sqref="V566:V569">
    <cfRule type="cellIs" dxfId="672" priority="102" operator="notEqual">
      <formula>0</formula>
    </cfRule>
  </conditionalFormatting>
  <conditionalFormatting sqref="V571:V572">
    <cfRule type="cellIs" dxfId="671" priority="101" operator="notEqual">
      <formula>0</formula>
    </cfRule>
  </conditionalFormatting>
  <conditionalFormatting sqref="V576:V578">
    <cfRule type="cellIs" dxfId="670" priority="100" operator="notEqual">
      <formula>0</formula>
    </cfRule>
  </conditionalFormatting>
  <conditionalFormatting sqref="V580">
    <cfRule type="cellIs" dxfId="669" priority="99" operator="notEqual">
      <formula>0</formula>
    </cfRule>
  </conditionalFormatting>
  <conditionalFormatting sqref="V835:V836">
    <cfRule type="cellIs" dxfId="668" priority="98" operator="notEqual">
      <formula>0</formula>
    </cfRule>
  </conditionalFormatting>
  <conditionalFormatting sqref="V842:V845">
    <cfRule type="cellIs" dxfId="667" priority="97" operator="notEqual">
      <formula>0</formula>
    </cfRule>
  </conditionalFormatting>
  <conditionalFormatting sqref="V848">
    <cfRule type="cellIs" dxfId="666" priority="96" operator="notEqual">
      <formula>0</formula>
    </cfRule>
  </conditionalFormatting>
  <conditionalFormatting sqref="V868:V875">
    <cfRule type="cellIs" dxfId="665" priority="95" operator="notEqual">
      <formula>0</formula>
    </cfRule>
  </conditionalFormatting>
  <conditionalFormatting sqref="V885:V886">
    <cfRule type="cellIs" dxfId="664" priority="94" operator="notEqual">
      <formula>0</formula>
    </cfRule>
  </conditionalFormatting>
  <conditionalFormatting sqref="V55">
    <cfRule type="cellIs" dxfId="663" priority="93" operator="notEqual">
      <formula>0</formula>
    </cfRule>
  </conditionalFormatting>
  <conditionalFormatting sqref="V71:V89">
    <cfRule type="cellIs" dxfId="662" priority="92" operator="notEqual">
      <formula>0</formula>
    </cfRule>
  </conditionalFormatting>
  <conditionalFormatting sqref="V103:V112">
    <cfRule type="cellIs" dxfId="661" priority="91" operator="notEqual">
      <formula>0</formula>
    </cfRule>
  </conditionalFormatting>
  <conditionalFormatting sqref="V115">
    <cfRule type="cellIs" dxfId="660" priority="90" operator="notEqual">
      <formula>0</formula>
    </cfRule>
  </conditionalFormatting>
  <conditionalFormatting sqref="V119">
    <cfRule type="cellIs" dxfId="659" priority="89" operator="notEqual">
      <formula>0</formula>
    </cfRule>
  </conditionalFormatting>
  <conditionalFormatting sqref="V123:V124">
    <cfRule type="cellIs" dxfId="658" priority="88" operator="notEqual">
      <formula>0</formula>
    </cfRule>
  </conditionalFormatting>
  <conditionalFormatting sqref="V126">
    <cfRule type="cellIs" dxfId="657" priority="87" operator="notEqual">
      <formula>0</formula>
    </cfRule>
  </conditionalFormatting>
  <conditionalFormatting sqref="V129">
    <cfRule type="cellIs" dxfId="656" priority="86" operator="notEqual">
      <formula>0</formula>
    </cfRule>
  </conditionalFormatting>
  <conditionalFormatting sqref="V131">
    <cfRule type="cellIs" dxfId="655" priority="85" operator="notEqual">
      <formula>0</formula>
    </cfRule>
  </conditionalFormatting>
  <conditionalFormatting sqref="V134">
    <cfRule type="cellIs" dxfId="654" priority="84" operator="notEqual">
      <formula>0</formula>
    </cfRule>
  </conditionalFormatting>
  <conditionalFormatting sqref="V136:V138">
    <cfRule type="cellIs" dxfId="653" priority="83" operator="notEqual">
      <formula>0</formula>
    </cfRule>
  </conditionalFormatting>
  <conditionalFormatting sqref="V141">
    <cfRule type="cellIs" dxfId="652" priority="82" operator="notEqual">
      <formula>0</formula>
    </cfRule>
  </conditionalFormatting>
  <conditionalFormatting sqref="V144:V145">
    <cfRule type="cellIs" dxfId="651" priority="81" operator="notEqual">
      <formula>0</formula>
    </cfRule>
  </conditionalFormatting>
  <conditionalFormatting sqref="V147:V149">
    <cfRule type="cellIs" dxfId="650" priority="80" operator="notEqual">
      <formula>0</formula>
    </cfRule>
  </conditionalFormatting>
  <conditionalFormatting sqref="V152:V159">
    <cfRule type="cellIs" dxfId="649" priority="79" operator="notEqual">
      <formula>0</formula>
    </cfRule>
  </conditionalFormatting>
  <conditionalFormatting sqref="V161:V172">
    <cfRule type="cellIs" dxfId="648" priority="78" operator="notEqual">
      <formula>0</formula>
    </cfRule>
  </conditionalFormatting>
  <conditionalFormatting sqref="V185">
    <cfRule type="cellIs" dxfId="647" priority="77" operator="notEqual">
      <formula>0</formula>
    </cfRule>
  </conditionalFormatting>
  <conditionalFormatting sqref="V188:V189">
    <cfRule type="cellIs" dxfId="646" priority="76" operator="notEqual">
      <formula>0</formula>
    </cfRule>
  </conditionalFormatting>
  <conditionalFormatting sqref="V196">
    <cfRule type="cellIs" dxfId="645" priority="75" operator="notEqual">
      <formula>0</formula>
    </cfRule>
  </conditionalFormatting>
  <conditionalFormatting sqref="V219">
    <cfRule type="cellIs" dxfId="644" priority="74" operator="notEqual">
      <formula>0</formula>
    </cfRule>
  </conditionalFormatting>
  <conditionalFormatting sqref="V221">
    <cfRule type="cellIs" dxfId="643" priority="73" operator="notEqual">
      <formula>0</formula>
    </cfRule>
  </conditionalFormatting>
  <conditionalFormatting sqref="V223">
    <cfRule type="cellIs" dxfId="642" priority="72" operator="notEqual">
      <formula>0</formula>
    </cfRule>
  </conditionalFormatting>
  <conditionalFormatting sqref="V229:V231">
    <cfRule type="cellIs" dxfId="641" priority="71" operator="notEqual">
      <formula>0</formula>
    </cfRule>
  </conditionalFormatting>
  <conditionalFormatting sqref="V236">
    <cfRule type="cellIs" dxfId="640" priority="70" operator="notEqual">
      <formula>0</formula>
    </cfRule>
  </conditionalFormatting>
  <conditionalFormatting sqref="V239:V240">
    <cfRule type="cellIs" dxfId="639" priority="69" operator="notEqual">
      <formula>0</formula>
    </cfRule>
  </conditionalFormatting>
  <conditionalFormatting sqref="V245:V250">
    <cfRule type="cellIs" dxfId="638" priority="68" operator="notEqual">
      <formula>0</formula>
    </cfRule>
  </conditionalFormatting>
  <conditionalFormatting sqref="V253:V256">
    <cfRule type="cellIs" dxfId="637" priority="67" operator="notEqual">
      <formula>0</formula>
    </cfRule>
  </conditionalFormatting>
  <conditionalFormatting sqref="V283">
    <cfRule type="cellIs" dxfId="636" priority="66" operator="notEqual">
      <formula>0</formula>
    </cfRule>
  </conditionalFormatting>
  <conditionalFormatting sqref="V286:V288">
    <cfRule type="cellIs" dxfId="635" priority="65" operator="notEqual">
      <formula>0</formula>
    </cfRule>
  </conditionalFormatting>
  <conditionalFormatting sqref="V289:V321">
    <cfRule type="cellIs" dxfId="634" priority="64" operator="notEqual">
      <formula>0</formula>
    </cfRule>
  </conditionalFormatting>
  <conditionalFormatting sqref="V323:V326">
    <cfRule type="cellIs" dxfId="633" priority="63" operator="notEqual">
      <formula>0</formula>
    </cfRule>
  </conditionalFormatting>
  <conditionalFormatting sqref="V331:V336">
    <cfRule type="cellIs" dxfId="632" priority="62" operator="notEqual">
      <formula>0</formula>
    </cfRule>
  </conditionalFormatting>
  <conditionalFormatting sqref="V338:V343">
    <cfRule type="cellIs" dxfId="631" priority="61" operator="notEqual">
      <formula>0</formula>
    </cfRule>
  </conditionalFormatting>
  <conditionalFormatting sqref="V346:V363">
    <cfRule type="cellIs" dxfId="630" priority="60" operator="notEqual">
      <formula>0</formula>
    </cfRule>
  </conditionalFormatting>
  <conditionalFormatting sqref="V368:V379">
    <cfRule type="cellIs" dxfId="629" priority="59" operator="notEqual">
      <formula>0</formula>
    </cfRule>
  </conditionalFormatting>
  <conditionalFormatting sqref="V415">
    <cfRule type="cellIs" dxfId="628" priority="58" operator="notEqual">
      <formula>0</formula>
    </cfRule>
  </conditionalFormatting>
  <conditionalFormatting sqref="V573:V575">
    <cfRule type="cellIs" dxfId="627" priority="57" operator="notEqual">
      <formula>0</formula>
    </cfRule>
  </conditionalFormatting>
  <conditionalFormatting sqref="V579">
    <cfRule type="cellIs" dxfId="626" priority="56" operator="notEqual">
      <formula>0</formula>
    </cfRule>
  </conditionalFormatting>
  <conditionalFormatting sqref="V604">
    <cfRule type="cellIs" dxfId="625" priority="55" operator="notEqual">
      <formula>0</formula>
    </cfRule>
  </conditionalFormatting>
  <conditionalFormatting sqref="V608">
    <cfRule type="cellIs" dxfId="624" priority="54" operator="notEqual">
      <formula>0</formula>
    </cfRule>
  </conditionalFormatting>
  <conditionalFormatting sqref="V832:V834">
    <cfRule type="cellIs" dxfId="623" priority="53" operator="notEqual">
      <formula>0</formula>
    </cfRule>
  </conditionalFormatting>
  <conditionalFormatting sqref="V837:V841">
    <cfRule type="cellIs" dxfId="622" priority="52" operator="notEqual">
      <formula>0</formula>
    </cfRule>
  </conditionalFormatting>
  <conditionalFormatting sqref="V846">
    <cfRule type="cellIs" dxfId="621" priority="51" operator="notEqual">
      <formula>0</formula>
    </cfRule>
  </conditionalFormatting>
  <conditionalFormatting sqref="V858:V867">
    <cfRule type="cellIs" dxfId="620" priority="50" operator="notEqual">
      <formula>0</formula>
    </cfRule>
  </conditionalFormatting>
  <conditionalFormatting sqref="V884">
    <cfRule type="cellIs" dxfId="619" priority="49" operator="notEqual">
      <formula>0</formula>
    </cfRule>
  </conditionalFormatting>
  <conditionalFormatting sqref="V117">
    <cfRule type="cellIs" dxfId="618" priority="48" operator="notEqual">
      <formula>0</formula>
    </cfRule>
  </conditionalFormatting>
  <conditionalFormatting sqref="V847">
    <cfRule type="cellIs" dxfId="617" priority="46" operator="equal">
      <formula>1</formula>
    </cfRule>
    <cfRule type="cellIs" dxfId="616" priority="47" operator="notEqual">
      <formula>0</formula>
    </cfRule>
  </conditionalFormatting>
  <conditionalFormatting sqref="V178">
    <cfRule type="cellIs" dxfId="615" priority="44" operator="equal">
      <formula>1</formula>
    </cfRule>
    <cfRule type="cellIs" dxfId="614" priority="45" operator="notEqual">
      <formula>0</formula>
    </cfRule>
  </conditionalFormatting>
  <conditionalFormatting sqref="V90:V93">
    <cfRule type="cellIs" dxfId="613" priority="42" operator="equal">
      <formula>1</formula>
    </cfRule>
    <cfRule type="cellIs" dxfId="612" priority="43" operator="notEqual">
      <formula>0</formula>
    </cfRule>
  </conditionalFormatting>
  <conditionalFormatting sqref="V16:V25">
    <cfRule type="cellIs" dxfId="611" priority="40" operator="equal">
      <formula>1</formula>
    </cfRule>
    <cfRule type="cellIs" dxfId="610" priority="41" operator="notEqual">
      <formula>0</formula>
    </cfRule>
  </conditionalFormatting>
  <conditionalFormatting sqref="V402:V409">
    <cfRule type="cellIs" dxfId="609" priority="38" operator="equal">
      <formula>1</formula>
    </cfRule>
    <cfRule type="cellIs" dxfId="608" priority="39" operator="notEqual">
      <formula>0</formula>
    </cfRule>
  </conditionalFormatting>
  <conditionalFormatting sqref="V640">
    <cfRule type="cellIs" dxfId="607" priority="36" operator="equal">
      <formula>1</formula>
    </cfRule>
    <cfRule type="cellIs" dxfId="606" priority="37" operator="notEqual">
      <formula>0</formula>
    </cfRule>
  </conditionalFormatting>
  <conditionalFormatting sqref="V667">
    <cfRule type="cellIs" dxfId="605" priority="34" operator="equal">
      <formula>1</formula>
    </cfRule>
    <cfRule type="cellIs" dxfId="604" priority="35" operator="notEqual">
      <formula>0</formula>
    </cfRule>
  </conditionalFormatting>
  <conditionalFormatting sqref="V763">
    <cfRule type="cellIs" dxfId="603" priority="32" operator="equal">
      <formula>1</formula>
    </cfRule>
    <cfRule type="cellIs" dxfId="602" priority="33" operator="notEqual">
      <formula>0</formula>
    </cfRule>
  </conditionalFormatting>
  <conditionalFormatting sqref="S384:T565">
    <cfRule type="cellIs" dxfId="601" priority="8" stopIfTrue="1" operator="lessThan">
      <formula>0</formula>
    </cfRule>
  </conditionalFormatting>
  <conditionalFormatting sqref="Q761:R761">
    <cfRule type="cellIs" dxfId="600" priority="30" stopIfTrue="1" operator="lessThan">
      <formula>0</formula>
    </cfRule>
  </conditionalFormatting>
  <conditionalFormatting sqref="V761">
    <cfRule type="cellIs" dxfId="599" priority="28" operator="equal">
      <formula>1</formula>
    </cfRule>
    <cfRule type="cellIs" dxfId="598" priority="29" operator="notEqual">
      <formula>0</formula>
    </cfRule>
  </conditionalFormatting>
  <conditionalFormatting sqref="H13:L13">
    <cfRule type="cellIs" dxfId="597" priority="27" operator="notEqual">
      <formula>0</formula>
    </cfRule>
  </conditionalFormatting>
  <conditionalFormatting sqref="S115 S113:T113 S117 S383:T383">
    <cfRule type="cellIs" dxfId="596" priority="26" stopIfTrue="1" operator="lessThan">
      <formula>0</formula>
    </cfRule>
  </conditionalFormatting>
  <conditionalFormatting sqref="S570">
    <cfRule type="cellIs" dxfId="595" priority="25" stopIfTrue="1" operator="lessThan">
      <formula>0</formula>
    </cfRule>
  </conditionalFormatting>
  <conditionalFormatting sqref="S570">
    <cfRule type="expression" dxfId="594" priority="24">
      <formula>(#REF!+#REF!)&lt;&gt;(#REF!+#REF!)</formula>
    </cfRule>
  </conditionalFormatting>
  <conditionalFormatting sqref="T570">
    <cfRule type="cellIs" dxfId="593" priority="23" stopIfTrue="1" operator="lessThan">
      <formula>0</formula>
    </cfRule>
  </conditionalFormatting>
  <conditionalFormatting sqref="T570">
    <cfRule type="expression" dxfId="592" priority="22">
      <formula>(#REF!+#REF!)&lt;&gt;(#REF!+#REF!)</formula>
    </cfRule>
  </conditionalFormatting>
  <conditionalFormatting sqref="T115">
    <cfRule type="cellIs" dxfId="591" priority="21" stopIfTrue="1" operator="lessThan">
      <formula>0</formula>
    </cfRule>
  </conditionalFormatting>
  <conditionalFormatting sqref="T115">
    <cfRule type="expression" dxfId="590" priority="18">
      <formula>#REF!&lt;0</formula>
    </cfRule>
    <cfRule type="expression" dxfId="589" priority="19">
      <formula>AND($N$4="12",ABS(#REF!+#REF!)&gt;ABS(#REF!+#REF!),#REF!+#REF!&lt;0)</formula>
    </cfRule>
    <cfRule type="expression" dxfId="588" priority="20">
      <formula>AND(ABS(#REF!+#REF!)&gt;ABS(#REF!+#REF!),#REF!+#REF!&gt;0)</formula>
    </cfRule>
  </conditionalFormatting>
  <conditionalFormatting sqref="T117">
    <cfRule type="cellIs" dxfId="587" priority="17" stopIfTrue="1" operator="lessThan">
      <formula>0</formula>
    </cfRule>
  </conditionalFormatting>
  <conditionalFormatting sqref="T117">
    <cfRule type="expression" dxfId="586" priority="14">
      <formula>#REF!&lt;0</formula>
    </cfRule>
    <cfRule type="expression" dxfId="585" priority="15">
      <formula>AND($N$4="12",ABS(#REF!+#REF!)&gt;ABS(#REF!+#REF!),#REF!+#REF!&lt;0)</formula>
    </cfRule>
    <cfRule type="expression" dxfId="584" priority="16">
      <formula>AND(ABS(#REF!+#REF!)&gt;ABS(#REF!+#REF!),#REF!+#REF!&gt;0)</formula>
    </cfRule>
  </conditionalFormatting>
  <conditionalFormatting sqref="S14:T112">
    <cfRule type="cellIs" dxfId="583" priority="13" stopIfTrue="1" operator="lessThan">
      <formula>0</formula>
    </cfRule>
  </conditionalFormatting>
  <conditionalFormatting sqref="S114:T114">
    <cfRule type="cellIs" dxfId="582" priority="12" stopIfTrue="1" operator="lessThan">
      <formula>0</formula>
    </cfRule>
  </conditionalFormatting>
  <conditionalFormatting sqref="S116:T116">
    <cfRule type="cellIs" dxfId="581" priority="11" stopIfTrue="1" operator="lessThan">
      <formula>0</formula>
    </cfRule>
  </conditionalFormatting>
  <conditionalFormatting sqref="S118:T335 S338:T382">
    <cfRule type="cellIs" dxfId="580" priority="10" stopIfTrue="1" operator="lessThan">
      <formula>0</formula>
    </cfRule>
  </conditionalFormatting>
  <conditionalFormatting sqref="S336:T337">
    <cfRule type="cellIs" dxfId="579" priority="9" stopIfTrue="1" operator="lessThan">
      <formula>0</formula>
    </cfRule>
  </conditionalFormatting>
  <conditionalFormatting sqref="S566:T569">
    <cfRule type="cellIs" dxfId="578" priority="7" stopIfTrue="1" operator="lessThan">
      <formula>0</formula>
    </cfRule>
  </conditionalFormatting>
  <conditionalFormatting sqref="S573:T828">
    <cfRule type="cellIs" dxfId="577" priority="6" stopIfTrue="1" operator="lessThan">
      <formula>0</formula>
    </cfRule>
  </conditionalFormatting>
  <conditionalFormatting sqref="S571:T572">
    <cfRule type="cellIs" dxfId="576" priority="5" stopIfTrue="1" operator="lessThan">
      <formula>0</formula>
    </cfRule>
  </conditionalFormatting>
  <conditionalFormatting sqref="S832:T887">
    <cfRule type="cellIs" dxfId="575" priority="4" stopIfTrue="1" operator="lessThan">
      <formula>0</formula>
    </cfRule>
  </conditionalFormatting>
  <conditionalFormatting sqref="R115 R117">
    <cfRule type="cellIs" dxfId="574" priority="3" stopIfTrue="1" operator="lessThan">
      <formula>0</formula>
    </cfRule>
  </conditionalFormatting>
  <conditionalFormatting sqref="R114">
    <cfRule type="cellIs" dxfId="573" priority="2" stopIfTrue="1" operator="lessThan">
      <formula>0</formula>
    </cfRule>
  </conditionalFormatting>
  <conditionalFormatting sqref="R116">
    <cfRule type="cellIs" dxfId="57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0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0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936</v>
      </c>
      <c r="P8" s="1162"/>
      <c r="Q8" s="1163" t="str">
        <f>+O8</f>
        <v xml:space="preserve">   "Сметки за средства от ЕС" - DES</v>
      </c>
      <c r="R8" s="1162"/>
      <c r="S8" s="1164" t="str">
        <f>+O8</f>
        <v xml:space="preserve">   "Сметки за средства от ЕС" - DES</v>
      </c>
      <c r="T8" s="116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492</v>
      </c>
      <c r="G10" s="199" t="s">
        <v>380</v>
      </c>
      <c r="H10" s="147"/>
      <c r="I10" s="5"/>
      <c r="J10" s="5"/>
      <c r="K10" s="2457">
        <f>+'TRIAL-BALANCE'!K10:L10</f>
        <v>0</v>
      </c>
      <c r="L10" s="2458"/>
      <c r="M10" s="49"/>
      <c r="N10" s="1577">
        <f>+C8</f>
        <v>0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6" t="str">
        <f>+F10</f>
        <v>D E S</v>
      </c>
      <c r="F12" s="2646"/>
      <c r="G12" s="1130" t="s">
        <v>1003</v>
      </c>
      <c r="H12" s="2632" t="str">
        <f>+'TRIAL-BALANCE'!H12:K12</f>
        <v>30 септември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51" t="s">
        <v>202</v>
      </c>
      <c r="O13" s="1152">
        <f t="shared" ref="O13:T13" si="0">+O890</f>
        <v>21431.24</v>
      </c>
      <c r="P13" s="1153">
        <f t="shared" si="0"/>
        <v>21431.24</v>
      </c>
      <c r="Q13" s="1154">
        <f t="shared" si="0"/>
        <v>30017.81</v>
      </c>
      <c r="R13" s="1153">
        <f t="shared" si="0"/>
        <v>30017.81</v>
      </c>
      <c r="S13" s="1154">
        <f t="shared" si="0"/>
        <v>35272.120000000003</v>
      </c>
      <c r="T13" s="1155">
        <f t="shared" si="0"/>
        <v>35272.120000000003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835">
        <v>0</v>
      </c>
      <c r="P15" s="578">
        <v>9977.9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9977.9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56">
        <v>0</v>
      </c>
      <c r="P69" s="59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/>
      <c r="Q114" s="325">
        <v>987.23</v>
      </c>
      <c r="R114" s="324">
        <v>987.23</v>
      </c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/>
      <c r="P115" s="582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73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73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>
        <v>2051.58</v>
      </c>
      <c r="R128" s="324">
        <v>2051.58</v>
      </c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>
        <v>73.45</v>
      </c>
      <c r="R180" s="576">
        <v>73.45</v>
      </c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11453.34</v>
      </c>
      <c r="Q186" s="589"/>
      <c r="R186" s="324"/>
      <c r="S186" s="579">
        <v>0</v>
      </c>
      <c r="T186" s="580">
        <f>+IF(ABS(+O186+Q186)&lt;=ABS(P186+R186),-O186+P186-Q186+R186,0)</f>
        <v>11453.34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>
        <v>123.5</v>
      </c>
      <c r="R191" s="576">
        <v>123.5</v>
      </c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>
        <v>66.75</v>
      </c>
      <c r="R192" s="576">
        <v>66.75</v>
      </c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>
        <v>41.72</v>
      </c>
      <c r="R193" s="576">
        <v>41.72</v>
      </c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/>
      <c r="P202" s="576"/>
      <c r="Q202" s="589">
        <v>2678.32</v>
      </c>
      <c r="R202" s="576">
        <v>2678.32</v>
      </c>
      <c r="S202" s="583">
        <f t="shared" si="25"/>
        <v>0</v>
      </c>
      <c r="T202" s="580">
        <f t="shared" si="24"/>
        <v>0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9977.9</v>
      </c>
      <c r="P217" s="576">
        <v>0</v>
      </c>
      <c r="Q217" s="589">
        <v>185.02</v>
      </c>
      <c r="R217" s="576">
        <v>10154.379999999999</v>
      </c>
      <c r="S217" s="583">
        <f t="shared" si="25"/>
        <v>8.5400000000008731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11453.34</v>
      </c>
      <c r="P274" s="576">
        <v>0</v>
      </c>
      <c r="Q274" s="589"/>
      <c r="R274" s="576"/>
      <c r="S274" s="583">
        <f t="shared" si="31"/>
        <v>11453.34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/>
      <c r="P296" s="9">
        <v>0</v>
      </c>
      <c r="Q296" s="122"/>
      <c r="R296" s="576"/>
      <c r="S296" s="583">
        <f t="shared" si="34"/>
        <v>0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55">
        <v>0</v>
      </c>
      <c r="P382" s="12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90</v>
      </c>
      <c r="R384" s="324"/>
      <c r="S384" s="326">
        <f t="shared" ref="S384:S415" si="47">+IF(ABS(+O384+Q384)&gt;=ABS(P384+R384),+O384-P384+Q384-R384,0)</f>
        <v>90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55</v>
      </c>
      <c r="R385" s="121"/>
      <c r="S385" s="27">
        <f t="shared" si="47"/>
        <v>55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41</v>
      </c>
      <c r="R391" s="121"/>
      <c r="S391" s="27">
        <f t="shared" si="47"/>
        <v>41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676.48</v>
      </c>
      <c r="R393" s="121"/>
      <c r="S393" s="27">
        <f t="shared" si="47"/>
        <v>676.48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6422.95</v>
      </c>
      <c r="R401" s="121"/>
      <c r="S401" s="27">
        <f t="shared" si="47"/>
        <v>6422.95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1112.5</v>
      </c>
      <c r="R413" s="121"/>
      <c r="S413" s="583">
        <f t="shared" si="47"/>
        <v>1112.5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68.59</v>
      </c>
      <c r="R418" s="576"/>
      <c r="S418" s="583">
        <f t="shared" si="51"/>
        <v>68.59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40.049999999999997</v>
      </c>
      <c r="R419" s="576"/>
      <c r="S419" s="583">
        <f t="shared" si="51"/>
        <v>40.049999999999997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23.36</v>
      </c>
      <c r="R421" s="576"/>
      <c r="S421" s="583">
        <f t="shared" si="51"/>
        <v>23.36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>
        <v>4026.58</v>
      </c>
      <c r="R451" s="576"/>
      <c r="S451" s="583">
        <f t="shared" si="51"/>
        <v>4026.58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>
        <v>214.75</v>
      </c>
      <c r="R454" s="576"/>
      <c r="S454" s="583">
        <f t="shared" si="51"/>
        <v>214.75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>
        <v>61.44</v>
      </c>
      <c r="R480" s="576"/>
      <c r="S480" s="583">
        <f t="shared" si="51"/>
        <v>61.44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8">
        <v>0</v>
      </c>
      <c r="P611" s="9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8">
        <v>0</v>
      </c>
      <c r="P612" s="9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8">
        <v>0</v>
      </c>
      <c r="P613" s="9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8">
        <v>0</v>
      </c>
      <c r="P614" s="9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8">
        <v>0</v>
      </c>
      <c r="P615" s="9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8">
        <v>0</v>
      </c>
      <c r="P616" s="9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8">
        <v>0</v>
      </c>
      <c r="P617" s="9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8">
        <v>0</v>
      </c>
      <c r="P618" s="9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8">
        <v>0</v>
      </c>
      <c r="P619" s="9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8">
        <v>0</v>
      </c>
      <c r="P620" s="9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/>
      <c r="S679" s="583">
        <f t="shared" si="65"/>
        <v>0</v>
      </c>
      <c r="T679" s="580">
        <f t="shared" si="66"/>
        <v>0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>
        <v>2863.34</v>
      </c>
      <c r="S747" s="583">
        <f t="shared" si="68"/>
        <v>0</v>
      </c>
      <c r="T747" s="580">
        <f t="shared" si="69"/>
        <v>2863.34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3" t="str">
        <f>+E12</f>
        <v>D E S</v>
      </c>
      <c r="J829" s="2643"/>
      <c r="K829" s="2643"/>
      <c r="L829" s="96"/>
      <c r="M829" s="51"/>
      <c r="N829" s="128" t="s">
        <v>666</v>
      </c>
      <c r="O829" s="858">
        <f t="shared" ref="O829:T829" si="73">+ROUND(+SUM(O14:O828),2)</f>
        <v>21431.24</v>
      </c>
      <c r="P829" s="860">
        <f t="shared" si="73"/>
        <v>21431.24</v>
      </c>
      <c r="Q829" s="859">
        <f t="shared" si="73"/>
        <v>19040.27</v>
      </c>
      <c r="R829" s="860">
        <f t="shared" si="73"/>
        <v>19040.27</v>
      </c>
      <c r="S829" s="861">
        <f t="shared" si="73"/>
        <v>24294.58</v>
      </c>
      <c r="T829" s="862">
        <f t="shared" si="73"/>
        <v>24294.58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4" t="str">
        <f>+I829</f>
        <v>D E S</v>
      </c>
      <c r="J831" s="2644"/>
      <c r="K831" s="2644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75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5488.77</v>
      </c>
      <c r="R850" s="576"/>
      <c r="S850" s="583">
        <f t="shared" si="76"/>
        <v>5488.77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5488.77</v>
      </c>
      <c r="S851" s="583">
        <f t="shared" si="76"/>
        <v>0</v>
      </c>
      <c r="T851" s="580">
        <f t="shared" si="75"/>
        <v>5488.77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5488.77</v>
      </c>
      <c r="S857" s="583">
        <f t="shared" si="76"/>
        <v>0</v>
      </c>
      <c r="T857" s="580">
        <f t="shared" si="75"/>
        <v>5488.77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/>
      <c r="P887" s="839">
        <v>0</v>
      </c>
      <c r="Q887" s="598">
        <v>5488.77</v>
      </c>
      <c r="R887" s="597"/>
      <c r="S887" s="56">
        <f>+IF(ABS(+O887+Q887)&gt;=ABS(P887+R887),+O887-P887+Q887-R887,0)</f>
        <v>5488.77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5" t="str">
        <f>+I831</f>
        <v>D E S</v>
      </c>
      <c r="J888" s="2645"/>
      <c r="K888" s="2645"/>
      <c r="L888" s="105"/>
      <c r="M888" s="51"/>
      <c r="N888" s="117">
        <v>9</v>
      </c>
      <c r="O888" s="858">
        <f t="shared" ref="O888:T888" si="82">+ROUND(SUM(O831:O887),2)</f>
        <v>0</v>
      </c>
      <c r="P888" s="860">
        <f t="shared" si="82"/>
        <v>0</v>
      </c>
      <c r="Q888" s="859">
        <f t="shared" si="82"/>
        <v>10977.54</v>
      </c>
      <c r="R888" s="860">
        <f t="shared" si="82"/>
        <v>10977.54</v>
      </c>
      <c r="S888" s="861">
        <f t="shared" si="82"/>
        <v>10977.54</v>
      </c>
      <c r="T888" s="862">
        <f t="shared" si="82"/>
        <v>10977.54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2" t="str">
        <f>+I888</f>
        <v>D E S</v>
      </c>
      <c r="J890" s="2642"/>
      <c r="K890" s="2642"/>
      <c r="L890" s="287"/>
      <c r="M890" s="51"/>
      <c r="N890" s="288" t="s">
        <v>665</v>
      </c>
      <c r="O890" s="863">
        <f t="shared" ref="O890:T890" si="83">+ROUND(+O829+O888,2)</f>
        <v>21431.24</v>
      </c>
      <c r="P890" s="864">
        <f t="shared" si="83"/>
        <v>21431.24</v>
      </c>
      <c r="Q890" s="865">
        <f t="shared" si="83"/>
        <v>30017.81</v>
      </c>
      <c r="R890" s="864">
        <f t="shared" si="83"/>
        <v>30017.81</v>
      </c>
      <c r="S890" s="865">
        <f t="shared" si="83"/>
        <v>35272.120000000003</v>
      </c>
      <c r="T890" s="866">
        <f t="shared" si="83"/>
        <v>35272.120000000003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ES-TRIAL-BAL-2021'!O149+'DES-TRIAL-BAL-2021'!O154+'DES-TRIAL-BAL-2021'!O155+'DES-TRIAL-BAL-2021'!O229+'DES-TRIAL-BAL-2021'!O230+'DES-TRIAL-BAL-2021'!O231+'DES-TRIAL-BAL-2021'!O249+'DES-TRIAL-BAL-2021'!O250++'DES-TRIAL-BAL-2021'!O306+'DES-TRIAL-BAL-2021'!O307+'DES-TRIAL-BAL-2021'!O308+SUM('DES-TRIAL-BAL-2021'!O331:O335)+'DES-TRIAL-BAL-2021'!O346+'DES-TRIAL-BAL-2021'!O347+SUM('DES-TRIAL-BAL-2021'!O360:'DES-TRIAL-BAL-2021'!O363)+SUM('DES-TRIAL-BAL-2021'!O377:'DES-TRIAL-BAL-2021'!O379)</f>
        <v>0</v>
      </c>
      <c r="Q910" s="263">
        <v>0</v>
      </c>
      <c r="R910" s="264">
        <v>0</v>
      </c>
      <c r="S910" s="563" t="s">
        <v>148</v>
      </c>
      <c r="T910" s="465">
        <f>+'DES-TRIAL-BAL-2021'!S149+'DES-TRIAL-BAL-2021'!S154+'DES-TRIAL-BAL-2021'!S155+'DES-TRIAL-BAL-2021'!S229+'DES-TRIAL-BAL-2021'!S230+'DES-TRIAL-BAL-2021'!S231+'DES-TRIAL-BAL-2021'!S249+'DES-TRIAL-BAL-2021'!S250++'DES-TRIAL-BAL-2021'!S306+'DES-TRIAL-BAL-2021'!S307+'DES-TRIAL-BAL-2021'!S308+SUM('DES-TRIAL-BAL-2021'!S331:S335)+'DES-TRIAL-BAL-2021'!S346+'DES-TRIAL-BAL-2021'!S347+SUM('DES-TRIAL-BAL-2021'!S360:'DES-TRIAL-BAL-2021'!S363)+SUM('DES-TRIAL-BAL-2021'!S377:'DES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+P22-O23+SUM('DES-TRIAL-BAL-2021'!P41:P45)+SUM(P48:P49)+P65+P69+P151+P232+P233+P234+P251+P252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+T22-S23+SUM('DES-TRIAL-BAL-2021'!T41:T45)+SUM(T48:T49)+T65+T69+T151+T232+T233+T234+T251+T252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O6:T7"/>
    <mergeCell ref="E12:F12"/>
    <mergeCell ref="K10:L10"/>
    <mergeCell ref="H12:K12"/>
    <mergeCell ref="G8:H8"/>
    <mergeCell ref="J8:L8"/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</mergeCells>
  <phoneticPr fontId="0" type="noConversion"/>
  <conditionalFormatting sqref="Q898:S899 Q901:S902 Q910:S911 Q904:S905 O907:O908 Q907:S908 O898:O899 O910:O911 O901:O902 O904:O905 O831:P887 O13:T13 O338:P828 O14:P335">
    <cfRule type="cellIs" dxfId="571" priority="2042" stopIfTrue="1" operator="lessThan">
      <formula>0</formula>
    </cfRule>
  </conditionalFormatting>
  <conditionalFormatting sqref="P898:P899 T898:T899 P904:P905 T904:T905 P907:P908 T907:T908 T910:T911 P910:P911">
    <cfRule type="cellIs" dxfId="570" priority="2043" stopIfTrue="1" operator="equal">
      <formula>0</formula>
    </cfRule>
  </conditionalFormatting>
  <conditionalFormatting sqref="M890 O890:U890 M888:U888">
    <cfRule type="cellIs" dxfId="569" priority="2044" stopIfTrue="1" operator="lessThan">
      <formula>0</formula>
    </cfRule>
  </conditionalFormatting>
  <conditionalFormatting sqref="O2 Q2 S2">
    <cfRule type="cellIs" dxfId="568" priority="2045" stopIfTrue="1" operator="equal">
      <formula>"""O K"""</formula>
    </cfRule>
  </conditionalFormatting>
  <conditionalFormatting sqref="T2 T4 R2 R4 P2 P4">
    <cfRule type="cellIs" dxfId="567" priority="2046" stopIfTrue="1" operator="equal">
      <formula>"O K"</formula>
    </cfRule>
    <cfRule type="cellIs" dxfId="566" priority="2047" stopIfTrue="1" operator="notEqual">
      <formula>"O K"</formula>
    </cfRule>
  </conditionalFormatting>
  <conditionalFormatting sqref="E12:F12">
    <cfRule type="cellIs" dxfId="565" priority="2048" stopIfTrue="1" operator="equal">
      <formula>0</formula>
    </cfRule>
  </conditionalFormatting>
  <conditionalFormatting sqref="E2:L2 C6:E6 G6:L6 C8">
    <cfRule type="cellIs" dxfId="564" priority="2050" stopIfTrue="1" operator="equal">
      <formula>0</formula>
    </cfRule>
  </conditionalFormatting>
  <conditionalFormatting sqref="G8:H8">
    <cfRule type="cellIs" dxfId="563" priority="2031" stopIfTrue="1" operator="equal">
      <formula>0</formula>
    </cfRule>
  </conditionalFormatting>
  <conditionalFormatting sqref="J8:L8">
    <cfRule type="cellIs" dxfId="562" priority="2030" stopIfTrue="1" operator="equal">
      <formula>0</formula>
    </cfRule>
  </conditionalFormatting>
  <conditionalFormatting sqref="P901:P902">
    <cfRule type="cellIs" dxfId="561" priority="2029" stopIfTrue="1" operator="equal">
      <formula>0</formula>
    </cfRule>
  </conditionalFormatting>
  <conditionalFormatting sqref="T901:T902">
    <cfRule type="cellIs" dxfId="560" priority="2028" stopIfTrue="1" operator="equal">
      <formula>0</formula>
    </cfRule>
  </conditionalFormatting>
  <conditionalFormatting sqref="N10">
    <cfRule type="cellIs" dxfId="559" priority="2027" stopIfTrue="1" operator="equal">
      <formula>0</formula>
    </cfRule>
  </conditionalFormatting>
  <conditionalFormatting sqref="O336:P337">
    <cfRule type="cellIs" dxfId="558" priority="2026" stopIfTrue="1" operator="lessThan">
      <formula>0</formula>
    </cfRule>
  </conditionalFormatting>
  <conditionalFormatting sqref="E2:L2 C8">
    <cfRule type="cellIs" dxfId="557" priority="2024" stopIfTrue="1" operator="equal">
      <formula>0</formula>
    </cfRule>
  </conditionalFormatting>
  <conditionalFormatting sqref="K10:L10">
    <cfRule type="cellIs" dxfId="556" priority="2023" stopIfTrue="1" operator="equal">
      <formula>0</formula>
    </cfRule>
  </conditionalFormatting>
  <conditionalFormatting sqref="D4">
    <cfRule type="cellIs" dxfId="555" priority="2013" stopIfTrue="1" operator="between">
      <formula>1000000000000</formula>
      <formula>9999999999999990</formula>
    </cfRule>
    <cfRule type="cellIs" dxfId="554" priority="2014" stopIfTrue="1" operator="between">
      <formula>1000000000</formula>
      <formula>999999999999</formula>
    </cfRule>
    <cfRule type="cellIs" dxfId="553" priority="2015" stopIfTrue="1" operator="between">
      <formula>10000</formula>
      <formula>99999999</formula>
    </cfRule>
    <cfRule type="cellIs" dxfId="552" priority="2016" stopIfTrue="1" operator="between">
      <formula>10</formula>
      <formula>9999</formula>
    </cfRule>
  </conditionalFormatting>
  <conditionalFormatting sqref="D4">
    <cfRule type="cellIs" dxfId="551" priority="2012" operator="equal">
      <formula>0</formula>
    </cfRule>
  </conditionalFormatting>
  <conditionalFormatting sqref="A3:C5">
    <cfRule type="cellIs" dxfId="550" priority="2011" operator="equal">
      <formula>"Код на общински разпоредител с бюджет"</formula>
    </cfRule>
  </conditionalFormatting>
  <conditionalFormatting sqref="G4:L4">
    <cfRule type="cellIs" dxfId="549" priority="2005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48" priority="2003" stopIfTrue="1" operator="lessThan">
      <formula>0</formula>
    </cfRule>
  </conditionalFormatting>
  <conditionalFormatting sqref="U829">
    <cfRule type="cellIs" dxfId="547" priority="2004" stopIfTrue="1" operator="lessThan">
      <formula>0</formula>
    </cfRule>
  </conditionalFormatting>
  <conditionalFormatting sqref="Q763:R763">
    <cfRule type="cellIs" dxfId="546" priority="1997" stopIfTrue="1" operator="lessThan">
      <formula>0</formula>
    </cfRule>
  </conditionalFormatting>
  <conditionalFormatting sqref="Q336:Q337">
    <cfRule type="cellIs" dxfId="545" priority="1996" stopIfTrue="1" operator="lessThan">
      <formula>0</formula>
    </cfRule>
  </conditionalFormatting>
  <conditionalFormatting sqref="R56:R59">
    <cfRule type="cellIs" dxfId="544" priority="1984" stopIfTrue="1" operator="lessThan">
      <formula>0</formula>
    </cfRule>
  </conditionalFormatting>
  <conditionalFormatting sqref="R62:R69">
    <cfRule type="cellIs" dxfId="543" priority="1983" stopIfTrue="1" operator="lessThan">
      <formula>0</formula>
    </cfRule>
  </conditionalFormatting>
  <conditionalFormatting sqref="R26:R52">
    <cfRule type="cellIs" dxfId="542" priority="1982" stopIfTrue="1" operator="lessThan">
      <formula>0</formula>
    </cfRule>
  </conditionalFormatting>
  <conditionalFormatting sqref="R71:R89">
    <cfRule type="cellIs" dxfId="541" priority="1981" stopIfTrue="1" operator="lessThan">
      <formula>0</formula>
    </cfRule>
  </conditionalFormatting>
  <conditionalFormatting sqref="R103:R112">
    <cfRule type="cellIs" dxfId="540" priority="1980" stopIfTrue="1" operator="lessThan">
      <formula>0</formula>
    </cfRule>
  </conditionalFormatting>
  <conditionalFormatting sqref="R118">
    <cfRule type="cellIs" dxfId="539" priority="1979" stopIfTrue="1" operator="lessThan">
      <formula>0</formula>
    </cfRule>
  </conditionalFormatting>
  <conditionalFormatting sqref="R122">
    <cfRule type="cellIs" dxfId="538" priority="1978" stopIfTrue="1" operator="lessThan">
      <formula>0</formula>
    </cfRule>
  </conditionalFormatting>
  <conditionalFormatting sqref="R125">
    <cfRule type="cellIs" dxfId="537" priority="1977" stopIfTrue="1" operator="lessThan">
      <formula>0</formula>
    </cfRule>
  </conditionalFormatting>
  <conditionalFormatting sqref="R127">
    <cfRule type="cellIs" dxfId="536" priority="1976" stopIfTrue="1" operator="lessThan">
      <formula>0</formula>
    </cfRule>
  </conditionalFormatting>
  <conditionalFormatting sqref="R128">
    <cfRule type="cellIs" dxfId="535" priority="1975" stopIfTrue="1" operator="lessThan">
      <formula>0</formula>
    </cfRule>
  </conditionalFormatting>
  <conditionalFormatting sqref="R130">
    <cfRule type="cellIs" dxfId="534" priority="1974" stopIfTrue="1" operator="lessThan">
      <formula>0</formula>
    </cfRule>
  </conditionalFormatting>
  <conditionalFormatting sqref="R132">
    <cfRule type="cellIs" dxfId="533" priority="1973" stopIfTrue="1" operator="lessThan">
      <formula>0</formula>
    </cfRule>
  </conditionalFormatting>
  <conditionalFormatting sqref="R133">
    <cfRule type="cellIs" dxfId="532" priority="1972" stopIfTrue="1" operator="lessThan">
      <formula>0</formula>
    </cfRule>
  </conditionalFormatting>
  <conditionalFormatting sqref="R135">
    <cfRule type="cellIs" dxfId="531" priority="1971" stopIfTrue="1" operator="lessThan">
      <formula>0</formula>
    </cfRule>
  </conditionalFormatting>
  <conditionalFormatting sqref="R123">
    <cfRule type="cellIs" dxfId="530" priority="1970" stopIfTrue="1" operator="lessThan">
      <formula>0</formula>
    </cfRule>
  </conditionalFormatting>
  <conditionalFormatting sqref="R124">
    <cfRule type="cellIs" dxfId="529" priority="1969" stopIfTrue="1" operator="lessThan">
      <formula>0</formula>
    </cfRule>
  </conditionalFormatting>
  <conditionalFormatting sqref="R126">
    <cfRule type="cellIs" dxfId="528" priority="1968" stopIfTrue="1" operator="lessThan">
      <formula>0</formula>
    </cfRule>
  </conditionalFormatting>
  <conditionalFormatting sqref="R129">
    <cfRule type="cellIs" dxfId="527" priority="1967" stopIfTrue="1" operator="lessThan">
      <formula>0</formula>
    </cfRule>
  </conditionalFormatting>
  <conditionalFormatting sqref="R131">
    <cfRule type="cellIs" dxfId="526" priority="1966" stopIfTrue="1" operator="lessThan">
      <formula>0</formula>
    </cfRule>
  </conditionalFormatting>
  <conditionalFormatting sqref="R134">
    <cfRule type="cellIs" dxfId="525" priority="1965" stopIfTrue="1" operator="lessThan">
      <formula>0</formula>
    </cfRule>
  </conditionalFormatting>
  <conditionalFormatting sqref="R136:R138">
    <cfRule type="cellIs" dxfId="524" priority="1964" stopIfTrue="1" operator="lessThan">
      <formula>0</formula>
    </cfRule>
  </conditionalFormatting>
  <conditionalFormatting sqref="R141">
    <cfRule type="cellIs" dxfId="523" priority="1963" stopIfTrue="1" operator="lessThan">
      <formula>0</formula>
    </cfRule>
  </conditionalFormatting>
  <conditionalFormatting sqref="R144:R145">
    <cfRule type="cellIs" dxfId="522" priority="1962" stopIfTrue="1" operator="lessThan">
      <formula>0</formula>
    </cfRule>
  </conditionalFormatting>
  <conditionalFormatting sqref="R147:R149">
    <cfRule type="cellIs" dxfId="521" priority="1961" stopIfTrue="1" operator="lessThan">
      <formula>0</formula>
    </cfRule>
  </conditionalFormatting>
  <conditionalFormatting sqref="R139">
    <cfRule type="cellIs" dxfId="520" priority="1959" stopIfTrue="1" operator="lessThan">
      <formula>0</formula>
    </cfRule>
  </conditionalFormatting>
  <conditionalFormatting sqref="R140">
    <cfRule type="cellIs" dxfId="519" priority="1957" stopIfTrue="1" operator="lessThan">
      <formula>0</formula>
    </cfRule>
  </conditionalFormatting>
  <conditionalFormatting sqref="R142">
    <cfRule type="cellIs" dxfId="518" priority="1955" stopIfTrue="1" operator="lessThan">
      <formula>0</formula>
    </cfRule>
  </conditionalFormatting>
  <conditionalFormatting sqref="R143">
    <cfRule type="cellIs" dxfId="517" priority="1953" stopIfTrue="1" operator="lessThan">
      <formula>0</formula>
    </cfRule>
  </conditionalFormatting>
  <conditionalFormatting sqref="R146">
    <cfRule type="cellIs" dxfId="516" priority="1951" stopIfTrue="1" operator="lessThan">
      <formula>0</formula>
    </cfRule>
  </conditionalFormatting>
  <conditionalFormatting sqref="R150">
    <cfRule type="cellIs" dxfId="515" priority="1949" stopIfTrue="1" operator="lessThan">
      <formula>0</formula>
    </cfRule>
  </conditionalFormatting>
  <conditionalFormatting sqref="R151">
    <cfRule type="cellIs" dxfId="514" priority="1947" stopIfTrue="1" operator="lessThan">
      <formula>0</formula>
    </cfRule>
  </conditionalFormatting>
  <conditionalFormatting sqref="R152">
    <cfRule type="cellIs" dxfId="513" priority="1946" stopIfTrue="1" operator="lessThan">
      <formula>0</formula>
    </cfRule>
  </conditionalFormatting>
  <conditionalFormatting sqref="R153">
    <cfRule type="cellIs" dxfId="512" priority="1945" stopIfTrue="1" operator="lessThan">
      <formula>0</formula>
    </cfRule>
  </conditionalFormatting>
  <conditionalFormatting sqref="R154:R159">
    <cfRule type="cellIs" dxfId="511" priority="1944" stopIfTrue="1" operator="lessThan">
      <formula>0</formula>
    </cfRule>
  </conditionalFormatting>
  <conditionalFormatting sqref="R161:R172">
    <cfRule type="cellIs" dxfId="510" priority="1943" stopIfTrue="1" operator="lessThan">
      <formula>0</formula>
    </cfRule>
  </conditionalFormatting>
  <conditionalFormatting sqref="R173:R175">
    <cfRule type="cellIs" dxfId="509" priority="1942" stopIfTrue="1" operator="lessThan">
      <formula>0</formula>
    </cfRule>
  </conditionalFormatting>
  <conditionalFormatting sqref="R184">
    <cfRule type="cellIs" dxfId="508" priority="1940" stopIfTrue="1" operator="lessThan">
      <formula>0</formula>
    </cfRule>
  </conditionalFormatting>
  <conditionalFormatting sqref="R186:R187">
    <cfRule type="cellIs" dxfId="507" priority="1938" stopIfTrue="1" operator="lessThan">
      <formula>0</formula>
    </cfRule>
  </conditionalFormatting>
  <conditionalFormatting sqref="R190">
    <cfRule type="cellIs" dxfId="506" priority="1936" stopIfTrue="1" operator="lessThan">
      <formula>0</formula>
    </cfRule>
  </conditionalFormatting>
  <conditionalFormatting sqref="R185">
    <cfRule type="cellIs" dxfId="505" priority="1935" stopIfTrue="1" operator="lessThan">
      <formula>0</formula>
    </cfRule>
  </conditionalFormatting>
  <conditionalFormatting sqref="R188:R189">
    <cfRule type="cellIs" dxfId="504" priority="1934" stopIfTrue="1" operator="lessThan">
      <formula>0</formula>
    </cfRule>
  </conditionalFormatting>
  <conditionalFormatting sqref="R196">
    <cfRule type="cellIs" dxfId="503" priority="1933" stopIfTrue="1" operator="lessThan">
      <formula>0</formula>
    </cfRule>
  </conditionalFormatting>
  <conditionalFormatting sqref="R195">
    <cfRule type="cellIs" dxfId="502" priority="1931" stopIfTrue="1" operator="lessThan">
      <formula>0</formula>
    </cfRule>
  </conditionalFormatting>
  <conditionalFormatting sqref="R197:R198">
    <cfRule type="cellIs" dxfId="501" priority="1929" stopIfTrue="1" operator="lessThan">
      <formula>0</formula>
    </cfRule>
  </conditionalFormatting>
  <conditionalFormatting sqref="R220">
    <cfRule type="cellIs" dxfId="500" priority="1927" stopIfTrue="1" operator="lessThan">
      <formula>0</formula>
    </cfRule>
  </conditionalFormatting>
  <conditionalFormatting sqref="R222">
    <cfRule type="cellIs" dxfId="499" priority="1925" stopIfTrue="1" operator="lessThan">
      <formula>0</formula>
    </cfRule>
  </conditionalFormatting>
  <conditionalFormatting sqref="R224:R228">
    <cfRule type="cellIs" dxfId="498" priority="1923" stopIfTrue="1" operator="lessThan">
      <formula>0</formula>
    </cfRule>
  </conditionalFormatting>
  <conditionalFormatting sqref="R219">
    <cfRule type="cellIs" dxfId="497" priority="1922" stopIfTrue="1" operator="lessThan">
      <formula>0</formula>
    </cfRule>
  </conditionalFormatting>
  <conditionalFormatting sqref="R221">
    <cfRule type="cellIs" dxfId="496" priority="1921" stopIfTrue="1" operator="lessThan">
      <formula>0</formula>
    </cfRule>
  </conditionalFormatting>
  <conditionalFormatting sqref="R223">
    <cfRule type="cellIs" dxfId="495" priority="1920" stopIfTrue="1" operator="lessThan">
      <formula>0</formula>
    </cfRule>
  </conditionalFormatting>
  <conditionalFormatting sqref="R229:R231">
    <cfRule type="cellIs" dxfId="494" priority="1919" stopIfTrue="1" operator="lessThan">
      <formula>0</formula>
    </cfRule>
  </conditionalFormatting>
  <conditionalFormatting sqref="R232:R235">
    <cfRule type="cellIs" dxfId="493" priority="1917" stopIfTrue="1" operator="lessThan">
      <formula>0</formula>
    </cfRule>
  </conditionalFormatting>
  <conditionalFormatting sqref="R237:R238">
    <cfRule type="cellIs" dxfId="492" priority="1915" stopIfTrue="1" operator="lessThan">
      <formula>0</formula>
    </cfRule>
  </conditionalFormatting>
  <conditionalFormatting sqref="R241:R244">
    <cfRule type="cellIs" dxfId="491" priority="1913" stopIfTrue="1" operator="lessThan">
      <formula>0</formula>
    </cfRule>
  </conditionalFormatting>
  <conditionalFormatting sqref="R251:R252">
    <cfRule type="cellIs" dxfId="490" priority="1911" stopIfTrue="1" operator="lessThan">
      <formula>0</formula>
    </cfRule>
  </conditionalFormatting>
  <conditionalFormatting sqref="R257:R270">
    <cfRule type="cellIs" dxfId="489" priority="1909" stopIfTrue="1" operator="lessThan">
      <formula>0</formula>
    </cfRule>
  </conditionalFormatting>
  <conditionalFormatting sqref="R284">
    <cfRule type="cellIs" dxfId="488" priority="1907" stopIfTrue="1" operator="lessThan">
      <formula>0</formula>
    </cfRule>
  </conditionalFormatting>
  <conditionalFormatting sqref="R236">
    <cfRule type="cellIs" dxfId="487" priority="1906" stopIfTrue="1" operator="lessThan">
      <formula>0</formula>
    </cfRule>
  </conditionalFormatting>
  <conditionalFormatting sqref="R239:R240">
    <cfRule type="cellIs" dxfId="486" priority="1905" stopIfTrue="1" operator="lessThan">
      <formula>0</formula>
    </cfRule>
  </conditionalFormatting>
  <conditionalFormatting sqref="R245:R250">
    <cfRule type="cellIs" dxfId="485" priority="1904" stopIfTrue="1" operator="lessThan">
      <formula>0</formula>
    </cfRule>
  </conditionalFormatting>
  <conditionalFormatting sqref="R253:R256">
    <cfRule type="cellIs" dxfId="484" priority="1903" stopIfTrue="1" operator="lessThan">
      <formula>0</formula>
    </cfRule>
  </conditionalFormatting>
  <conditionalFormatting sqref="R283">
    <cfRule type="cellIs" dxfId="483" priority="1902" stopIfTrue="1" operator="lessThan">
      <formula>0</formula>
    </cfRule>
  </conditionalFormatting>
  <conditionalFormatting sqref="R287:R288">
    <cfRule type="cellIs" dxfId="482" priority="1901" stopIfTrue="1" operator="lessThan">
      <formula>0</formula>
    </cfRule>
  </conditionalFormatting>
  <conditionalFormatting sqref="R291:R292">
    <cfRule type="cellIs" dxfId="481" priority="1900" stopIfTrue="1" operator="lessThan">
      <formula>0</formula>
    </cfRule>
  </conditionalFormatting>
  <conditionalFormatting sqref="R289:R290">
    <cfRule type="cellIs" dxfId="480" priority="1899" stopIfTrue="1" operator="lessThan">
      <formula>0</formula>
    </cfRule>
  </conditionalFormatting>
  <conditionalFormatting sqref="R293">
    <cfRule type="cellIs" dxfId="479" priority="1897" stopIfTrue="1" operator="lessThan">
      <formula>0</formula>
    </cfRule>
  </conditionalFormatting>
  <conditionalFormatting sqref="R294:R321">
    <cfRule type="cellIs" dxfId="478" priority="1895" stopIfTrue="1" operator="lessThan">
      <formula>0</formula>
    </cfRule>
  </conditionalFormatting>
  <conditionalFormatting sqref="R323:R326">
    <cfRule type="cellIs" dxfId="477" priority="1894" stopIfTrue="1" operator="lessThan">
      <formula>0</formula>
    </cfRule>
  </conditionalFormatting>
  <conditionalFormatting sqref="R331:R336">
    <cfRule type="cellIs" dxfId="476" priority="1893" stopIfTrue="1" operator="lessThan">
      <formula>0</formula>
    </cfRule>
  </conditionalFormatting>
  <conditionalFormatting sqref="R338:R343">
    <cfRule type="cellIs" dxfId="475" priority="1892" stopIfTrue="1" operator="lessThan">
      <formula>0</formula>
    </cfRule>
  </conditionalFormatting>
  <conditionalFormatting sqref="R346:R363">
    <cfRule type="cellIs" dxfId="474" priority="1891" stopIfTrue="1" operator="lessThan">
      <formula>0</formula>
    </cfRule>
  </conditionalFormatting>
  <conditionalFormatting sqref="R368:R379">
    <cfRule type="cellIs" dxfId="473" priority="1890" stopIfTrue="1" operator="lessThan">
      <formula>0</formula>
    </cfRule>
  </conditionalFormatting>
  <conditionalFormatting sqref="R337">
    <cfRule type="cellIs" dxfId="472" priority="1888" stopIfTrue="1" operator="lessThan">
      <formula>0</formula>
    </cfRule>
  </conditionalFormatting>
  <conditionalFormatting sqref="R364:R367">
    <cfRule type="cellIs" dxfId="471" priority="1886" stopIfTrue="1" operator="lessThan">
      <formula>0</formula>
    </cfRule>
  </conditionalFormatting>
  <conditionalFormatting sqref="R380:R382">
    <cfRule type="cellIs" dxfId="470" priority="1884" stopIfTrue="1" operator="lessThan">
      <formula>0</formula>
    </cfRule>
  </conditionalFormatting>
  <conditionalFormatting sqref="R415">
    <cfRule type="cellIs" dxfId="469" priority="1883" stopIfTrue="1" operator="lessThan">
      <formula>0</formula>
    </cfRule>
  </conditionalFormatting>
  <conditionalFormatting sqref="R416">
    <cfRule type="cellIs" dxfId="468" priority="1881" stopIfTrue="1" operator="lessThan">
      <formula>0</formula>
    </cfRule>
  </conditionalFormatting>
  <conditionalFormatting sqref="R566:R569">
    <cfRule type="cellIs" dxfId="467" priority="1875" stopIfTrue="1" operator="lessThan">
      <formula>0</formula>
    </cfRule>
  </conditionalFormatting>
  <conditionalFormatting sqref="R571:R572">
    <cfRule type="cellIs" dxfId="466" priority="1873" stopIfTrue="1" operator="lessThan">
      <formula>0</formula>
    </cfRule>
  </conditionalFormatting>
  <conditionalFormatting sqref="R576:R578">
    <cfRule type="cellIs" dxfId="465" priority="1871" stopIfTrue="1" operator="lessThan">
      <formula>0</formula>
    </cfRule>
  </conditionalFormatting>
  <conditionalFormatting sqref="R580">
    <cfRule type="cellIs" dxfId="464" priority="1869" stopIfTrue="1" operator="lessThan">
      <formula>0</formula>
    </cfRule>
  </conditionalFormatting>
  <conditionalFormatting sqref="R573:R575">
    <cfRule type="cellIs" dxfId="463" priority="1868" stopIfTrue="1" operator="lessThan">
      <formula>0</formula>
    </cfRule>
  </conditionalFormatting>
  <conditionalFormatting sqref="R579">
    <cfRule type="cellIs" dxfId="462" priority="1867" stopIfTrue="1" operator="lessThan">
      <formula>0</formula>
    </cfRule>
  </conditionalFormatting>
  <conditionalFormatting sqref="R604">
    <cfRule type="cellIs" dxfId="461" priority="1866" stopIfTrue="1" operator="lessThan">
      <formula>0</formula>
    </cfRule>
  </conditionalFormatting>
  <conditionalFormatting sqref="R608">
    <cfRule type="cellIs" dxfId="460" priority="1865" stopIfTrue="1" operator="lessThan">
      <formula>0</formula>
    </cfRule>
  </conditionalFormatting>
  <conditionalFormatting sqref="R832:R834">
    <cfRule type="cellIs" dxfId="459" priority="1864" stopIfTrue="1" operator="lessThan">
      <formula>0</formula>
    </cfRule>
  </conditionalFormatting>
  <conditionalFormatting sqref="R837:R841">
    <cfRule type="cellIs" dxfId="458" priority="1863" stopIfTrue="1" operator="lessThan">
      <formula>0</formula>
    </cfRule>
  </conditionalFormatting>
  <conditionalFormatting sqref="R846">
    <cfRule type="cellIs" dxfId="457" priority="1862" stopIfTrue="1" operator="lessThan">
      <formula>0</formula>
    </cfRule>
  </conditionalFormatting>
  <conditionalFormatting sqref="R858:R867">
    <cfRule type="cellIs" dxfId="456" priority="1861" stopIfTrue="1" operator="lessThan">
      <formula>0</formula>
    </cfRule>
  </conditionalFormatting>
  <conditionalFormatting sqref="R884">
    <cfRule type="cellIs" dxfId="455" priority="1860" stopIfTrue="1" operator="lessThan">
      <formula>0</formula>
    </cfRule>
  </conditionalFormatting>
  <conditionalFormatting sqref="R887">
    <cfRule type="cellIs" dxfId="454" priority="1859" stopIfTrue="1" operator="lessThan">
      <formula>0</formula>
    </cfRule>
  </conditionalFormatting>
  <conditionalFormatting sqref="R835:R836">
    <cfRule type="cellIs" dxfId="453" priority="1858" stopIfTrue="1" operator="lessThan">
      <formula>0</formula>
    </cfRule>
  </conditionalFormatting>
  <conditionalFormatting sqref="R842:R845">
    <cfRule type="cellIs" dxfId="452" priority="1857" stopIfTrue="1" operator="lessThan">
      <formula>0</formula>
    </cfRule>
  </conditionalFormatting>
  <conditionalFormatting sqref="R848">
    <cfRule type="cellIs" dxfId="451" priority="1856" stopIfTrue="1" operator="lessThan">
      <formula>0</formula>
    </cfRule>
  </conditionalFormatting>
  <conditionalFormatting sqref="R868:R875">
    <cfRule type="cellIs" dxfId="450" priority="1855" stopIfTrue="1" operator="lessThan">
      <formula>0</formula>
    </cfRule>
  </conditionalFormatting>
  <conditionalFormatting sqref="R885:R886">
    <cfRule type="cellIs" dxfId="449" priority="1854" stopIfTrue="1" operator="lessThan">
      <formula>0</formula>
    </cfRule>
  </conditionalFormatting>
  <conditionalFormatting sqref="R53">
    <cfRule type="cellIs" dxfId="448" priority="1853" stopIfTrue="1" operator="lessThan">
      <formula>0</formula>
    </cfRule>
  </conditionalFormatting>
  <conditionalFormatting sqref="O829:T829">
    <cfRule type="cellIs" dxfId="447" priority="1575" stopIfTrue="1" operator="lessThan">
      <formula>0</formula>
    </cfRule>
  </conditionalFormatting>
  <conditionalFormatting sqref="V53">
    <cfRule type="cellIs" dxfId="446" priority="147" operator="notEqual">
      <formula>0</formula>
    </cfRule>
  </conditionalFormatting>
  <conditionalFormatting sqref="V54">
    <cfRule type="cellIs" dxfId="445" priority="146" operator="notEqual">
      <formula>0</formula>
    </cfRule>
  </conditionalFormatting>
  <conditionalFormatting sqref="V13">
    <cfRule type="cellIs" dxfId="444" priority="145" operator="notEqual">
      <formula>0</formula>
    </cfRule>
  </conditionalFormatting>
  <conditionalFormatting sqref="V12">
    <cfRule type="cellIs" dxfId="443" priority="144" operator="notEqual">
      <formula>0</formula>
    </cfRule>
  </conditionalFormatting>
  <conditionalFormatting sqref="V10">
    <cfRule type="cellIs" dxfId="442" priority="143" operator="notEqual">
      <formula>0</formula>
    </cfRule>
  </conditionalFormatting>
  <conditionalFormatting sqref="V14:V15">
    <cfRule type="cellIs" dxfId="441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0" priority="141" operator="notEqual">
      <formula>0</formula>
    </cfRule>
  </conditionalFormatting>
  <conditionalFormatting sqref="V60:V61">
    <cfRule type="cellIs" dxfId="439" priority="140" operator="notEqual">
      <formula>0</formula>
    </cfRule>
  </conditionalFormatting>
  <conditionalFormatting sqref="V26">
    <cfRule type="cellIs" dxfId="438" priority="139" operator="notEqual">
      <formula>0</formula>
    </cfRule>
  </conditionalFormatting>
  <conditionalFormatting sqref="V27:V52">
    <cfRule type="cellIs" dxfId="437" priority="138" operator="notEqual">
      <formula>0</formula>
    </cfRule>
  </conditionalFormatting>
  <conditionalFormatting sqref="V56:V59">
    <cfRule type="cellIs" dxfId="436" priority="137" operator="notEqual">
      <formula>0</formula>
    </cfRule>
  </conditionalFormatting>
  <conditionalFormatting sqref="V62:V69">
    <cfRule type="cellIs" dxfId="435" priority="136" operator="notEqual">
      <formula>0</formula>
    </cfRule>
  </conditionalFormatting>
  <conditionalFormatting sqref="V94:V101">
    <cfRule type="cellIs" dxfId="434" priority="135" operator="notEqual">
      <formula>0</formula>
    </cfRule>
  </conditionalFormatting>
  <conditionalFormatting sqref="V114">
    <cfRule type="cellIs" dxfId="433" priority="134" operator="notEqual">
      <formula>0</formula>
    </cfRule>
  </conditionalFormatting>
  <conditionalFormatting sqref="V116">
    <cfRule type="cellIs" dxfId="432" priority="133" operator="notEqual">
      <formula>0</formula>
    </cfRule>
  </conditionalFormatting>
  <conditionalFormatting sqref="V118">
    <cfRule type="cellIs" dxfId="431" priority="132" operator="notEqual">
      <formula>0</formula>
    </cfRule>
  </conditionalFormatting>
  <conditionalFormatting sqref="V122">
    <cfRule type="cellIs" dxfId="430" priority="131" operator="notEqual">
      <formula>0</formula>
    </cfRule>
  </conditionalFormatting>
  <conditionalFormatting sqref="V125">
    <cfRule type="cellIs" dxfId="429" priority="130" operator="notEqual">
      <formula>0</formula>
    </cfRule>
  </conditionalFormatting>
  <conditionalFormatting sqref="V127:V128">
    <cfRule type="cellIs" dxfId="428" priority="129" operator="notEqual">
      <formula>0</formula>
    </cfRule>
  </conditionalFormatting>
  <conditionalFormatting sqref="V130">
    <cfRule type="cellIs" dxfId="427" priority="128" operator="notEqual">
      <formula>0</formula>
    </cfRule>
  </conditionalFormatting>
  <conditionalFormatting sqref="V132:V133">
    <cfRule type="cellIs" dxfId="426" priority="127" operator="notEqual">
      <formula>0</formula>
    </cfRule>
  </conditionalFormatting>
  <conditionalFormatting sqref="V135">
    <cfRule type="cellIs" dxfId="425" priority="126" operator="notEqual">
      <formula>0</formula>
    </cfRule>
  </conditionalFormatting>
  <conditionalFormatting sqref="V139:V140">
    <cfRule type="cellIs" dxfId="424" priority="125" operator="notEqual">
      <formula>0</formula>
    </cfRule>
  </conditionalFormatting>
  <conditionalFormatting sqref="V142:V143">
    <cfRule type="cellIs" dxfId="423" priority="124" operator="notEqual">
      <formula>0</formula>
    </cfRule>
  </conditionalFormatting>
  <conditionalFormatting sqref="V146">
    <cfRule type="cellIs" dxfId="422" priority="123" operator="notEqual">
      <formula>0</formula>
    </cfRule>
  </conditionalFormatting>
  <conditionalFormatting sqref="V150:V151">
    <cfRule type="cellIs" dxfId="421" priority="122" operator="notEqual">
      <formula>0</formula>
    </cfRule>
  </conditionalFormatting>
  <conditionalFormatting sqref="V173:V175">
    <cfRule type="cellIs" dxfId="420" priority="121" operator="notEqual">
      <formula>0</formula>
    </cfRule>
  </conditionalFormatting>
  <conditionalFormatting sqref="V184">
    <cfRule type="cellIs" dxfId="419" priority="120" operator="notEqual">
      <formula>0</formula>
    </cfRule>
  </conditionalFormatting>
  <conditionalFormatting sqref="V186:V187">
    <cfRule type="cellIs" dxfId="418" priority="119" operator="notEqual">
      <formula>0</formula>
    </cfRule>
  </conditionalFormatting>
  <conditionalFormatting sqref="V190">
    <cfRule type="cellIs" dxfId="417" priority="118" operator="notEqual">
      <formula>0</formula>
    </cfRule>
  </conditionalFormatting>
  <conditionalFormatting sqref="V195">
    <cfRule type="cellIs" dxfId="416" priority="117" operator="notEqual">
      <formula>0</formula>
    </cfRule>
  </conditionalFormatting>
  <conditionalFormatting sqref="V197:V198">
    <cfRule type="cellIs" dxfId="415" priority="116" operator="notEqual">
      <formula>0</formula>
    </cfRule>
  </conditionalFormatting>
  <conditionalFormatting sqref="V220">
    <cfRule type="cellIs" dxfId="414" priority="115" operator="notEqual">
      <formula>0</formula>
    </cfRule>
  </conditionalFormatting>
  <conditionalFormatting sqref="V222">
    <cfRule type="cellIs" dxfId="413" priority="114" operator="notEqual">
      <formula>0</formula>
    </cfRule>
  </conditionalFormatting>
  <conditionalFormatting sqref="V224:V228">
    <cfRule type="cellIs" dxfId="412" priority="113" operator="notEqual">
      <formula>0</formula>
    </cfRule>
  </conditionalFormatting>
  <conditionalFormatting sqref="V232:V235">
    <cfRule type="cellIs" dxfId="411" priority="112" operator="notEqual">
      <formula>0</formula>
    </cfRule>
  </conditionalFormatting>
  <conditionalFormatting sqref="V237:V238">
    <cfRule type="cellIs" dxfId="410" priority="111" operator="notEqual">
      <formula>0</formula>
    </cfRule>
  </conditionalFormatting>
  <conditionalFormatting sqref="V241:V244">
    <cfRule type="cellIs" dxfId="409" priority="110" operator="notEqual">
      <formula>0</formula>
    </cfRule>
  </conditionalFormatting>
  <conditionalFormatting sqref="V251:V252">
    <cfRule type="cellIs" dxfId="408" priority="109" operator="notEqual">
      <formula>0</formula>
    </cfRule>
  </conditionalFormatting>
  <conditionalFormatting sqref="V257:V270">
    <cfRule type="cellIs" dxfId="407" priority="108" operator="notEqual">
      <formula>0</formula>
    </cfRule>
  </conditionalFormatting>
  <conditionalFormatting sqref="V284">
    <cfRule type="cellIs" dxfId="406" priority="107" operator="notEqual">
      <formula>0</formula>
    </cfRule>
  </conditionalFormatting>
  <conditionalFormatting sqref="V337">
    <cfRule type="cellIs" dxfId="405" priority="106" operator="notEqual">
      <formula>0</formula>
    </cfRule>
  </conditionalFormatting>
  <conditionalFormatting sqref="V364:V367">
    <cfRule type="cellIs" dxfId="404" priority="105" operator="notEqual">
      <formula>0</formula>
    </cfRule>
  </conditionalFormatting>
  <conditionalFormatting sqref="V380:V382">
    <cfRule type="cellIs" dxfId="403" priority="104" operator="notEqual">
      <formula>0</formula>
    </cfRule>
  </conditionalFormatting>
  <conditionalFormatting sqref="V416">
    <cfRule type="cellIs" dxfId="402" priority="103" operator="notEqual">
      <formula>0</formula>
    </cfRule>
  </conditionalFormatting>
  <conditionalFormatting sqref="V566:V569">
    <cfRule type="cellIs" dxfId="401" priority="102" operator="notEqual">
      <formula>0</formula>
    </cfRule>
  </conditionalFormatting>
  <conditionalFormatting sqref="V571:V572">
    <cfRule type="cellIs" dxfId="400" priority="101" operator="notEqual">
      <formula>0</formula>
    </cfRule>
  </conditionalFormatting>
  <conditionalFormatting sqref="V576:V578">
    <cfRule type="cellIs" dxfId="399" priority="100" operator="notEqual">
      <formula>0</formula>
    </cfRule>
  </conditionalFormatting>
  <conditionalFormatting sqref="V580">
    <cfRule type="cellIs" dxfId="398" priority="99" operator="notEqual">
      <formula>0</formula>
    </cfRule>
  </conditionalFormatting>
  <conditionalFormatting sqref="V835:V836">
    <cfRule type="cellIs" dxfId="397" priority="98" operator="notEqual">
      <formula>0</formula>
    </cfRule>
  </conditionalFormatting>
  <conditionalFormatting sqref="V842:V845">
    <cfRule type="cellIs" dxfId="396" priority="97" operator="notEqual">
      <formula>0</formula>
    </cfRule>
  </conditionalFormatting>
  <conditionalFormatting sqref="V848">
    <cfRule type="cellIs" dxfId="395" priority="96" operator="notEqual">
      <formula>0</formula>
    </cfRule>
  </conditionalFormatting>
  <conditionalFormatting sqref="V868:V875">
    <cfRule type="cellIs" dxfId="394" priority="95" operator="notEqual">
      <formula>0</formula>
    </cfRule>
  </conditionalFormatting>
  <conditionalFormatting sqref="V885:V886">
    <cfRule type="cellIs" dxfId="393" priority="94" operator="notEqual">
      <formula>0</formula>
    </cfRule>
  </conditionalFormatting>
  <conditionalFormatting sqref="V55">
    <cfRule type="cellIs" dxfId="392" priority="93" operator="notEqual">
      <formula>0</formula>
    </cfRule>
  </conditionalFormatting>
  <conditionalFormatting sqref="V71:V89">
    <cfRule type="cellIs" dxfId="391" priority="92" operator="notEqual">
      <formula>0</formula>
    </cfRule>
  </conditionalFormatting>
  <conditionalFormatting sqref="V103:V112">
    <cfRule type="cellIs" dxfId="390" priority="91" operator="notEqual">
      <formula>0</formula>
    </cfRule>
  </conditionalFormatting>
  <conditionalFormatting sqref="V115">
    <cfRule type="cellIs" dxfId="389" priority="90" operator="notEqual">
      <formula>0</formula>
    </cfRule>
  </conditionalFormatting>
  <conditionalFormatting sqref="V119">
    <cfRule type="cellIs" dxfId="388" priority="89" operator="notEqual">
      <formula>0</formula>
    </cfRule>
  </conditionalFormatting>
  <conditionalFormatting sqref="V123:V124">
    <cfRule type="cellIs" dxfId="387" priority="88" operator="notEqual">
      <formula>0</formula>
    </cfRule>
  </conditionalFormatting>
  <conditionalFormatting sqref="V126">
    <cfRule type="cellIs" dxfId="386" priority="87" operator="notEqual">
      <formula>0</formula>
    </cfRule>
  </conditionalFormatting>
  <conditionalFormatting sqref="V129">
    <cfRule type="cellIs" dxfId="385" priority="86" operator="notEqual">
      <formula>0</formula>
    </cfRule>
  </conditionalFormatting>
  <conditionalFormatting sqref="V131">
    <cfRule type="cellIs" dxfId="384" priority="85" operator="notEqual">
      <formula>0</formula>
    </cfRule>
  </conditionalFormatting>
  <conditionalFormatting sqref="V134">
    <cfRule type="cellIs" dxfId="383" priority="84" operator="notEqual">
      <formula>0</formula>
    </cfRule>
  </conditionalFormatting>
  <conditionalFormatting sqref="V136:V138">
    <cfRule type="cellIs" dxfId="382" priority="83" operator="notEqual">
      <formula>0</formula>
    </cfRule>
  </conditionalFormatting>
  <conditionalFormatting sqref="V141">
    <cfRule type="cellIs" dxfId="381" priority="82" operator="notEqual">
      <formula>0</formula>
    </cfRule>
  </conditionalFormatting>
  <conditionalFormatting sqref="V144:V145">
    <cfRule type="cellIs" dxfId="380" priority="81" operator="notEqual">
      <formula>0</formula>
    </cfRule>
  </conditionalFormatting>
  <conditionalFormatting sqref="V147:V149">
    <cfRule type="cellIs" dxfId="379" priority="80" operator="notEqual">
      <formula>0</formula>
    </cfRule>
  </conditionalFormatting>
  <conditionalFormatting sqref="V152:V159">
    <cfRule type="cellIs" dxfId="378" priority="79" operator="notEqual">
      <formula>0</formula>
    </cfRule>
  </conditionalFormatting>
  <conditionalFormatting sqref="V161:V172">
    <cfRule type="cellIs" dxfId="377" priority="78" operator="notEqual">
      <formula>0</formula>
    </cfRule>
  </conditionalFormatting>
  <conditionalFormatting sqref="V185">
    <cfRule type="cellIs" dxfId="376" priority="77" operator="notEqual">
      <formula>0</formula>
    </cfRule>
  </conditionalFormatting>
  <conditionalFormatting sqref="V188:V189">
    <cfRule type="cellIs" dxfId="375" priority="76" operator="notEqual">
      <formula>0</formula>
    </cfRule>
  </conditionalFormatting>
  <conditionalFormatting sqref="V196">
    <cfRule type="cellIs" dxfId="374" priority="75" operator="notEqual">
      <formula>0</formula>
    </cfRule>
  </conditionalFormatting>
  <conditionalFormatting sqref="V219">
    <cfRule type="cellIs" dxfId="373" priority="74" operator="notEqual">
      <formula>0</formula>
    </cfRule>
  </conditionalFormatting>
  <conditionalFormatting sqref="V221">
    <cfRule type="cellIs" dxfId="372" priority="73" operator="notEqual">
      <formula>0</formula>
    </cfRule>
  </conditionalFormatting>
  <conditionalFormatting sqref="V223">
    <cfRule type="cellIs" dxfId="371" priority="72" operator="notEqual">
      <formula>0</formula>
    </cfRule>
  </conditionalFormatting>
  <conditionalFormatting sqref="V229:V231">
    <cfRule type="cellIs" dxfId="370" priority="71" operator="notEqual">
      <formula>0</formula>
    </cfRule>
  </conditionalFormatting>
  <conditionalFormatting sqref="V236">
    <cfRule type="cellIs" dxfId="369" priority="70" operator="notEqual">
      <formula>0</formula>
    </cfRule>
  </conditionalFormatting>
  <conditionalFormatting sqref="V239:V240">
    <cfRule type="cellIs" dxfId="368" priority="69" operator="notEqual">
      <formula>0</formula>
    </cfRule>
  </conditionalFormatting>
  <conditionalFormatting sqref="V245:V250">
    <cfRule type="cellIs" dxfId="367" priority="68" operator="notEqual">
      <formula>0</formula>
    </cfRule>
  </conditionalFormatting>
  <conditionalFormatting sqref="V253:V256">
    <cfRule type="cellIs" dxfId="366" priority="67" operator="notEqual">
      <formula>0</formula>
    </cfRule>
  </conditionalFormatting>
  <conditionalFormatting sqref="V283">
    <cfRule type="cellIs" dxfId="365" priority="66" operator="notEqual">
      <formula>0</formula>
    </cfRule>
  </conditionalFormatting>
  <conditionalFormatting sqref="V286:V288">
    <cfRule type="cellIs" dxfId="364" priority="65" operator="notEqual">
      <formula>0</formula>
    </cfRule>
  </conditionalFormatting>
  <conditionalFormatting sqref="V289:V321">
    <cfRule type="cellIs" dxfId="363" priority="64" operator="notEqual">
      <formula>0</formula>
    </cfRule>
  </conditionalFormatting>
  <conditionalFormatting sqref="V323:V326">
    <cfRule type="cellIs" dxfId="362" priority="63" operator="notEqual">
      <formula>0</formula>
    </cfRule>
  </conditionalFormatting>
  <conditionalFormatting sqref="V331:V336">
    <cfRule type="cellIs" dxfId="361" priority="62" operator="notEqual">
      <formula>0</formula>
    </cfRule>
  </conditionalFormatting>
  <conditionalFormatting sqref="V338:V343">
    <cfRule type="cellIs" dxfId="360" priority="61" operator="notEqual">
      <formula>0</formula>
    </cfRule>
  </conditionalFormatting>
  <conditionalFormatting sqref="V346:V363">
    <cfRule type="cellIs" dxfId="359" priority="60" operator="notEqual">
      <formula>0</formula>
    </cfRule>
  </conditionalFormatting>
  <conditionalFormatting sqref="V368:V379">
    <cfRule type="cellIs" dxfId="358" priority="59" operator="notEqual">
      <formula>0</formula>
    </cfRule>
  </conditionalFormatting>
  <conditionalFormatting sqref="V415">
    <cfRule type="cellIs" dxfId="357" priority="58" operator="notEqual">
      <formula>0</formula>
    </cfRule>
  </conditionalFormatting>
  <conditionalFormatting sqref="V573:V575">
    <cfRule type="cellIs" dxfId="356" priority="57" operator="notEqual">
      <formula>0</formula>
    </cfRule>
  </conditionalFormatting>
  <conditionalFormatting sqref="V579">
    <cfRule type="cellIs" dxfId="355" priority="56" operator="notEqual">
      <formula>0</formula>
    </cfRule>
  </conditionalFormatting>
  <conditionalFormatting sqref="V604">
    <cfRule type="cellIs" dxfId="354" priority="55" operator="notEqual">
      <formula>0</formula>
    </cfRule>
  </conditionalFormatting>
  <conditionalFormatting sqref="V608">
    <cfRule type="cellIs" dxfId="353" priority="54" operator="notEqual">
      <formula>0</formula>
    </cfRule>
  </conditionalFormatting>
  <conditionalFormatting sqref="V832:V834">
    <cfRule type="cellIs" dxfId="352" priority="53" operator="notEqual">
      <formula>0</formula>
    </cfRule>
  </conditionalFormatting>
  <conditionalFormatting sqref="V837:V841">
    <cfRule type="cellIs" dxfId="351" priority="52" operator="notEqual">
      <formula>0</formula>
    </cfRule>
  </conditionalFormatting>
  <conditionalFormatting sqref="V846">
    <cfRule type="cellIs" dxfId="350" priority="51" operator="notEqual">
      <formula>0</formula>
    </cfRule>
  </conditionalFormatting>
  <conditionalFormatting sqref="V858:V867">
    <cfRule type="cellIs" dxfId="349" priority="50" operator="notEqual">
      <formula>0</formula>
    </cfRule>
  </conditionalFormatting>
  <conditionalFormatting sqref="V884">
    <cfRule type="cellIs" dxfId="348" priority="49" operator="notEqual">
      <formula>0</formula>
    </cfRule>
  </conditionalFormatting>
  <conditionalFormatting sqref="V117">
    <cfRule type="cellIs" dxfId="347" priority="48" operator="notEqual">
      <formula>0</formula>
    </cfRule>
  </conditionalFormatting>
  <conditionalFormatting sqref="V847">
    <cfRule type="cellIs" dxfId="346" priority="46" operator="equal">
      <formula>1</formula>
    </cfRule>
    <cfRule type="cellIs" dxfId="345" priority="47" operator="notEqual">
      <formula>0</formula>
    </cfRule>
  </conditionalFormatting>
  <conditionalFormatting sqref="V178">
    <cfRule type="cellIs" dxfId="344" priority="44" operator="equal">
      <formula>1</formula>
    </cfRule>
    <cfRule type="cellIs" dxfId="343" priority="45" operator="notEqual">
      <formula>0</formula>
    </cfRule>
  </conditionalFormatting>
  <conditionalFormatting sqref="V90:V93">
    <cfRule type="cellIs" dxfId="342" priority="42" operator="equal">
      <formula>1</formula>
    </cfRule>
    <cfRule type="cellIs" dxfId="341" priority="43" operator="notEqual">
      <formula>0</formula>
    </cfRule>
  </conditionalFormatting>
  <conditionalFormatting sqref="V16:V25">
    <cfRule type="cellIs" dxfId="340" priority="40" operator="equal">
      <formula>1</formula>
    </cfRule>
    <cfRule type="cellIs" dxfId="339" priority="41" operator="notEqual">
      <formula>0</formula>
    </cfRule>
  </conditionalFormatting>
  <conditionalFormatting sqref="V402:V409">
    <cfRule type="cellIs" dxfId="338" priority="38" operator="equal">
      <formula>1</formula>
    </cfRule>
    <cfRule type="cellIs" dxfId="337" priority="39" operator="notEqual">
      <formula>0</formula>
    </cfRule>
  </conditionalFormatting>
  <conditionalFormatting sqref="V640">
    <cfRule type="cellIs" dxfId="336" priority="36" operator="equal">
      <formula>1</formula>
    </cfRule>
    <cfRule type="cellIs" dxfId="335" priority="37" operator="notEqual">
      <formula>0</formula>
    </cfRule>
  </conditionalFormatting>
  <conditionalFormatting sqref="V667">
    <cfRule type="cellIs" dxfId="334" priority="34" operator="equal">
      <formula>1</formula>
    </cfRule>
    <cfRule type="cellIs" dxfId="333" priority="35" operator="notEqual">
      <formula>0</formula>
    </cfRule>
  </conditionalFormatting>
  <conditionalFormatting sqref="V763">
    <cfRule type="cellIs" dxfId="332" priority="32" operator="equal">
      <formula>1</formula>
    </cfRule>
    <cfRule type="cellIs" dxfId="331" priority="33" operator="notEqual">
      <formula>0</formula>
    </cfRule>
  </conditionalFormatting>
  <conditionalFormatting sqref="S384:T565">
    <cfRule type="cellIs" dxfId="330" priority="8" stopIfTrue="1" operator="lessThan">
      <formula>0</formula>
    </cfRule>
  </conditionalFormatting>
  <conditionalFormatting sqref="Q761:R761">
    <cfRule type="cellIs" dxfId="329" priority="30" stopIfTrue="1" operator="lessThan">
      <formula>0</formula>
    </cfRule>
  </conditionalFormatting>
  <conditionalFormatting sqref="V761">
    <cfRule type="cellIs" dxfId="328" priority="28" operator="equal">
      <formula>1</formula>
    </cfRule>
    <cfRule type="cellIs" dxfId="327" priority="29" operator="notEqual">
      <formula>0</formula>
    </cfRule>
  </conditionalFormatting>
  <conditionalFormatting sqref="H13:L13">
    <cfRule type="cellIs" dxfId="326" priority="27" operator="notEqual">
      <formula>0</formula>
    </cfRule>
  </conditionalFormatting>
  <conditionalFormatting sqref="S115 S113:T113 S117 S383:T383">
    <cfRule type="cellIs" dxfId="325" priority="26" stopIfTrue="1" operator="lessThan">
      <formula>0</formula>
    </cfRule>
  </conditionalFormatting>
  <conditionalFormatting sqref="S570">
    <cfRule type="cellIs" dxfId="324" priority="25" stopIfTrue="1" operator="lessThan">
      <formula>0</formula>
    </cfRule>
  </conditionalFormatting>
  <conditionalFormatting sqref="S570">
    <cfRule type="expression" dxfId="323" priority="24">
      <formula>(#REF!+#REF!)&lt;&gt;(#REF!+#REF!)</formula>
    </cfRule>
  </conditionalFormatting>
  <conditionalFormatting sqref="T570">
    <cfRule type="cellIs" dxfId="322" priority="23" stopIfTrue="1" operator="lessThan">
      <formula>0</formula>
    </cfRule>
  </conditionalFormatting>
  <conditionalFormatting sqref="T570">
    <cfRule type="expression" dxfId="321" priority="22">
      <formula>(#REF!+#REF!)&lt;&gt;(#REF!+#REF!)</formula>
    </cfRule>
  </conditionalFormatting>
  <conditionalFormatting sqref="T115">
    <cfRule type="cellIs" dxfId="320" priority="21" stopIfTrue="1" operator="lessThan">
      <formula>0</formula>
    </cfRule>
  </conditionalFormatting>
  <conditionalFormatting sqref="T115">
    <cfRule type="expression" dxfId="319" priority="18">
      <formula>#REF!&lt;0</formula>
    </cfRule>
    <cfRule type="expression" dxfId="318" priority="19">
      <formula>AND($N$4="12",ABS(#REF!+#REF!)&gt;ABS(#REF!+#REF!),#REF!+#REF!&lt;0)</formula>
    </cfRule>
    <cfRule type="expression" dxfId="317" priority="20">
      <formula>AND(ABS(#REF!+#REF!)&gt;ABS(#REF!+#REF!),#REF!+#REF!&gt;0)</formula>
    </cfRule>
  </conditionalFormatting>
  <conditionalFormatting sqref="T117">
    <cfRule type="cellIs" dxfId="316" priority="17" stopIfTrue="1" operator="lessThan">
      <formula>0</formula>
    </cfRule>
  </conditionalFormatting>
  <conditionalFormatting sqref="T117">
    <cfRule type="expression" dxfId="315" priority="14">
      <formula>#REF!&lt;0</formula>
    </cfRule>
    <cfRule type="expression" dxfId="314" priority="15">
      <formula>AND($N$4="12",ABS(#REF!+#REF!)&gt;ABS(#REF!+#REF!),#REF!+#REF!&lt;0)</formula>
    </cfRule>
    <cfRule type="expression" dxfId="313" priority="16">
      <formula>AND(ABS(#REF!+#REF!)&gt;ABS(#REF!+#REF!),#REF!+#REF!&gt;0)</formula>
    </cfRule>
  </conditionalFormatting>
  <conditionalFormatting sqref="S14:T112">
    <cfRule type="cellIs" dxfId="312" priority="13" stopIfTrue="1" operator="lessThan">
      <formula>0</formula>
    </cfRule>
  </conditionalFormatting>
  <conditionalFormatting sqref="S114:T114">
    <cfRule type="cellIs" dxfId="311" priority="12" stopIfTrue="1" operator="lessThan">
      <formula>0</formula>
    </cfRule>
  </conditionalFormatting>
  <conditionalFormatting sqref="S116:T116">
    <cfRule type="cellIs" dxfId="310" priority="11" stopIfTrue="1" operator="lessThan">
      <formula>0</formula>
    </cfRule>
  </conditionalFormatting>
  <conditionalFormatting sqref="S118:T335 S338:T382">
    <cfRule type="cellIs" dxfId="309" priority="10" stopIfTrue="1" operator="lessThan">
      <formula>0</formula>
    </cfRule>
  </conditionalFormatting>
  <conditionalFormatting sqref="S336:T337">
    <cfRule type="cellIs" dxfId="308" priority="9" stopIfTrue="1" operator="lessThan">
      <formula>0</formula>
    </cfRule>
  </conditionalFormatting>
  <conditionalFormatting sqref="S566:T569">
    <cfRule type="cellIs" dxfId="307" priority="7" stopIfTrue="1" operator="lessThan">
      <formula>0</formula>
    </cfRule>
  </conditionalFormatting>
  <conditionalFormatting sqref="S573:T828">
    <cfRule type="cellIs" dxfId="306" priority="6" stopIfTrue="1" operator="lessThan">
      <formula>0</formula>
    </cfRule>
  </conditionalFormatting>
  <conditionalFormatting sqref="S571:T572">
    <cfRule type="cellIs" dxfId="305" priority="5" stopIfTrue="1" operator="lessThan">
      <formula>0</formula>
    </cfRule>
  </conditionalFormatting>
  <conditionalFormatting sqref="S832:T887">
    <cfRule type="cellIs" dxfId="304" priority="4" stopIfTrue="1" operator="lessThan">
      <formula>0</formula>
    </cfRule>
  </conditionalFormatting>
  <conditionalFormatting sqref="R115 R117">
    <cfRule type="cellIs" dxfId="303" priority="3" stopIfTrue="1" operator="lessThan">
      <formula>0</formula>
    </cfRule>
  </conditionalFormatting>
  <conditionalFormatting sqref="R114">
    <cfRule type="cellIs" dxfId="302" priority="2" stopIfTrue="1" operator="lessThan">
      <formula>0</formula>
    </cfRule>
  </conditionalFormatting>
  <conditionalFormatting sqref="R116">
    <cfRule type="cellIs" dxfId="301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23" width="9.140625" style="2118"/>
    <col min="24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2116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2117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2117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2117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2116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0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2116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2116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0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937</v>
      </c>
      <c r="P8" s="1162"/>
      <c r="Q8" s="1163" t="str">
        <f>+O8</f>
        <v xml:space="preserve">   "Сметки за средства от ЕС" - DMP</v>
      </c>
      <c r="R8" s="1162"/>
      <c r="S8" s="1164" t="str">
        <f>+O8</f>
        <v xml:space="preserve">   "Сметки за средства от ЕС" - DMP</v>
      </c>
      <c r="T8" s="1165"/>
      <c r="U8" s="48"/>
      <c r="V8" s="2116"/>
      <c r="W8" s="2116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2116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493</v>
      </c>
      <c r="G10" s="199" t="s">
        <v>380</v>
      </c>
      <c r="H10" s="147"/>
      <c r="I10" s="5"/>
      <c r="J10" s="5"/>
      <c r="K10" s="2457">
        <f>+'TRIAL-BALANCE'!K10:L10</f>
        <v>0</v>
      </c>
      <c r="L10" s="2458"/>
      <c r="M10" s="49"/>
      <c r="N10" s="1577">
        <f>+C8</f>
        <v>0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DMP",0)</f>
        <v>0</v>
      </c>
      <c r="W10" s="2116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2116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50" t="str">
        <f>+F10</f>
        <v>D M P</v>
      </c>
      <c r="F12" s="2650"/>
      <c r="G12" s="1130" t="s">
        <v>1003</v>
      </c>
      <c r="H12" s="2632" t="str">
        <f>+'TRIAL-BALANCE'!H12:K12</f>
        <v>30 септември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2116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66" t="s">
        <v>202</v>
      </c>
      <c r="O13" s="1167">
        <f t="shared" ref="O13:T13" si="0">+O890</f>
        <v>0</v>
      </c>
      <c r="P13" s="1168">
        <f t="shared" si="0"/>
        <v>0</v>
      </c>
      <c r="Q13" s="1169">
        <f t="shared" si="0"/>
        <v>0</v>
      </c>
      <c r="R13" s="1168">
        <f t="shared" si="0"/>
        <v>0</v>
      </c>
      <c r="S13" s="1169">
        <f t="shared" si="0"/>
        <v>0</v>
      </c>
      <c r="T13" s="1170">
        <f t="shared" si="0"/>
        <v>0</v>
      </c>
      <c r="U13" s="344"/>
      <c r="V13" s="2122">
        <f>COUNTIF(V14:V887,"&gt;0")+COUNTIF(V14:V887,"&lt;0")</f>
        <v>0</v>
      </c>
      <c r="W13" s="2116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2116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/>
      <c r="P15" s="324"/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0</v>
      </c>
      <c r="U15" s="51"/>
      <c r="V15" s="2119"/>
      <c r="W15" s="2116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2116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2116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2116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2116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2116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2116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2116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2116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2116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2116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9">
        <v>0</v>
      </c>
      <c r="T26" s="580">
        <f t="shared" ref="T26:T45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2116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116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2116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2116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2116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2116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2116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2116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2116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2116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2116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2116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2116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2116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2116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2116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2116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2116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2116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2116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ref="T46:T53" si="6">+IF(ABS(+O46+Q46)&lt;=ABS(P46+R46),-O46+P46-Q46+R46,0)</f>
        <v>0</v>
      </c>
      <c r="U46" s="51"/>
      <c r="V46" s="2119">
        <f t="shared" si="5"/>
        <v>0</v>
      </c>
      <c r="W46" s="2116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9">
        <v>0</v>
      </c>
      <c r="T47" s="580">
        <f t="shared" si="6"/>
        <v>0</v>
      </c>
      <c r="U47" s="51"/>
      <c r="V47" s="2119">
        <f t="shared" si="5"/>
        <v>0</v>
      </c>
      <c r="W47" s="2116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9">
        <v>0</v>
      </c>
      <c r="T48" s="580">
        <f t="shared" si="6"/>
        <v>0</v>
      </c>
      <c r="U48" s="51"/>
      <c r="V48" s="2119">
        <f t="shared" si="5"/>
        <v>0</v>
      </c>
      <c r="W48" s="2116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9">
        <v>0</v>
      </c>
      <c r="T49" s="580">
        <f t="shared" si="6"/>
        <v>0</v>
      </c>
      <c r="U49" s="51"/>
      <c r="V49" s="2119">
        <f t="shared" si="5"/>
        <v>0</v>
      </c>
      <c r="W49" s="2116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9">
        <v>0</v>
      </c>
      <c r="T50" s="580">
        <f t="shared" si="6"/>
        <v>0</v>
      </c>
      <c r="U50" s="51"/>
      <c r="V50" s="2119">
        <f t="shared" si="5"/>
        <v>0</v>
      </c>
      <c r="W50" s="2116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9">
        <v>0</v>
      </c>
      <c r="T51" s="580">
        <f t="shared" si="6"/>
        <v>0</v>
      </c>
      <c r="U51" s="51"/>
      <c r="V51" s="2119">
        <f t="shared" si="5"/>
        <v>0</v>
      </c>
      <c r="W51" s="2116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9">
        <v>0</v>
      </c>
      <c r="T52" s="580">
        <f t="shared" si="6"/>
        <v>0</v>
      </c>
      <c r="U52" s="51"/>
      <c r="V52" s="2119">
        <f t="shared" si="5"/>
        <v>0</v>
      </c>
      <c r="W52" s="2116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9">
        <v>0</v>
      </c>
      <c r="T53" s="580">
        <f t="shared" si="6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2116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2116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2116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7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2116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7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2116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8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7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2116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8"/>
        <v>1924</v>
      </c>
      <c r="O59" s="575">
        <v>0</v>
      </c>
      <c r="P59" s="576"/>
      <c r="Q59" s="589"/>
      <c r="R59" s="121"/>
      <c r="S59" s="579">
        <v>0</v>
      </c>
      <c r="T59" s="580">
        <f t="shared" si="7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2116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8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7"/>
        <v>0</v>
      </c>
      <c r="U60" s="51"/>
      <c r="V60" s="2119"/>
      <c r="W60" s="2116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8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7"/>
        <v>0</v>
      </c>
      <c r="U61" s="51"/>
      <c r="V61" s="2119"/>
      <c r="W61" s="2116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8"/>
        <v>1991</v>
      </c>
      <c r="O62" s="575">
        <v>0</v>
      </c>
      <c r="P62" s="576"/>
      <c r="Q62" s="589"/>
      <c r="R62" s="121"/>
      <c r="S62" s="579">
        <v>0</v>
      </c>
      <c r="T62" s="580">
        <f t="shared" si="7"/>
        <v>0</v>
      </c>
      <c r="U62" s="51"/>
      <c r="V62" s="2119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116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8"/>
        <v>1992</v>
      </c>
      <c r="O63" s="575">
        <v>0</v>
      </c>
      <c r="P63" s="576"/>
      <c r="Q63" s="589"/>
      <c r="R63" s="121"/>
      <c r="S63" s="579">
        <v>0</v>
      </c>
      <c r="T63" s="580">
        <f t="shared" si="7"/>
        <v>0</v>
      </c>
      <c r="U63" s="51"/>
      <c r="V63" s="2119">
        <f t="shared" si="9"/>
        <v>0</v>
      </c>
      <c r="W63" s="2116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8"/>
        <v>1993</v>
      </c>
      <c r="O64" s="575">
        <v>0</v>
      </c>
      <c r="P64" s="576"/>
      <c r="Q64" s="589"/>
      <c r="R64" s="121"/>
      <c r="S64" s="579">
        <v>0</v>
      </c>
      <c r="T64" s="580">
        <f t="shared" si="7"/>
        <v>0</v>
      </c>
      <c r="U64" s="51"/>
      <c r="V64" s="2119">
        <f t="shared" si="9"/>
        <v>0</v>
      </c>
      <c r="W64" s="2116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8"/>
        <v>1994</v>
      </c>
      <c r="O65" s="575">
        <v>0</v>
      </c>
      <c r="P65" s="576"/>
      <c r="Q65" s="589"/>
      <c r="R65" s="121"/>
      <c r="S65" s="579">
        <v>0</v>
      </c>
      <c r="T65" s="580">
        <f t="shared" si="7"/>
        <v>0</v>
      </c>
      <c r="U65" s="51"/>
      <c r="V65" s="2119">
        <f t="shared" si="9"/>
        <v>0</v>
      </c>
      <c r="W65" s="2116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8"/>
        <v>1995</v>
      </c>
      <c r="O66" s="575">
        <v>0</v>
      </c>
      <c r="P66" s="576"/>
      <c r="Q66" s="589"/>
      <c r="R66" s="121"/>
      <c r="S66" s="579">
        <v>0</v>
      </c>
      <c r="T66" s="580">
        <f t="shared" si="7"/>
        <v>0</v>
      </c>
      <c r="U66" s="51"/>
      <c r="V66" s="2119">
        <f t="shared" si="9"/>
        <v>0</v>
      </c>
      <c r="W66" s="2116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8"/>
        <v>1996</v>
      </c>
      <c r="O67" s="575">
        <v>0</v>
      </c>
      <c r="P67" s="576"/>
      <c r="Q67" s="589"/>
      <c r="R67" s="121"/>
      <c r="S67" s="579">
        <v>0</v>
      </c>
      <c r="T67" s="580">
        <f t="shared" si="7"/>
        <v>0</v>
      </c>
      <c r="U67" s="51"/>
      <c r="V67" s="2119">
        <f t="shared" si="9"/>
        <v>0</v>
      </c>
      <c r="W67" s="2116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9">
        <v>0</v>
      </c>
      <c r="T68" s="580">
        <f t="shared" si="7"/>
        <v>0</v>
      </c>
      <c r="U68" s="51"/>
      <c r="V68" s="2119">
        <f t="shared" si="9"/>
        <v>0</v>
      </c>
      <c r="W68" s="2116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82">
        <v>0</v>
      </c>
      <c r="T69" s="57">
        <f t="shared" si="7"/>
        <v>0</v>
      </c>
      <c r="U69" s="51"/>
      <c r="V69" s="2119">
        <f t="shared" si="9"/>
        <v>0</v>
      </c>
      <c r="W69" s="2116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2116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35"/>
      <c r="P71" s="836">
        <v>0</v>
      </c>
      <c r="Q71" s="577"/>
      <c r="R71" s="324"/>
      <c r="S71" s="837">
        <f t="shared" ref="S71:S89" si="11">+IF(ABS(+O71+Q71)&gt;=ABS(P71+R71),+O71-P71+Q71-R71,0)</f>
        <v>0</v>
      </c>
      <c r="T71" s="2168">
        <v>0</v>
      </c>
      <c r="U71" s="51"/>
      <c r="V71" s="2120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116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35"/>
      <c r="P72" s="836">
        <v>0</v>
      </c>
      <c r="Q72" s="577"/>
      <c r="R72" s="324"/>
      <c r="S72" s="837">
        <f t="shared" si="11"/>
        <v>0</v>
      </c>
      <c r="T72" s="2168">
        <v>0</v>
      </c>
      <c r="U72" s="51"/>
      <c r="V72" s="2120">
        <f t="shared" si="12"/>
        <v>0</v>
      </c>
      <c r="W72" s="2116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10"/>
        <v>2031</v>
      </c>
      <c r="O73" s="581"/>
      <c r="P73" s="582">
        <v>0</v>
      </c>
      <c r="Q73" s="589"/>
      <c r="R73" s="121"/>
      <c r="S73" s="583">
        <f t="shared" si="11"/>
        <v>0</v>
      </c>
      <c r="T73" s="584">
        <v>0</v>
      </c>
      <c r="U73" s="51"/>
      <c r="V73" s="2120">
        <f t="shared" si="12"/>
        <v>0</v>
      </c>
      <c r="W73" s="2116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10"/>
        <v>2032</v>
      </c>
      <c r="O74" s="581"/>
      <c r="P74" s="582">
        <v>0</v>
      </c>
      <c r="Q74" s="589"/>
      <c r="R74" s="121"/>
      <c r="S74" s="583">
        <f t="shared" si="11"/>
        <v>0</v>
      </c>
      <c r="T74" s="584">
        <v>0</v>
      </c>
      <c r="U74" s="51"/>
      <c r="V74" s="2120">
        <f t="shared" si="12"/>
        <v>0</v>
      </c>
      <c r="W74" s="2116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10"/>
        <v>2038</v>
      </c>
      <c r="O75" s="581"/>
      <c r="P75" s="582">
        <v>0</v>
      </c>
      <c r="Q75" s="589"/>
      <c r="R75" s="121"/>
      <c r="S75" s="583">
        <f t="shared" si="11"/>
        <v>0</v>
      </c>
      <c r="T75" s="584">
        <v>0</v>
      </c>
      <c r="U75" s="51"/>
      <c r="V75" s="2120">
        <f t="shared" si="12"/>
        <v>0</v>
      </c>
      <c r="W75" s="2116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10"/>
        <v>2039</v>
      </c>
      <c r="O76" s="581"/>
      <c r="P76" s="582">
        <v>0</v>
      </c>
      <c r="Q76" s="589"/>
      <c r="R76" s="121"/>
      <c r="S76" s="583">
        <f t="shared" si="11"/>
        <v>0</v>
      </c>
      <c r="T76" s="584">
        <v>0</v>
      </c>
      <c r="U76" s="51"/>
      <c r="V76" s="2120">
        <f t="shared" si="12"/>
        <v>0</v>
      </c>
      <c r="W76" s="2116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10"/>
        <v>2041</v>
      </c>
      <c r="O77" s="581"/>
      <c r="P77" s="582">
        <v>0</v>
      </c>
      <c r="Q77" s="589"/>
      <c r="R77" s="121"/>
      <c r="S77" s="583">
        <f t="shared" si="11"/>
        <v>0</v>
      </c>
      <c r="T77" s="584">
        <v>0</v>
      </c>
      <c r="U77" s="51"/>
      <c r="V77" s="2120">
        <f t="shared" si="12"/>
        <v>0</v>
      </c>
      <c r="W77" s="2116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10"/>
        <v>2049</v>
      </c>
      <c r="O78" s="581"/>
      <c r="P78" s="582">
        <v>0</v>
      </c>
      <c r="Q78" s="589"/>
      <c r="R78" s="121"/>
      <c r="S78" s="583">
        <f t="shared" si="11"/>
        <v>0</v>
      </c>
      <c r="T78" s="584">
        <v>0</v>
      </c>
      <c r="U78" s="51"/>
      <c r="V78" s="2120">
        <f t="shared" si="12"/>
        <v>0</v>
      </c>
      <c r="W78" s="2116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10"/>
        <v>2051</v>
      </c>
      <c r="O79" s="581"/>
      <c r="P79" s="582">
        <v>0</v>
      </c>
      <c r="Q79" s="589"/>
      <c r="R79" s="121"/>
      <c r="S79" s="583">
        <f t="shared" si="11"/>
        <v>0</v>
      </c>
      <c r="T79" s="584">
        <v>0</v>
      </c>
      <c r="U79" s="51"/>
      <c r="V79" s="2120">
        <f t="shared" si="12"/>
        <v>0</v>
      </c>
      <c r="W79" s="2116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10"/>
        <v>2059</v>
      </c>
      <c r="O80" s="581"/>
      <c r="P80" s="582">
        <v>0</v>
      </c>
      <c r="Q80" s="589"/>
      <c r="R80" s="121"/>
      <c r="S80" s="583">
        <f t="shared" si="11"/>
        <v>0</v>
      </c>
      <c r="T80" s="584">
        <v>0</v>
      </c>
      <c r="U80" s="51"/>
      <c r="V80" s="2120">
        <f t="shared" si="12"/>
        <v>0</v>
      </c>
      <c r="W80" s="2116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10"/>
        <v>2060</v>
      </c>
      <c r="O81" s="581"/>
      <c r="P81" s="582">
        <v>0</v>
      </c>
      <c r="Q81" s="589"/>
      <c r="R81" s="121"/>
      <c r="S81" s="583">
        <f t="shared" si="11"/>
        <v>0</v>
      </c>
      <c r="T81" s="584">
        <v>0</v>
      </c>
      <c r="U81" s="51"/>
      <c r="V81" s="2120">
        <f t="shared" si="12"/>
        <v>0</v>
      </c>
      <c r="W81" s="2116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10"/>
        <v>2071</v>
      </c>
      <c r="O82" s="581"/>
      <c r="P82" s="582">
        <v>0</v>
      </c>
      <c r="Q82" s="589"/>
      <c r="R82" s="121"/>
      <c r="S82" s="583">
        <f t="shared" si="11"/>
        <v>0</v>
      </c>
      <c r="T82" s="584">
        <v>0</v>
      </c>
      <c r="U82" s="51"/>
      <c r="V82" s="2120">
        <f t="shared" si="12"/>
        <v>0</v>
      </c>
      <c r="W82" s="2116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10"/>
        <v>2079</v>
      </c>
      <c r="O83" s="581"/>
      <c r="P83" s="582">
        <v>0</v>
      </c>
      <c r="Q83" s="589"/>
      <c r="R83" s="121"/>
      <c r="S83" s="583">
        <f t="shared" si="11"/>
        <v>0</v>
      </c>
      <c r="T83" s="584">
        <v>0</v>
      </c>
      <c r="U83" s="51"/>
      <c r="V83" s="2120">
        <f t="shared" si="12"/>
        <v>0</v>
      </c>
      <c r="W83" s="2116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10"/>
        <v>2091</v>
      </c>
      <c r="O84" s="581"/>
      <c r="P84" s="582">
        <v>0</v>
      </c>
      <c r="Q84" s="589"/>
      <c r="R84" s="121"/>
      <c r="S84" s="583">
        <f t="shared" si="11"/>
        <v>0</v>
      </c>
      <c r="T84" s="584">
        <v>0</v>
      </c>
      <c r="U84" s="51"/>
      <c r="V84" s="2120">
        <f t="shared" si="12"/>
        <v>0</v>
      </c>
      <c r="W84" s="2116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10"/>
        <v>2099</v>
      </c>
      <c r="O85" s="581"/>
      <c r="P85" s="582">
        <v>0</v>
      </c>
      <c r="Q85" s="589"/>
      <c r="R85" s="121"/>
      <c r="S85" s="583">
        <f t="shared" si="11"/>
        <v>0</v>
      </c>
      <c r="T85" s="584">
        <v>0</v>
      </c>
      <c r="U85" s="51"/>
      <c r="V85" s="2120">
        <f t="shared" si="12"/>
        <v>0</v>
      </c>
      <c r="W85" s="2116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10"/>
        <v>2101</v>
      </c>
      <c r="O86" s="581"/>
      <c r="P86" s="582">
        <v>0</v>
      </c>
      <c r="Q86" s="589"/>
      <c r="R86" s="121"/>
      <c r="S86" s="583">
        <f t="shared" si="11"/>
        <v>0</v>
      </c>
      <c r="T86" s="584">
        <v>0</v>
      </c>
      <c r="U86" s="51"/>
      <c r="V86" s="2120">
        <f t="shared" si="12"/>
        <v>0</v>
      </c>
      <c r="W86" s="2116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10"/>
        <v>2102</v>
      </c>
      <c r="O87" s="581"/>
      <c r="P87" s="582">
        <v>0</v>
      </c>
      <c r="Q87" s="589"/>
      <c r="R87" s="121"/>
      <c r="S87" s="583">
        <f t="shared" si="11"/>
        <v>0</v>
      </c>
      <c r="T87" s="584">
        <v>0</v>
      </c>
      <c r="U87" s="51"/>
      <c r="V87" s="2120">
        <f t="shared" si="12"/>
        <v>0</v>
      </c>
      <c r="W87" s="2116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10"/>
        <v>2107</v>
      </c>
      <c r="O88" s="581"/>
      <c r="P88" s="582">
        <v>0</v>
      </c>
      <c r="Q88" s="589"/>
      <c r="R88" s="121"/>
      <c r="S88" s="583">
        <f t="shared" si="11"/>
        <v>0</v>
      </c>
      <c r="T88" s="584">
        <v>0</v>
      </c>
      <c r="U88" s="51"/>
      <c r="V88" s="2120">
        <f t="shared" si="12"/>
        <v>0</v>
      </c>
      <c r="W88" s="2116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10"/>
        <v>2109</v>
      </c>
      <c r="O89" s="581"/>
      <c r="P89" s="582">
        <v>0</v>
      </c>
      <c r="Q89" s="589"/>
      <c r="R89" s="121"/>
      <c r="S89" s="583">
        <f t="shared" si="11"/>
        <v>0</v>
      </c>
      <c r="T89" s="584">
        <v>0</v>
      </c>
      <c r="U89" s="51"/>
      <c r="V89" s="2120">
        <f t="shared" si="12"/>
        <v>0</v>
      </c>
      <c r="W89" s="2116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10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2116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10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2116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10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2116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10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2116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10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119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116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10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3"/>
        <v>0</v>
      </c>
      <c r="U95" s="51"/>
      <c r="V95" s="2119">
        <f t="shared" si="14"/>
        <v>0</v>
      </c>
      <c r="W95" s="2116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10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3"/>
        <v>0</v>
      </c>
      <c r="U96" s="51"/>
      <c r="V96" s="2119">
        <f t="shared" si="14"/>
        <v>0</v>
      </c>
      <c r="W96" s="2116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10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3"/>
        <v>0</v>
      </c>
      <c r="U97" s="51"/>
      <c r="V97" s="2119">
        <f t="shared" si="14"/>
        <v>0</v>
      </c>
      <c r="W97" s="2116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10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3"/>
        <v>0</v>
      </c>
      <c r="U98" s="51"/>
      <c r="V98" s="2119">
        <f t="shared" si="14"/>
        <v>0</v>
      </c>
      <c r="W98" s="2116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10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3"/>
        <v>0</v>
      </c>
      <c r="U99" s="51"/>
      <c r="V99" s="2119">
        <f t="shared" si="14"/>
        <v>0</v>
      </c>
      <c r="W99" s="2116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10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3"/>
        <v>0</v>
      </c>
      <c r="U100" s="51"/>
      <c r="V100" s="2119">
        <f t="shared" si="14"/>
        <v>0</v>
      </c>
      <c r="W100" s="2116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10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3"/>
        <v>0</v>
      </c>
      <c r="U101" s="51"/>
      <c r="V101" s="2119">
        <f t="shared" si="14"/>
        <v>0</v>
      </c>
      <c r="W101" s="2116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2116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23"/>
      <c r="P103" s="329">
        <v>0</v>
      </c>
      <c r="Q103" s="325"/>
      <c r="R103" s="324"/>
      <c r="S103" s="326">
        <f t="shared" ref="S103:S112" si="16">+IF(ABS(+O103+Q103)&gt;=ABS(P103+R103),+O103-P103+Q103-R103,0)</f>
        <v>0</v>
      </c>
      <c r="T103" s="331">
        <v>0</v>
      </c>
      <c r="U103" s="51"/>
      <c r="V103" s="2120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116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120">
        <f t="shared" si="17"/>
        <v>0</v>
      </c>
      <c r="W104" s="2116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120">
        <f t="shared" si="17"/>
        <v>0</v>
      </c>
      <c r="W105" s="2116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120">
        <f t="shared" si="17"/>
        <v>0</v>
      </c>
      <c r="W106" s="2116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120">
        <f t="shared" si="17"/>
        <v>0</v>
      </c>
      <c r="W107" s="2116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120">
        <f t="shared" si="17"/>
        <v>0</v>
      </c>
      <c r="W108" s="2116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120">
        <f t="shared" si="17"/>
        <v>0</v>
      </c>
      <c r="W109" s="2116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120">
        <f t="shared" si="17"/>
        <v>0</v>
      </c>
      <c r="W110" s="2116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120">
        <f t="shared" si="17"/>
        <v>0</v>
      </c>
      <c r="W111" s="2116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120">
        <f t="shared" si="17"/>
        <v>0</v>
      </c>
      <c r="W112" s="2116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2116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2116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8"/>
        <v>4020</v>
      </c>
      <c r="O115" s="120"/>
      <c r="P115" s="9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116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8"/>
        <v>4030</v>
      </c>
      <c r="O116" s="8">
        <v>0</v>
      </c>
      <c r="P116" s="121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2116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8"/>
        <v>4040</v>
      </c>
      <c r="O117" s="120"/>
      <c r="P117" s="9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116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2116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8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2116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2136">
        <f t="shared" si="18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2116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2136">
        <f t="shared" si="18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2116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8"/>
        <v>4071</v>
      </c>
      <c r="O122" s="575">
        <v>0</v>
      </c>
      <c r="P122" s="576"/>
      <c r="Q122" s="589"/>
      <c r="R122" s="121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2116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8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2116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8"/>
        <v>4110</v>
      </c>
      <c r="O124" s="120"/>
      <c r="P124" s="9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2116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2116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8"/>
        <v>4130</v>
      </c>
      <c r="O126" s="120"/>
      <c r="P126" s="9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2116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2116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2116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8"/>
        <v>4213</v>
      </c>
      <c r="O129" s="120"/>
      <c r="P129" s="9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2116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2116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8"/>
        <v>4224</v>
      </c>
      <c r="O131" s="120"/>
      <c r="P131" s="9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2116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8"/>
        <v>4230</v>
      </c>
      <c r="O132" s="8">
        <v>0</v>
      </c>
      <c r="P132" s="369"/>
      <c r="Q132" s="122"/>
      <c r="R132" s="121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2116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2116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8"/>
        <v>4243</v>
      </c>
      <c r="O134" s="120"/>
      <c r="P134" s="9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2116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2116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8"/>
        <v>4254</v>
      </c>
      <c r="O136" s="120"/>
      <c r="P136" s="9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2116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8"/>
        <v>4261</v>
      </c>
      <c r="O137" s="120"/>
      <c r="P137" s="9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2116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8"/>
        <v>4262</v>
      </c>
      <c r="O138" s="120"/>
      <c r="P138" s="9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2116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2116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2116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8"/>
        <v>4279</v>
      </c>
      <c r="O141" s="120"/>
      <c r="P141" s="9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2116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2116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2116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8"/>
        <v>4287</v>
      </c>
      <c r="O144" s="120"/>
      <c r="P144" s="9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2116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8"/>
        <v>4288</v>
      </c>
      <c r="O145" s="120"/>
      <c r="P145" s="9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2116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2116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8"/>
        <v>4299</v>
      </c>
      <c r="O147" s="120"/>
      <c r="P147" s="9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2116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8"/>
        <v>4301</v>
      </c>
      <c r="O148" s="200"/>
      <c r="P148" s="9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2116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8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2116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8"/>
        <v>4311</v>
      </c>
      <c r="O150" s="575">
        <v>0</v>
      </c>
      <c r="P150" s="576"/>
      <c r="Q150" s="589"/>
      <c r="R150" s="121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2116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8"/>
        <v>4313</v>
      </c>
      <c r="O151" s="575">
        <v>0</v>
      </c>
      <c r="P151" s="576"/>
      <c r="Q151" s="589"/>
      <c r="R151" s="121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2116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8"/>
        <v>4321</v>
      </c>
      <c r="O152" s="581"/>
      <c r="P152" s="582">
        <v>0</v>
      </c>
      <c r="Q152" s="589"/>
      <c r="R152" s="576"/>
      <c r="S152" s="583">
        <f t="shared" ref="S152:S159" si="19">+IF(ABS(+O152+Q152)&gt;=ABS(P152+R152),+O152-P152+Q152-R152,0)</f>
        <v>0</v>
      </c>
      <c r="T152" s="584">
        <v>0</v>
      </c>
      <c r="U152" s="51"/>
      <c r="V152" s="2120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116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8"/>
        <v>4322</v>
      </c>
      <c r="O153" s="581"/>
      <c r="P153" s="582">
        <v>0</v>
      </c>
      <c r="Q153" s="589"/>
      <c r="R153" s="576"/>
      <c r="S153" s="583">
        <f t="shared" si="19"/>
        <v>0</v>
      </c>
      <c r="T153" s="584">
        <v>0</v>
      </c>
      <c r="U153" s="51"/>
      <c r="V153" s="2120">
        <f t="shared" si="20"/>
        <v>0</v>
      </c>
      <c r="W153" s="2116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8"/>
        <v>4327</v>
      </c>
      <c r="O154" s="581"/>
      <c r="P154" s="582">
        <v>0</v>
      </c>
      <c r="Q154" s="589"/>
      <c r="R154" s="576"/>
      <c r="S154" s="583">
        <f t="shared" si="19"/>
        <v>0</v>
      </c>
      <c r="T154" s="584">
        <v>0</v>
      </c>
      <c r="U154" s="51"/>
      <c r="V154" s="2120">
        <f t="shared" si="20"/>
        <v>0</v>
      </c>
      <c r="W154" s="2116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8"/>
        <v>4328</v>
      </c>
      <c r="O155" s="581"/>
      <c r="P155" s="582">
        <v>0</v>
      </c>
      <c r="Q155" s="589"/>
      <c r="R155" s="576"/>
      <c r="S155" s="583">
        <f t="shared" si="19"/>
        <v>0</v>
      </c>
      <c r="T155" s="584">
        <v>0</v>
      </c>
      <c r="U155" s="51"/>
      <c r="V155" s="2120">
        <f t="shared" si="20"/>
        <v>0</v>
      </c>
      <c r="W155" s="2116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8"/>
        <v>4331</v>
      </c>
      <c r="O156" s="581"/>
      <c r="P156" s="582">
        <v>0</v>
      </c>
      <c r="Q156" s="589"/>
      <c r="R156" s="576"/>
      <c r="S156" s="583">
        <f t="shared" si="19"/>
        <v>0</v>
      </c>
      <c r="T156" s="584">
        <v>0</v>
      </c>
      <c r="U156" s="51"/>
      <c r="V156" s="2120">
        <f t="shared" si="20"/>
        <v>0</v>
      </c>
      <c r="W156" s="2116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8"/>
        <v>4332</v>
      </c>
      <c r="O157" s="581"/>
      <c r="P157" s="582">
        <v>0</v>
      </c>
      <c r="Q157" s="589"/>
      <c r="R157" s="576"/>
      <c r="S157" s="583">
        <f t="shared" si="19"/>
        <v>0</v>
      </c>
      <c r="T157" s="584">
        <v>0</v>
      </c>
      <c r="U157" s="51"/>
      <c r="V157" s="2120">
        <f t="shared" si="20"/>
        <v>0</v>
      </c>
      <c r="W157" s="2116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8"/>
        <v>4351</v>
      </c>
      <c r="O158" s="581"/>
      <c r="P158" s="582">
        <v>0</v>
      </c>
      <c r="Q158" s="589"/>
      <c r="R158" s="576"/>
      <c r="S158" s="583">
        <f t="shared" si="19"/>
        <v>0</v>
      </c>
      <c r="T158" s="584">
        <v>0</v>
      </c>
      <c r="U158" s="51"/>
      <c r="V158" s="2120">
        <f t="shared" si="20"/>
        <v>0</v>
      </c>
      <c r="W158" s="2116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8"/>
        <v>4352</v>
      </c>
      <c r="O159" s="581"/>
      <c r="P159" s="582">
        <v>0</v>
      </c>
      <c r="Q159" s="589"/>
      <c r="R159" s="576"/>
      <c r="S159" s="583">
        <f t="shared" si="19"/>
        <v>0</v>
      </c>
      <c r="T159" s="584">
        <v>0</v>
      </c>
      <c r="U159" s="51"/>
      <c r="V159" s="2120">
        <f t="shared" si="20"/>
        <v>0</v>
      </c>
      <c r="W159" s="2116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8"/>
        <v>4360</v>
      </c>
      <c r="O160" s="581"/>
      <c r="P160" s="576"/>
      <c r="Q160" s="589"/>
      <c r="R160" s="576"/>
      <c r="S160" s="583">
        <f t="shared" ref="S160:S172" si="21">+IF(ABS(+O160+Q160)&gt;=ABS(P160+R160),+O160-P160+Q160-R160,0)</f>
        <v>0</v>
      </c>
      <c r="T160" s="580">
        <f>+IF(ABS(+O160+Q160)&lt;=ABS(P160+R160),-O160+P160-Q160+R160,0)</f>
        <v>0</v>
      </c>
      <c r="U160" s="51"/>
      <c r="V160" s="2119"/>
      <c r="W160" s="2116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8"/>
        <v>4371</v>
      </c>
      <c r="O161" s="581"/>
      <c r="P161" s="582">
        <v>0</v>
      </c>
      <c r="Q161" s="589"/>
      <c r="R161" s="576"/>
      <c r="S161" s="583">
        <f t="shared" si="21"/>
        <v>0</v>
      </c>
      <c r="T161" s="584">
        <v>0</v>
      </c>
      <c r="U161" s="51"/>
      <c r="V161" s="2120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116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8"/>
        <v>4372</v>
      </c>
      <c r="O162" s="581"/>
      <c r="P162" s="582">
        <v>0</v>
      </c>
      <c r="Q162" s="589"/>
      <c r="R162" s="576"/>
      <c r="S162" s="583">
        <f t="shared" si="21"/>
        <v>0</v>
      </c>
      <c r="T162" s="584">
        <v>0</v>
      </c>
      <c r="U162" s="51"/>
      <c r="V162" s="2120">
        <f t="shared" si="22"/>
        <v>0</v>
      </c>
      <c r="W162" s="2116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8"/>
        <v>4373</v>
      </c>
      <c r="O163" s="581"/>
      <c r="P163" s="582">
        <v>0</v>
      </c>
      <c r="Q163" s="589"/>
      <c r="R163" s="576"/>
      <c r="S163" s="583">
        <f t="shared" si="21"/>
        <v>0</v>
      </c>
      <c r="T163" s="584">
        <v>0</v>
      </c>
      <c r="U163" s="51"/>
      <c r="V163" s="2120">
        <f t="shared" si="22"/>
        <v>0</v>
      </c>
      <c r="W163" s="2116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8"/>
        <v>4374</v>
      </c>
      <c r="O164" s="581"/>
      <c r="P164" s="582">
        <v>0</v>
      </c>
      <c r="Q164" s="589"/>
      <c r="R164" s="576"/>
      <c r="S164" s="583">
        <f t="shared" si="21"/>
        <v>0</v>
      </c>
      <c r="T164" s="584">
        <v>0</v>
      </c>
      <c r="U164" s="51"/>
      <c r="V164" s="2120">
        <f t="shared" si="22"/>
        <v>0</v>
      </c>
      <c r="W164" s="2116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8"/>
        <v>4375</v>
      </c>
      <c r="O165" s="581"/>
      <c r="P165" s="582">
        <v>0</v>
      </c>
      <c r="Q165" s="589"/>
      <c r="R165" s="576"/>
      <c r="S165" s="583">
        <f t="shared" si="21"/>
        <v>0</v>
      </c>
      <c r="T165" s="584">
        <v>0</v>
      </c>
      <c r="U165" s="51"/>
      <c r="V165" s="2120">
        <f t="shared" si="22"/>
        <v>0</v>
      </c>
      <c r="W165" s="2116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8"/>
        <v>4376</v>
      </c>
      <c r="O166" s="581"/>
      <c r="P166" s="582">
        <v>0</v>
      </c>
      <c r="Q166" s="589"/>
      <c r="R166" s="576"/>
      <c r="S166" s="583">
        <f t="shared" si="21"/>
        <v>0</v>
      </c>
      <c r="T166" s="584">
        <v>0</v>
      </c>
      <c r="U166" s="51"/>
      <c r="V166" s="2120">
        <f t="shared" si="22"/>
        <v>0</v>
      </c>
      <c r="W166" s="2116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8"/>
        <v>4379</v>
      </c>
      <c r="O167" s="581"/>
      <c r="P167" s="582">
        <v>0</v>
      </c>
      <c r="Q167" s="589"/>
      <c r="R167" s="576"/>
      <c r="S167" s="583">
        <f t="shared" si="21"/>
        <v>0</v>
      </c>
      <c r="T167" s="584">
        <v>0</v>
      </c>
      <c r="U167" s="51"/>
      <c r="V167" s="2120">
        <f t="shared" si="22"/>
        <v>0</v>
      </c>
      <c r="W167" s="2116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8"/>
        <v>4381</v>
      </c>
      <c r="O168" s="581"/>
      <c r="P168" s="582">
        <v>0</v>
      </c>
      <c r="Q168" s="589"/>
      <c r="R168" s="576"/>
      <c r="S168" s="583">
        <f t="shared" si="21"/>
        <v>0</v>
      </c>
      <c r="T168" s="584">
        <v>0</v>
      </c>
      <c r="U168" s="51"/>
      <c r="V168" s="2120">
        <f t="shared" si="22"/>
        <v>0</v>
      </c>
      <c r="W168" s="2116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8"/>
        <v>4382</v>
      </c>
      <c r="O169" s="581"/>
      <c r="P169" s="582">
        <v>0</v>
      </c>
      <c r="Q169" s="589"/>
      <c r="R169" s="576"/>
      <c r="S169" s="583">
        <f t="shared" si="21"/>
        <v>0</v>
      </c>
      <c r="T169" s="584">
        <v>0</v>
      </c>
      <c r="U169" s="51"/>
      <c r="V169" s="2120">
        <f t="shared" si="22"/>
        <v>0</v>
      </c>
      <c r="W169" s="2116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8"/>
        <v>4383</v>
      </c>
      <c r="O170" s="581"/>
      <c r="P170" s="582">
        <v>0</v>
      </c>
      <c r="Q170" s="589"/>
      <c r="R170" s="576"/>
      <c r="S170" s="583">
        <f t="shared" si="21"/>
        <v>0</v>
      </c>
      <c r="T170" s="584">
        <v>0</v>
      </c>
      <c r="U170" s="51"/>
      <c r="V170" s="2120">
        <f t="shared" si="22"/>
        <v>0</v>
      </c>
      <c r="W170" s="2116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8"/>
        <v>4384</v>
      </c>
      <c r="O171" s="581"/>
      <c r="P171" s="582">
        <v>0</v>
      </c>
      <c r="Q171" s="589"/>
      <c r="R171" s="576"/>
      <c r="S171" s="583">
        <f t="shared" si="21"/>
        <v>0</v>
      </c>
      <c r="T171" s="584">
        <v>0</v>
      </c>
      <c r="U171" s="51"/>
      <c r="V171" s="2120">
        <f t="shared" si="22"/>
        <v>0</v>
      </c>
      <c r="W171" s="2116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8"/>
        <v>4385</v>
      </c>
      <c r="O172" s="581"/>
      <c r="P172" s="582">
        <v>0</v>
      </c>
      <c r="Q172" s="589"/>
      <c r="R172" s="576"/>
      <c r="S172" s="583">
        <f t="shared" si="21"/>
        <v>0</v>
      </c>
      <c r="T172" s="584">
        <v>0</v>
      </c>
      <c r="U172" s="51"/>
      <c r="V172" s="2120">
        <f t="shared" si="22"/>
        <v>0</v>
      </c>
      <c r="W172" s="2116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3">+A173</f>
        <v>4393</v>
      </c>
      <c r="O173" s="575">
        <v>0</v>
      </c>
      <c r="P173" s="576"/>
      <c r="Q173" s="589"/>
      <c r="R173" s="121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2116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3"/>
        <v>4397</v>
      </c>
      <c r="O174" s="575">
        <v>0</v>
      </c>
      <c r="P174" s="576"/>
      <c r="Q174" s="589"/>
      <c r="R174" s="121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2116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3"/>
        <v>4398</v>
      </c>
      <c r="O175" s="575">
        <v>0</v>
      </c>
      <c r="P175" s="576"/>
      <c r="Q175" s="589"/>
      <c r="R175" s="121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2116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3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2116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3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2116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3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2116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3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4">+IF(ABS(+O179+Q179)&lt;=ABS(P179+R179),-O179+P179-Q179+R179,0)</f>
        <v>0</v>
      </c>
      <c r="U179" s="51"/>
      <c r="V179" s="2119"/>
      <c r="W179" s="2116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3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4"/>
        <v>0</v>
      </c>
      <c r="U180" s="51"/>
      <c r="V180" s="2119"/>
      <c r="W180" s="2116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3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4"/>
        <v>0</v>
      </c>
      <c r="U181" s="51"/>
      <c r="V181" s="2119"/>
      <c r="W181" s="2116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3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4"/>
        <v>0</v>
      </c>
      <c r="U182" s="51"/>
      <c r="V182" s="2119"/>
      <c r="W182" s="2116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3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4"/>
        <v>0</v>
      </c>
      <c r="U183" s="51"/>
      <c r="V183" s="2119"/>
      <c r="W183" s="2116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3"/>
        <v>4520</v>
      </c>
      <c r="O184" s="575">
        <v>0</v>
      </c>
      <c r="P184" s="576"/>
      <c r="Q184" s="589"/>
      <c r="R184" s="121"/>
      <c r="S184" s="579">
        <v>0</v>
      </c>
      <c r="T184" s="580">
        <f t="shared" si="24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2116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3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2116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3"/>
        <v>4523</v>
      </c>
      <c r="O186" s="575">
        <v>0</v>
      </c>
      <c r="P186" s="576"/>
      <c r="Q186" s="589"/>
      <c r="R186" s="121"/>
      <c r="S186" s="579">
        <v>0</v>
      </c>
      <c r="T186" s="580">
        <f>+IF(ABS(+O186+Q186)&lt;=ABS(P186+R186),-O186+P186-Q186+R186,0)</f>
        <v>0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2116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3"/>
        <v>4544</v>
      </c>
      <c r="O187" s="575">
        <v>0</v>
      </c>
      <c r="P187" s="576"/>
      <c r="Q187" s="589"/>
      <c r="R187" s="121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2116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3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2116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3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2116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3"/>
        <v>4548</v>
      </c>
      <c r="O190" s="575">
        <v>0</v>
      </c>
      <c r="P190" s="576"/>
      <c r="Q190" s="589"/>
      <c r="R190" s="121"/>
      <c r="S190" s="579">
        <v>0</v>
      </c>
      <c r="T190" s="580">
        <f t="shared" ref="T190:T195" si="25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2116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3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5"/>
        <v>0</v>
      </c>
      <c r="U191" s="51"/>
      <c r="V191" s="2119"/>
      <c r="W191" s="2116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3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5"/>
        <v>0</v>
      </c>
      <c r="U192" s="51"/>
      <c r="V192" s="2119"/>
      <c r="W192" s="2116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3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5"/>
        <v>0</v>
      </c>
      <c r="U193" s="51"/>
      <c r="V193" s="2119"/>
      <c r="W193" s="2116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3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5"/>
        <v>0</v>
      </c>
      <c r="U194" s="51"/>
      <c r="V194" s="2119"/>
      <c r="W194" s="2116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3"/>
        <v>4560</v>
      </c>
      <c r="O195" s="575">
        <v>0</v>
      </c>
      <c r="P195" s="576"/>
      <c r="Q195" s="589"/>
      <c r="R195" s="121"/>
      <c r="S195" s="579">
        <v>0</v>
      </c>
      <c r="T195" s="580">
        <f t="shared" si="25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2116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3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2116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3"/>
        <v>4568</v>
      </c>
      <c r="O197" s="575">
        <v>0</v>
      </c>
      <c r="P197" s="576"/>
      <c r="Q197" s="589"/>
      <c r="R197" s="121"/>
      <c r="S197" s="579">
        <v>0</v>
      </c>
      <c r="T197" s="580">
        <f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2116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3"/>
        <v>4598</v>
      </c>
      <c r="O198" s="575">
        <v>0</v>
      </c>
      <c r="P198" s="576"/>
      <c r="Q198" s="589"/>
      <c r="R198" s="121"/>
      <c r="S198" s="579">
        <v>0</v>
      </c>
      <c r="T198" s="580">
        <f>+IF(ABS(+O198+Q198)&lt;=ABS(P198+R198),-O198+P198-Q198+R198,0)</f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2116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3"/>
        <v>4599</v>
      </c>
      <c r="O199" s="581"/>
      <c r="P199" s="576"/>
      <c r="Q199" s="589"/>
      <c r="R199" s="576"/>
      <c r="S199" s="583">
        <f t="shared" ref="S199:S219" si="26">+IF(ABS(+O199+Q199)&gt;=ABS(P199+R199),+O199-P199+Q199-R199,0)</f>
        <v>0</v>
      </c>
      <c r="T199" s="580">
        <f t="shared" ref="T199:T218" si="27">+IF(ABS(+O199+Q199)&lt;=ABS(P199+R199),-O199+P199-Q199+R199,0)</f>
        <v>0</v>
      </c>
      <c r="U199" s="51"/>
      <c r="V199" s="2119"/>
      <c r="W199" s="2116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3"/>
        <v>4611</v>
      </c>
      <c r="O200" s="581"/>
      <c r="P200" s="576"/>
      <c r="Q200" s="589"/>
      <c r="R200" s="576"/>
      <c r="S200" s="583">
        <f t="shared" si="26"/>
        <v>0</v>
      </c>
      <c r="T200" s="580">
        <f t="shared" si="27"/>
        <v>0</v>
      </c>
      <c r="U200" s="51"/>
      <c r="V200" s="2119"/>
      <c r="W200" s="2116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3"/>
        <v>4612</v>
      </c>
      <c r="O201" s="581"/>
      <c r="P201" s="576"/>
      <c r="Q201" s="589"/>
      <c r="R201" s="576"/>
      <c r="S201" s="583">
        <f t="shared" si="26"/>
        <v>0</v>
      </c>
      <c r="T201" s="580">
        <f t="shared" si="27"/>
        <v>0</v>
      </c>
      <c r="U201" s="51"/>
      <c r="V201" s="2119"/>
      <c r="W201" s="2116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3"/>
        <v>4614</v>
      </c>
      <c r="O202" s="581"/>
      <c r="P202" s="576"/>
      <c r="Q202" s="589"/>
      <c r="R202" s="576"/>
      <c r="S202" s="583">
        <f t="shared" si="26"/>
        <v>0</v>
      </c>
      <c r="T202" s="580">
        <f t="shared" si="27"/>
        <v>0</v>
      </c>
      <c r="U202" s="51"/>
      <c r="V202" s="2119"/>
      <c r="W202" s="2116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3"/>
        <v>4615</v>
      </c>
      <c r="O203" s="581"/>
      <c r="P203" s="576"/>
      <c r="Q203" s="589"/>
      <c r="R203" s="576"/>
      <c r="S203" s="583">
        <f t="shared" si="26"/>
        <v>0</v>
      </c>
      <c r="T203" s="580">
        <f t="shared" si="27"/>
        <v>0</v>
      </c>
      <c r="U203" s="51"/>
      <c r="V203" s="2119"/>
      <c r="W203" s="2116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3"/>
        <v>4622</v>
      </c>
      <c r="O204" s="581"/>
      <c r="P204" s="576"/>
      <c r="Q204" s="589"/>
      <c r="R204" s="576"/>
      <c r="S204" s="583">
        <f t="shared" si="26"/>
        <v>0</v>
      </c>
      <c r="T204" s="580">
        <f t="shared" si="27"/>
        <v>0</v>
      </c>
      <c r="U204" s="51"/>
      <c r="V204" s="2119"/>
      <c r="W204" s="2116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3"/>
        <v>4624</v>
      </c>
      <c r="O205" s="581"/>
      <c r="P205" s="576"/>
      <c r="Q205" s="589"/>
      <c r="R205" s="576"/>
      <c r="S205" s="583">
        <f t="shared" si="26"/>
        <v>0</v>
      </c>
      <c r="T205" s="580">
        <f t="shared" si="27"/>
        <v>0</v>
      </c>
      <c r="U205" s="51"/>
      <c r="V205" s="2119"/>
      <c r="W205" s="2116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3"/>
        <v>4625</v>
      </c>
      <c r="O206" s="581"/>
      <c r="P206" s="576"/>
      <c r="Q206" s="589"/>
      <c r="R206" s="576"/>
      <c r="S206" s="583">
        <f t="shared" si="26"/>
        <v>0</v>
      </c>
      <c r="T206" s="580">
        <f t="shared" si="27"/>
        <v>0</v>
      </c>
      <c r="U206" s="51"/>
      <c r="V206" s="2119"/>
      <c r="W206" s="2116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3"/>
        <v>4630</v>
      </c>
      <c r="O207" s="581"/>
      <c r="P207" s="576"/>
      <c r="Q207" s="589"/>
      <c r="R207" s="576"/>
      <c r="S207" s="583">
        <f t="shared" si="26"/>
        <v>0</v>
      </c>
      <c r="T207" s="580">
        <f t="shared" si="27"/>
        <v>0</v>
      </c>
      <c r="U207" s="51"/>
      <c r="V207" s="2119"/>
      <c r="W207" s="2116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3"/>
        <v>4651</v>
      </c>
      <c r="O208" s="581"/>
      <c r="P208" s="576"/>
      <c r="Q208" s="589"/>
      <c r="R208" s="576"/>
      <c r="S208" s="583">
        <f t="shared" si="26"/>
        <v>0</v>
      </c>
      <c r="T208" s="580">
        <f t="shared" si="27"/>
        <v>0</v>
      </c>
      <c r="U208" s="51"/>
      <c r="V208" s="2119"/>
      <c r="W208" s="2116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3"/>
        <v>4655</v>
      </c>
      <c r="O209" s="581"/>
      <c r="P209" s="576"/>
      <c r="Q209" s="589"/>
      <c r="R209" s="576"/>
      <c r="S209" s="583">
        <f t="shared" si="26"/>
        <v>0</v>
      </c>
      <c r="T209" s="580">
        <f t="shared" si="27"/>
        <v>0</v>
      </c>
      <c r="U209" s="51"/>
      <c r="V209" s="2119"/>
      <c r="W209" s="2116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3"/>
        <v>4659</v>
      </c>
      <c r="O210" s="581"/>
      <c r="P210" s="576"/>
      <c r="Q210" s="589"/>
      <c r="R210" s="576"/>
      <c r="S210" s="583">
        <f t="shared" si="26"/>
        <v>0</v>
      </c>
      <c r="T210" s="580">
        <f t="shared" si="27"/>
        <v>0</v>
      </c>
      <c r="U210" s="51"/>
      <c r="V210" s="2119"/>
      <c r="W210" s="2116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3"/>
        <v>4671</v>
      </c>
      <c r="O211" s="581"/>
      <c r="P211" s="576"/>
      <c r="Q211" s="589"/>
      <c r="R211" s="576"/>
      <c r="S211" s="583">
        <f t="shared" si="26"/>
        <v>0</v>
      </c>
      <c r="T211" s="580">
        <f t="shared" si="27"/>
        <v>0</v>
      </c>
      <c r="U211" s="51"/>
      <c r="V211" s="2119"/>
      <c r="W211" s="2116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3"/>
        <v>4672</v>
      </c>
      <c r="O212" s="581"/>
      <c r="P212" s="576"/>
      <c r="Q212" s="589"/>
      <c r="R212" s="576"/>
      <c r="S212" s="583">
        <f t="shared" si="26"/>
        <v>0</v>
      </c>
      <c r="T212" s="580">
        <f t="shared" si="27"/>
        <v>0</v>
      </c>
      <c r="U212" s="51"/>
      <c r="V212" s="2119"/>
      <c r="W212" s="2116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3"/>
        <v>4674</v>
      </c>
      <c r="O213" s="581"/>
      <c r="P213" s="576"/>
      <c r="Q213" s="589"/>
      <c r="R213" s="576"/>
      <c r="S213" s="583">
        <f t="shared" si="26"/>
        <v>0</v>
      </c>
      <c r="T213" s="580">
        <f t="shared" si="27"/>
        <v>0</v>
      </c>
      <c r="U213" s="51"/>
      <c r="V213" s="2119"/>
      <c r="W213" s="2116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3"/>
        <v>4675</v>
      </c>
      <c r="O214" s="581"/>
      <c r="P214" s="576"/>
      <c r="Q214" s="589"/>
      <c r="R214" s="576"/>
      <c r="S214" s="583">
        <f t="shared" si="26"/>
        <v>0</v>
      </c>
      <c r="T214" s="580">
        <f t="shared" si="27"/>
        <v>0</v>
      </c>
      <c r="U214" s="51"/>
      <c r="V214" s="2119"/>
      <c r="W214" s="2116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3"/>
        <v>4679</v>
      </c>
      <c r="O215" s="581"/>
      <c r="P215" s="576"/>
      <c r="Q215" s="589"/>
      <c r="R215" s="576"/>
      <c r="S215" s="583">
        <f t="shared" si="26"/>
        <v>0</v>
      </c>
      <c r="T215" s="580">
        <f t="shared" si="27"/>
        <v>0</v>
      </c>
      <c r="U215" s="51"/>
      <c r="V215" s="2119"/>
      <c r="W215" s="2116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3"/>
        <v>4682</v>
      </c>
      <c r="O216" s="581"/>
      <c r="P216" s="576"/>
      <c r="Q216" s="589"/>
      <c r="R216" s="576"/>
      <c r="S216" s="583">
        <f t="shared" si="26"/>
        <v>0</v>
      </c>
      <c r="T216" s="580">
        <f t="shared" si="27"/>
        <v>0</v>
      </c>
      <c r="U216" s="51"/>
      <c r="V216" s="2119"/>
      <c r="W216" s="2116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3"/>
        <v>4684</v>
      </c>
      <c r="O217" s="581"/>
      <c r="P217" s="576"/>
      <c r="Q217" s="589"/>
      <c r="R217" s="576"/>
      <c r="S217" s="583">
        <f t="shared" si="26"/>
        <v>0</v>
      </c>
      <c r="T217" s="580">
        <f t="shared" si="27"/>
        <v>0</v>
      </c>
      <c r="U217" s="51"/>
      <c r="V217" s="2119"/>
      <c r="W217" s="2116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3"/>
        <v>4685</v>
      </c>
      <c r="O218" s="581"/>
      <c r="P218" s="576"/>
      <c r="Q218" s="589"/>
      <c r="R218" s="576"/>
      <c r="S218" s="583">
        <f t="shared" si="26"/>
        <v>0</v>
      </c>
      <c r="T218" s="580">
        <f t="shared" si="27"/>
        <v>0</v>
      </c>
      <c r="U218" s="51"/>
      <c r="V218" s="2119"/>
      <c r="W218" s="2116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3"/>
        <v>4691</v>
      </c>
      <c r="O219" s="581"/>
      <c r="P219" s="582">
        <v>0</v>
      </c>
      <c r="Q219" s="589"/>
      <c r="R219" s="576"/>
      <c r="S219" s="583">
        <f t="shared" si="26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2116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3"/>
        <v>4692</v>
      </c>
      <c r="O220" s="575">
        <v>0</v>
      </c>
      <c r="P220" s="576"/>
      <c r="Q220" s="589"/>
      <c r="R220" s="121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2116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3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2116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8">+A222</f>
        <v>4694</v>
      </c>
      <c r="O222" s="575">
        <v>0</v>
      </c>
      <c r="P222" s="576"/>
      <c r="Q222" s="589"/>
      <c r="R222" s="121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2116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8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2116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8"/>
        <v>4696</v>
      </c>
      <c r="O224" s="575">
        <v>0</v>
      </c>
      <c r="P224" s="576"/>
      <c r="Q224" s="589"/>
      <c r="R224" s="121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2116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8"/>
        <v>4830</v>
      </c>
      <c r="O225" s="575">
        <v>0</v>
      </c>
      <c r="P225" s="576"/>
      <c r="Q225" s="589"/>
      <c r="R225" s="121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2116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8"/>
        <v>4831</v>
      </c>
      <c r="O226" s="575">
        <v>0</v>
      </c>
      <c r="P226" s="576"/>
      <c r="Q226" s="589"/>
      <c r="R226" s="121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2116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8"/>
        <v>4832</v>
      </c>
      <c r="O227" s="575">
        <v>0</v>
      </c>
      <c r="P227" s="576"/>
      <c r="Q227" s="589"/>
      <c r="R227" s="121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2116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8"/>
        <v>4835</v>
      </c>
      <c r="O228" s="575">
        <v>0</v>
      </c>
      <c r="P228" s="576"/>
      <c r="Q228" s="589"/>
      <c r="R228" s="121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2116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8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2116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8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2116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8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2116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8"/>
        <v>4845</v>
      </c>
      <c r="O232" s="575">
        <v>0</v>
      </c>
      <c r="P232" s="576"/>
      <c r="Q232" s="589"/>
      <c r="R232" s="121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2116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8"/>
        <v>4847</v>
      </c>
      <c r="O233" s="575">
        <v>0</v>
      </c>
      <c r="P233" s="576"/>
      <c r="Q233" s="589"/>
      <c r="R233" s="121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2116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8"/>
        <v>4848</v>
      </c>
      <c r="O234" s="575">
        <v>0</v>
      </c>
      <c r="P234" s="576"/>
      <c r="Q234" s="589"/>
      <c r="R234" s="121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2116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8"/>
        <v>4851</v>
      </c>
      <c r="O235" s="575">
        <v>0</v>
      </c>
      <c r="P235" s="576"/>
      <c r="Q235" s="589"/>
      <c r="R235" s="121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2116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8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2116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8"/>
        <v>4853</v>
      </c>
      <c r="O237" s="575">
        <v>0</v>
      </c>
      <c r="P237" s="576"/>
      <c r="Q237" s="589"/>
      <c r="R237" s="121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2116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8"/>
        <v>4854</v>
      </c>
      <c r="O238" s="575">
        <v>0</v>
      </c>
      <c r="P238" s="576"/>
      <c r="Q238" s="589"/>
      <c r="R238" s="121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2116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8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2116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8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2116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8"/>
        <v>4861</v>
      </c>
      <c r="O241" s="575">
        <v>0</v>
      </c>
      <c r="P241" s="576"/>
      <c r="Q241" s="589"/>
      <c r="R241" s="121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2116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8"/>
        <v>4862</v>
      </c>
      <c r="O242" s="575">
        <v>0</v>
      </c>
      <c r="P242" s="576"/>
      <c r="Q242" s="589"/>
      <c r="R242" s="121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2116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8"/>
        <v>4863</v>
      </c>
      <c r="O243" s="575">
        <v>0</v>
      </c>
      <c r="P243" s="576"/>
      <c r="Q243" s="589"/>
      <c r="R243" s="121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2116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8"/>
        <v>4864</v>
      </c>
      <c r="O244" s="575">
        <v>0</v>
      </c>
      <c r="P244" s="576"/>
      <c r="Q244" s="589"/>
      <c r="R244" s="121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2116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8"/>
        <v>4865</v>
      </c>
      <c r="O245" s="581"/>
      <c r="P245" s="582">
        <v>0</v>
      </c>
      <c r="Q245" s="589"/>
      <c r="R245" s="576"/>
      <c r="S245" s="583">
        <f t="shared" ref="S245:S250" si="29">+IF(ABS(+O245+Q245)&gt;=ABS(P245+R245),+O245-P245+Q245-R245,0)</f>
        <v>0</v>
      </c>
      <c r="T245" s="584">
        <v>0</v>
      </c>
      <c r="U245" s="51"/>
      <c r="V245" s="2120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116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8"/>
        <v>4866</v>
      </c>
      <c r="O246" s="581"/>
      <c r="P246" s="582">
        <v>0</v>
      </c>
      <c r="Q246" s="589"/>
      <c r="R246" s="576"/>
      <c r="S246" s="583">
        <f t="shared" si="29"/>
        <v>0</v>
      </c>
      <c r="T246" s="584">
        <v>0</v>
      </c>
      <c r="U246" s="51"/>
      <c r="V246" s="2120">
        <f t="shared" si="30"/>
        <v>0</v>
      </c>
      <c r="W246" s="2116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8"/>
        <v>4867</v>
      </c>
      <c r="O247" s="581"/>
      <c r="P247" s="582">
        <v>0</v>
      </c>
      <c r="Q247" s="589"/>
      <c r="R247" s="576"/>
      <c r="S247" s="583">
        <f t="shared" si="29"/>
        <v>0</v>
      </c>
      <c r="T247" s="584">
        <v>0</v>
      </c>
      <c r="U247" s="51"/>
      <c r="V247" s="2120">
        <f t="shared" si="30"/>
        <v>0</v>
      </c>
      <c r="W247" s="2116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8"/>
        <v>4868</v>
      </c>
      <c r="O248" s="581"/>
      <c r="P248" s="582">
        <v>0</v>
      </c>
      <c r="Q248" s="589"/>
      <c r="R248" s="576"/>
      <c r="S248" s="583">
        <f t="shared" si="29"/>
        <v>0</v>
      </c>
      <c r="T248" s="584">
        <v>0</v>
      </c>
      <c r="U248" s="51"/>
      <c r="V248" s="2120">
        <f t="shared" si="30"/>
        <v>0</v>
      </c>
      <c r="W248" s="2116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8"/>
        <v>4871</v>
      </c>
      <c r="O249" s="581"/>
      <c r="P249" s="582">
        <v>0</v>
      </c>
      <c r="Q249" s="589"/>
      <c r="R249" s="576"/>
      <c r="S249" s="583">
        <f t="shared" si="29"/>
        <v>0</v>
      </c>
      <c r="T249" s="584">
        <v>0</v>
      </c>
      <c r="U249" s="51"/>
      <c r="V249" s="2120">
        <f t="shared" si="30"/>
        <v>0</v>
      </c>
      <c r="W249" s="2116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8"/>
        <v>4872</v>
      </c>
      <c r="O250" s="581"/>
      <c r="P250" s="582">
        <v>0</v>
      </c>
      <c r="Q250" s="589"/>
      <c r="R250" s="576"/>
      <c r="S250" s="583">
        <f t="shared" si="29"/>
        <v>0</v>
      </c>
      <c r="T250" s="584">
        <v>0</v>
      </c>
      <c r="U250" s="51"/>
      <c r="V250" s="2120">
        <f t="shared" si="30"/>
        <v>0</v>
      </c>
      <c r="W250" s="2116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8"/>
        <v>4877</v>
      </c>
      <c r="O251" s="575">
        <v>0</v>
      </c>
      <c r="P251" s="576"/>
      <c r="Q251" s="589"/>
      <c r="R251" s="121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2116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8"/>
        <v>4878</v>
      </c>
      <c r="O252" s="575">
        <v>0</v>
      </c>
      <c r="P252" s="576"/>
      <c r="Q252" s="589"/>
      <c r="R252" s="121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2116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8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2116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8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2116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8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2116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8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2116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8"/>
        <v>4895</v>
      </c>
      <c r="O257" s="575">
        <v>0</v>
      </c>
      <c r="P257" s="576"/>
      <c r="Q257" s="589"/>
      <c r="R257" s="121"/>
      <c r="S257" s="579">
        <v>0</v>
      </c>
      <c r="T257" s="580">
        <f t="shared" ref="T257:T270" si="31">+IF(ABS(+O257+Q257)&lt;=ABS(P257+R257),-O257+P257-Q257+R257,0)</f>
        <v>0</v>
      </c>
      <c r="U257" s="51"/>
      <c r="V257" s="2119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116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8"/>
        <v>4896</v>
      </c>
      <c r="O258" s="575">
        <v>0</v>
      </c>
      <c r="P258" s="576"/>
      <c r="Q258" s="589"/>
      <c r="R258" s="121"/>
      <c r="S258" s="579">
        <v>0</v>
      </c>
      <c r="T258" s="580">
        <f t="shared" si="31"/>
        <v>0</v>
      </c>
      <c r="U258" s="51"/>
      <c r="V258" s="2119">
        <f t="shared" si="32"/>
        <v>0</v>
      </c>
      <c r="W258" s="2116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8"/>
        <v>4897</v>
      </c>
      <c r="O259" s="575">
        <v>0</v>
      </c>
      <c r="P259" s="594"/>
      <c r="Q259" s="589"/>
      <c r="R259" s="121"/>
      <c r="S259" s="579">
        <v>0</v>
      </c>
      <c r="T259" s="580">
        <f t="shared" si="31"/>
        <v>0</v>
      </c>
      <c r="U259" s="51"/>
      <c r="V259" s="2119">
        <f t="shared" si="32"/>
        <v>0</v>
      </c>
      <c r="W259" s="2116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8"/>
        <v>4898</v>
      </c>
      <c r="O260" s="575">
        <v>0</v>
      </c>
      <c r="P260" s="594"/>
      <c r="Q260" s="589"/>
      <c r="R260" s="121"/>
      <c r="S260" s="579">
        <v>0</v>
      </c>
      <c r="T260" s="580">
        <f t="shared" si="31"/>
        <v>0</v>
      </c>
      <c r="U260" s="51"/>
      <c r="V260" s="2119">
        <f t="shared" si="32"/>
        <v>0</v>
      </c>
      <c r="W260" s="2116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8"/>
        <v>4911</v>
      </c>
      <c r="O261" s="575">
        <v>0</v>
      </c>
      <c r="P261" s="576"/>
      <c r="Q261" s="589"/>
      <c r="R261" s="121"/>
      <c r="S261" s="579">
        <v>0</v>
      </c>
      <c r="T261" s="580">
        <f t="shared" si="31"/>
        <v>0</v>
      </c>
      <c r="U261" s="52"/>
      <c r="V261" s="2119">
        <f t="shared" si="32"/>
        <v>0</v>
      </c>
      <c r="W261" s="2116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8"/>
        <v>4915</v>
      </c>
      <c r="O262" s="575">
        <v>0</v>
      </c>
      <c r="P262" s="576"/>
      <c r="Q262" s="589"/>
      <c r="R262" s="121"/>
      <c r="S262" s="579">
        <v>0</v>
      </c>
      <c r="T262" s="580">
        <f t="shared" si="31"/>
        <v>0</v>
      </c>
      <c r="U262" s="51"/>
      <c r="V262" s="2119">
        <f t="shared" si="32"/>
        <v>0</v>
      </c>
      <c r="W262" s="2116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8"/>
        <v>4916</v>
      </c>
      <c r="O263" s="575">
        <v>0</v>
      </c>
      <c r="P263" s="576"/>
      <c r="Q263" s="589"/>
      <c r="R263" s="121"/>
      <c r="S263" s="579">
        <v>0</v>
      </c>
      <c r="T263" s="580">
        <f t="shared" si="31"/>
        <v>0</v>
      </c>
      <c r="U263" s="51"/>
      <c r="V263" s="2119">
        <f t="shared" si="32"/>
        <v>0</v>
      </c>
      <c r="W263" s="2116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8"/>
        <v>4917</v>
      </c>
      <c r="O264" s="575">
        <v>0</v>
      </c>
      <c r="P264" s="576"/>
      <c r="Q264" s="589"/>
      <c r="R264" s="121"/>
      <c r="S264" s="579">
        <v>0</v>
      </c>
      <c r="T264" s="580">
        <f t="shared" si="31"/>
        <v>0</v>
      </c>
      <c r="U264" s="51"/>
      <c r="V264" s="2119">
        <f t="shared" si="32"/>
        <v>0</v>
      </c>
      <c r="W264" s="2116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8"/>
        <v>4918</v>
      </c>
      <c r="O265" s="575">
        <v>0</v>
      </c>
      <c r="P265" s="576"/>
      <c r="Q265" s="589"/>
      <c r="R265" s="121"/>
      <c r="S265" s="579">
        <v>0</v>
      </c>
      <c r="T265" s="580">
        <f t="shared" si="31"/>
        <v>0</v>
      </c>
      <c r="U265" s="51"/>
      <c r="V265" s="2119">
        <f t="shared" si="32"/>
        <v>0</v>
      </c>
      <c r="W265" s="2116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8"/>
        <v>4940</v>
      </c>
      <c r="O266" s="575">
        <v>0</v>
      </c>
      <c r="P266" s="576"/>
      <c r="Q266" s="589"/>
      <c r="R266" s="121"/>
      <c r="S266" s="579">
        <v>0</v>
      </c>
      <c r="T266" s="580">
        <f t="shared" si="31"/>
        <v>0</v>
      </c>
      <c r="U266" s="51"/>
      <c r="V266" s="2119">
        <f t="shared" si="32"/>
        <v>0</v>
      </c>
      <c r="W266" s="2116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8"/>
        <v>4951</v>
      </c>
      <c r="O267" s="575">
        <v>0</v>
      </c>
      <c r="P267" s="576"/>
      <c r="Q267" s="589"/>
      <c r="R267" s="121"/>
      <c r="S267" s="579">
        <v>0</v>
      </c>
      <c r="T267" s="580">
        <f t="shared" si="31"/>
        <v>0</v>
      </c>
      <c r="U267" s="51"/>
      <c r="V267" s="2119">
        <f t="shared" si="32"/>
        <v>0</v>
      </c>
      <c r="W267" s="2116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8"/>
        <v>4955</v>
      </c>
      <c r="O268" s="575">
        <v>0</v>
      </c>
      <c r="P268" s="576"/>
      <c r="Q268" s="589"/>
      <c r="R268" s="121"/>
      <c r="S268" s="579">
        <v>0</v>
      </c>
      <c r="T268" s="580">
        <f t="shared" si="31"/>
        <v>0</v>
      </c>
      <c r="U268" s="51"/>
      <c r="V268" s="2119">
        <f t="shared" si="32"/>
        <v>0</v>
      </c>
      <c r="W268" s="2116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8"/>
        <v>4956</v>
      </c>
      <c r="O269" s="575">
        <v>0</v>
      </c>
      <c r="P269" s="576"/>
      <c r="Q269" s="589"/>
      <c r="R269" s="121"/>
      <c r="S269" s="579">
        <v>0</v>
      </c>
      <c r="T269" s="580">
        <f t="shared" si="31"/>
        <v>0</v>
      </c>
      <c r="U269" s="51"/>
      <c r="V269" s="2119">
        <f t="shared" si="32"/>
        <v>0</v>
      </c>
      <c r="W269" s="2116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8"/>
        <v>4957</v>
      </c>
      <c r="O270" s="575">
        <v>0</v>
      </c>
      <c r="P270" s="576"/>
      <c r="Q270" s="589"/>
      <c r="R270" s="121"/>
      <c r="S270" s="579">
        <v>0</v>
      </c>
      <c r="T270" s="580">
        <f t="shared" si="31"/>
        <v>0</v>
      </c>
      <c r="U270" s="51"/>
      <c r="V270" s="2119">
        <f t="shared" si="32"/>
        <v>0</v>
      </c>
      <c r="W270" s="2116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8"/>
        <v>4960</v>
      </c>
      <c r="O271" s="581"/>
      <c r="P271" s="576"/>
      <c r="Q271" s="589"/>
      <c r="R271" s="576"/>
      <c r="S271" s="583">
        <f t="shared" ref="S271:S283" si="33">+IF(ABS(+O271+Q271)&gt;=ABS(P271+R271),+O271-P271+Q271-R271,0)</f>
        <v>0</v>
      </c>
      <c r="T271" s="580">
        <f t="shared" ref="T271:T282" si="34">+IF(ABS(+O271+Q271)&lt;=ABS(P271+R271),-O271+P271-Q271+R271,0)</f>
        <v>0</v>
      </c>
      <c r="U271" s="51"/>
      <c r="V271" s="2119"/>
      <c r="W271" s="2116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8"/>
        <v>4961</v>
      </c>
      <c r="O272" s="581"/>
      <c r="P272" s="576"/>
      <c r="Q272" s="589"/>
      <c r="R272" s="576"/>
      <c r="S272" s="583">
        <f t="shared" si="33"/>
        <v>0</v>
      </c>
      <c r="T272" s="580">
        <f t="shared" si="34"/>
        <v>0</v>
      </c>
      <c r="U272" s="51"/>
      <c r="V272" s="2119"/>
      <c r="W272" s="2116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8"/>
        <v>4962</v>
      </c>
      <c r="O273" s="581"/>
      <c r="P273" s="576"/>
      <c r="Q273" s="589"/>
      <c r="R273" s="576"/>
      <c r="S273" s="583">
        <f t="shared" si="33"/>
        <v>0</v>
      </c>
      <c r="T273" s="580">
        <f t="shared" si="34"/>
        <v>0</v>
      </c>
      <c r="U273" s="51"/>
      <c r="V273" s="2119"/>
      <c r="W273" s="2116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8"/>
        <v>4970</v>
      </c>
      <c r="O274" s="581"/>
      <c r="P274" s="576"/>
      <c r="Q274" s="589"/>
      <c r="R274" s="576"/>
      <c r="S274" s="583">
        <f t="shared" si="33"/>
        <v>0</v>
      </c>
      <c r="T274" s="580">
        <f t="shared" si="34"/>
        <v>0</v>
      </c>
      <c r="U274" s="51"/>
      <c r="V274" s="2119"/>
      <c r="W274" s="2116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5">+A275</f>
        <v>4971</v>
      </c>
      <c r="O275" s="581"/>
      <c r="P275" s="576"/>
      <c r="Q275" s="589"/>
      <c r="R275" s="576"/>
      <c r="S275" s="583">
        <f t="shared" si="33"/>
        <v>0</v>
      </c>
      <c r="T275" s="580">
        <f t="shared" si="34"/>
        <v>0</v>
      </c>
      <c r="U275" s="51"/>
      <c r="V275" s="2119"/>
      <c r="W275" s="2116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5"/>
        <v>4972</v>
      </c>
      <c r="O276" s="581"/>
      <c r="P276" s="576"/>
      <c r="Q276" s="589"/>
      <c r="R276" s="576"/>
      <c r="S276" s="583">
        <f t="shared" si="33"/>
        <v>0</v>
      </c>
      <c r="T276" s="580">
        <f t="shared" si="34"/>
        <v>0</v>
      </c>
      <c r="U276" s="51"/>
      <c r="V276" s="2119"/>
      <c r="W276" s="2116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5"/>
        <v>4973</v>
      </c>
      <c r="O277" s="581"/>
      <c r="P277" s="576"/>
      <c r="Q277" s="589"/>
      <c r="R277" s="576"/>
      <c r="S277" s="583">
        <f t="shared" si="33"/>
        <v>0</v>
      </c>
      <c r="T277" s="580">
        <f t="shared" si="34"/>
        <v>0</v>
      </c>
      <c r="U277" s="51"/>
      <c r="V277" s="2119"/>
      <c r="W277" s="2116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5"/>
        <v>4974</v>
      </c>
      <c r="O278" s="581"/>
      <c r="P278" s="576"/>
      <c r="Q278" s="589"/>
      <c r="R278" s="576"/>
      <c r="S278" s="583">
        <f t="shared" si="33"/>
        <v>0</v>
      </c>
      <c r="T278" s="580">
        <f t="shared" si="34"/>
        <v>0</v>
      </c>
      <c r="U278" s="51"/>
      <c r="V278" s="2119"/>
      <c r="W278" s="2116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5"/>
        <v>4975</v>
      </c>
      <c r="O279" s="581"/>
      <c r="P279" s="576"/>
      <c r="Q279" s="589"/>
      <c r="R279" s="576"/>
      <c r="S279" s="583">
        <f t="shared" si="33"/>
        <v>0</v>
      </c>
      <c r="T279" s="580">
        <f t="shared" si="34"/>
        <v>0</v>
      </c>
      <c r="U279" s="51"/>
      <c r="V279" s="2119"/>
      <c r="W279" s="2116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5"/>
        <v>4976</v>
      </c>
      <c r="O280" s="581"/>
      <c r="P280" s="576"/>
      <c r="Q280" s="589"/>
      <c r="R280" s="576"/>
      <c r="S280" s="583">
        <f t="shared" si="33"/>
        <v>0</v>
      </c>
      <c r="T280" s="580">
        <f t="shared" si="34"/>
        <v>0</v>
      </c>
      <c r="U280" s="51"/>
      <c r="V280" s="2119"/>
      <c r="W280" s="2116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5"/>
        <v>4978</v>
      </c>
      <c r="O281" s="581"/>
      <c r="P281" s="576"/>
      <c r="Q281" s="589"/>
      <c r="R281" s="576"/>
      <c r="S281" s="583">
        <f t="shared" si="33"/>
        <v>0</v>
      </c>
      <c r="T281" s="580">
        <f t="shared" si="34"/>
        <v>0</v>
      </c>
      <c r="U281" s="51"/>
      <c r="V281" s="2119"/>
      <c r="W281" s="2116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5"/>
        <v>4979</v>
      </c>
      <c r="O282" s="581"/>
      <c r="P282" s="576"/>
      <c r="Q282" s="589"/>
      <c r="R282" s="576"/>
      <c r="S282" s="583">
        <f t="shared" si="33"/>
        <v>0</v>
      </c>
      <c r="T282" s="580">
        <f t="shared" si="34"/>
        <v>0</v>
      </c>
      <c r="U282" s="51"/>
      <c r="V282" s="2119"/>
      <c r="W282" s="2116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5"/>
        <v>4980</v>
      </c>
      <c r="O283" s="581"/>
      <c r="P283" s="582">
        <v>0</v>
      </c>
      <c r="Q283" s="589"/>
      <c r="R283" s="576"/>
      <c r="S283" s="583">
        <f t="shared" si="33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2116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5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2116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2116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6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292" si="37">+IF(ABS(+O286+Q286)&gt;=ABS(P286+R286),+O286-P286+Q286-R286,0)</f>
        <v>0</v>
      </c>
      <c r="T286" s="830">
        <v>0</v>
      </c>
      <c r="U286" s="51"/>
      <c r="V286" s="2120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116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6"/>
        <v>5001</v>
      </c>
      <c r="O287" s="120"/>
      <c r="P287" s="9">
        <v>0</v>
      </c>
      <c r="Q287" s="122"/>
      <c r="R287" s="576"/>
      <c r="S287" s="27">
        <f t="shared" si="37"/>
        <v>0</v>
      </c>
      <c r="T287" s="30">
        <v>0</v>
      </c>
      <c r="U287" s="51"/>
      <c r="V287" s="2120">
        <f t="shared" si="38"/>
        <v>0</v>
      </c>
      <c r="W287" s="2116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6"/>
        <v>5002</v>
      </c>
      <c r="O288" s="120"/>
      <c r="P288" s="9">
        <v>0</v>
      </c>
      <c r="Q288" s="122"/>
      <c r="R288" s="576"/>
      <c r="S288" s="27">
        <f t="shared" si="37"/>
        <v>0</v>
      </c>
      <c r="T288" s="30">
        <v>0</v>
      </c>
      <c r="U288" s="51"/>
      <c r="V288" s="2120">
        <f t="shared" si="38"/>
        <v>0</v>
      </c>
      <c r="W288" s="2116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>+IF(ABS(+O289+Q289)&gt;=ABS(P289+R289),+O289-P289+Q289-R289,0)</f>
        <v>0</v>
      </c>
      <c r="T289" s="830">
        <v>0</v>
      </c>
      <c r="U289" s="51"/>
      <c r="V289" s="2120">
        <f t="shared" si="38"/>
        <v>0</v>
      </c>
      <c r="W289" s="2116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>+IF(ABS(+O290+Q290)&gt;=ABS(P290+R290),+O290-P290+Q290-R290,0)</f>
        <v>0</v>
      </c>
      <c r="T290" s="830">
        <v>0</v>
      </c>
      <c r="U290" s="51"/>
      <c r="V290" s="2120">
        <f t="shared" si="38"/>
        <v>0</v>
      </c>
      <c r="W290" s="2116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6"/>
        <v>5007</v>
      </c>
      <c r="O291" s="120"/>
      <c r="P291" s="9">
        <v>0</v>
      </c>
      <c r="Q291" s="122"/>
      <c r="R291" s="576"/>
      <c r="S291" s="27">
        <f t="shared" si="37"/>
        <v>0</v>
      </c>
      <c r="T291" s="30">
        <v>0</v>
      </c>
      <c r="U291" s="51"/>
      <c r="V291" s="2120">
        <f t="shared" si="38"/>
        <v>0</v>
      </c>
      <c r="W291" s="2116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6"/>
        <v>5008</v>
      </c>
      <c r="O292" s="120"/>
      <c r="P292" s="9">
        <v>0</v>
      </c>
      <c r="Q292" s="122"/>
      <c r="R292" s="576"/>
      <c r="S292" s="27">
        <f t="shared" si="37"/>
        <v>0</v>
      </c>
      <c r="T292" s="30">
        <v>0</v>
      </c>
      <c r="U292" s="51"/>
      <c r="V292" s="2120">
        <f t="shared" si="38"/>
        <v>0</v>
      </c>
      <c r="W292" s="2116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ref="S293:S321" si="39">+IF(ABS(+O293+Q293)&gt;=ABS(P293+R293),+O293-P293+Q293-R293,0)</f>
        <v>0</v>
      </c>
      <c r="T293" s="830">
        <v>0</v>
      </c>
      <c r="U293" s="51"/>
      <c r="V293" s="2120">
        <f t="shared" si="38"/>
        <v>0</v>
      </c>
      <c r="W293" s="2116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6"/>
        <v>5011</v>
      </c>
      <c r="O294" s="120"/>
      <c r="P294" s="9">
        <v>0</v>
      </c>
      <c r="Q294" s="122"/>
      <c r="R294" s="576"/>
      <c r="S294" s="27">
        <f t="shared" si="39"/>
        <v>0</v>
      </c>
      <c r="T294" s="30">
        <v>0</v>
      </c>
      <c r="U294" s="51"/>
      <c r="V294" s="2120">
        <f t="shared" si="38"/>
        <v>0</v>
      </c>
      <c r="W294" s="2116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6"/>
        <v>5012</v>
      </c>
      <c r="O295" s="120"/>
      <c r="P295" s="9">
        <v>0</v>
      </c>
      <c r="Q295" s="122"/>
      <c r="R295" s="576"/>
      <c r="S295" s="583">
        <f t="shared" si="39"/>
        <v>0</v>
      </c>
      <c r="T295" s="584">
        <v>0</v>
      </c>
      <c r="U295" s="51"/>
      <c r="V295" s="2120">
        <f t="shared" si="38"/>
        <v>0</v>
      </c>
      <c r="W295" s="2116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6"/>
        <v>5013</v>
      </c>
      <c r="O296" s="120"/>
      <c r="P296" s="9">
        <v>0</v>
      </c>
      <c r="Q296" s="122"/>
      <c r="R296" s="576"/>
      <c r="S296" s="583">
        <f t="shared" si="39"/>
        <v>0</v>
      </c>
      <c r="T296" s="584">
        <v>0</v>
      </c>
      <c r="U296" s="51"/>
      <c r="V296" s="2120">
        <f t="shared" si="38"/>
        <v>0</v>
      </c>
      <c r="W296" s="2116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6"/>
        <v>5014</v>
      </c>
      <c r="O297" s="120"/>
      <c r="P297" s="9">
        <v>0</v>
      </c>
      <c r="Q297" s="122"/>
      <c r="R297" s="576"/>
      <c r="S297" s="583">
        <f t="shared" si="39"/>
        <v>0</v>
      </c>
      <c r="T297" s="584">
        <v>0</v>
      </c>
      <c r="U297" s="51"/>
      <c r="V297" s="2120">
        <f t="shared" si="38"/>
        <v>0</v>
      </c>
      <c r="W297" s="2116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6"/>
        <v>5015</v>
      </c>
      <c r="O298" s="120"/>
      <c r="P298" s="9">
        <v>0</v>
      </c>
      <c r="Q298" s="122"/>
      <c r="R298" s="576"/>
      <c r="S298" s="583">
        <f t="shared" si="39"/>
        <v>0</v>
      </c>
      <c r="T298" s="584">
        <v>0</v>
      </c>
      <c r="U298" s="51"/>
      <c r="V298" s="2120">
        <f t="shared" si="38"/>
        <v>0</v>
      </c>
      <c r="W298" s="2116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6"/>
        <v>5016</v>
      </c>
      <c r="O299" s="120"/>
      <c r="P299" s="9">
        <v>0</v>
      </c>
      <c r="Q299" s="122"/>
      <c r="R299" s="576"/>
      <c r="S299" s="583">
        <f t="shared" si="39"/>
        <v>0</v>
      </c>
      <c r="T299" s="584">
        <v>0</v>
      </c>
      <c r="U299" s="51"/>
      <c r="V299" s="2120">
        <f t="shared" si="38"/>
        <v>0</v>
      </c>
      <c r="W299" s="2116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6"/>
        <v>5017</v>
      </c>
      <c r="O300" s="120"/>
      <c r="P300" s="9">
        <v>0</v>
      </c>
      <c r="Q300" s="122"/>
      <c r="R300" s="576"/>
      <c r="S300" s="583">
        <f t="shared" si="39"/>
        <v>0</v>
      </c>
      <c r="T300" s="584">
        <v>0</v>
      </c>
      <c r="U300" s="51"/>
      <c r="V300" s="2120">
        <f t="shared" si="38"/>
        <v>0</v>
      </c>
      <c r="W300" s="2116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6"/>
        <v>5018</v>
      </c>
      <c r="O301" s="581"/>
      <c r="P301" s="582">
        <v>0</v>
      </c>
      <c r="Q301" s="589"/>
      <c r="R301" s="576"/>
      <c r="S301" s="583">
        <f t="shared" si="39"/>
        <v>0</v>
      </c>
      <c r="T301" s="584">
        <v>0</v>
      </c>
      <c r="U301" s="51"/>
      <c r="V301" s="2120">
        <f t="shared" si="38"/>
        <v>0</v>
      </c>
      <c r="W301" s="2116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6"/>
        <v>5022</v>
      </c>
      <c r="O302" s="581"/>
      <c r="P302" s="582">
        <v>0</v>
      </c>
      <c r="Q302" s="589"/>
      <c r="R302" s="576"/>
      <c r="S302" s="583">
        <f t="shared" si="39"/>
        <v>0</v>
      </c>
      <c r="T302" s="584">
        <v>0</v>
      </c>
      <c r="U302" s="51"/>
      <c r="V302" s="2120">
        <f t="shared" si="38"/>
        <v>0</v>
      </c>
      <c r="W302" s="2116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6"/>
        <v>5024</v>
      </c>
      <c r="O303" s="581"/>
      <c r="P303" s="582">
        <v>0</v>
      </c>
      <c r="Q303" s="589"/>
      <c r="R303" s="576"/>
      <c r="S303" s="583">
        <f t="shared" si="39"/>
        <v>0</v>
      </c>
      <c r="T303" s="584">
        <v>0</v>
      </c>
      <c r="U303" s="51"/>
      <c r="V303" s="2120">
        <f t="shared" si="38"/>
        <v>0</v>
      </c>
      <c r="W303" s="2116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6"/>
        <v>5026</v>
      </c>
      <c r="O304" s="581"/>
      <c r="P304" s="582">
        <v>0</v>
      </c>
      <c r="Q304" s="589"/>
      <c r="R304" s="576"/>
      <c r="S304" s="583">
        <f t="shared" si="39"/>
        <v>0</v>
      </c>
      <c r="T304" s="584">
        <v>0</v>
      </c>
      <c r="U304" s="51"/>
      <c r="V304" s="2120">
        <f t="shared" si="38"/>
        <v>0</v>
      </c>
      <c r="W304" s="2116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6"/>
        <v>5028</v>
      </c>
      <c r="O305" s="581"/>
      <c r="P305" s="582">
        <v>0</v>
      </c>
      <c r="Q305" s="589"/>
      <c r="R305" s="576"/>
      <c r="S305" s="583">
        <f t="shared" si="39"/>
        <v>0</v>
      </c>
      <c r="T305" s="584">
        <v>0</v>
      </c>
      <c r="U305" s="51"/>
      <c r="V305" s="2120">
        <f t="shared" si="38"/>
        <v>0</v>
      </c>
      <c r="W305" s="2116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6"/>
        <v>5071</v>
      </c>
      <c r="O306" s="581"/>
      <c r="P306" s="582">
        <v>0</v>
      </c>
      <c r="Q306" s="589"/>
      <c r="R306" s="576"/>
      <c r="S306" s="583">
        <f t="shared" si="39"/>
        <v>0</v>
      </c>
      <c r="T306" s="584">
        <v>0</v>
      </c>
      <c r="U306" s="51"/>
      <c r="V306" s="2120">
        <f t="shared" si="38"/>
        <v>0</v>
      </c>
      <c r="W306" s="2116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6"/>
        <v>5073</v>
      </c>
      <c r="O307" s="581"/>
      <c r="P307" s="582">
        <v>0</v>
      </c>
      <c r="Q307" s="589"/>
      <c r="R307" s="576"/>
      <c r="S307" s="583">
        <f t="shared" si="39"/>
        <v>0</v>
      </c>
      <c r="T307" s="584">
        <v>0</v>
      </c>
      <c r="U307" s="51"/>
      <c r="V307" s="2120">
        <f t="shared" si="38"/>
        <v>0</v>
      </c>
      <c r="W307" s="2116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6"/>
        <v>5078</v>
      </c>
      <c r="O308" s="581"/>
      <c r="P308" s="582">
        <v>0</v>
      </c>
      <c r="Q308" s="589"/>
      <c r="R308" s="576"/>
      <c r="S308" s="583">
        <f t="shared" si="39"/>
        <v>0</v>
      </c>
      <c r="T308" s="584">
        <v>0</v>
      </c>
      <c r="U308" s="51"/>
      <c r="V308" s="2120">
        <f t="shared" si="38"/>
        <v>0</v>
      </c>
      <c r="W308" s="2116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6"/>
        <v>5081</v>
      </c>
      <c r="O309" s="581"/>
      <c r="P309" s="582">
        <v>0</v>
      </c>
      <c r="Q309" s="589"/>
      <c r="R309" s="576"/>
      <c r="S309" s="583">
        <f t="shared" si="39"/>
        <v>0</v>
      </c>
      <c r="T309" s="584">
        <v>0</v>
      </c>
      <c r="U309" s="51"/>
      <c r="V309" s="2120">
        <f t="shared" si="38"/>
        <v>0</v>
      </c>
      <c r="W309" s="2116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6"/>
        <v>5082</v>
      </c>
      <c r="O310" s="581"/>
      <c r="P310" s="582">
        <v>0</v>
      </c>
      <c r="Q310" s="589"/>
      <c r="R310" s="576"/>
      <c r="S310" s="583">
        <f t="shared" si="39"/>
        <v>0</v>
      </c>
      <c r="T310" s="584">
        <v>0</v>
      </c>
      <c r="U310" s="51"/>
      <c r="V310" s="2120">
        <f t="shared" si="38"/>
        <v>0</v>
      </c>
      <c r="W310" s="2116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6"/>
        <v>5091</v>
      </c>
      <c r="O311" s="120"/>
      <c r="P311" s="9">
        <v>0</v>
      </c>
      <c r="Q311" s="122"/>
      <c r="R311" s="576"/>
      <c r="S311" s="583">
        <f t="shared" si="39"/>
        <v>0</v>
      </c>
      <c r="T311" s="584">
        <v>0</v>
      </c>
      <c r="U311" s="51"/>
      <c r="V311" s="2120">
        <f t="shared" si="38"/>
        <v>0</v>
      </c>
      <c r="W311" s="2116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6"/>
        <v>5092</v>
      </c>
      <c r="O312" s="120"/>
      <c r="P312" s="9">
        <v>0</v>
      </c>
      <c r="Q312" s="122"/>
      <c r="R312" s="576"/>
      <c r="S312" s="583">
        <f t="shared" si="39"/>
        <v>0</v>
      </c>
      <c r="T312" s="584">
        <v>0</v>
      </c>
      <c r="U312" s="51"/>
      <c r="V312" s="2120">
        <f t="shared" si="38"/>
        <v>0</v>
      </c>
      <c r="W312" s="2116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6"/>
        <v>5111</v>
      </c>
      <c r="O313" s="120"/>
      <c r="P313" s="9">
        <v>0</v>
      </c>
      <c r="Q313" s="122"/>
      <c r="R313" s="576"/>
      <c r="S313" s="583">
        <f t="shared" si="39"/>
        <v>0</v>
      </c>
      <c r="T313" s="584">
        <v>0</v>
      </c>
      <c r="U313" s="51"/>
      <c r="V313" s="2120">
        <f t="shared" si="38"/>
        <v>0</v>
      </c>
      <c r="W313" s="2116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6"/>
        <v>5112</v>
      </c>
      <c r="O314" s="120"/>
      <c r="P314" s="9">
        <v>0</v>
      </c>
      <c r="Q314" s="122"/>
      <c r="R314" s="576"/>
      <c r="S314" s="583">
        <f t="shared" si="39"/>
        <v>0</v>
      </c>
      <c r="T314" s="584">
        <v>0</v>
      </c>
      <c r="U314" s="51"/>
      <c r="V314" s="2120">
        <f t="shared" si="38"/>
        <v>0</v>
      </c>
      <c r="W314" s="2116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6"/>
        <v>5113</v>
      </c>
      <c r="O315" s="120"/>
      <c r="P315" s="9">
        <v>0</v>
      </c>
      <c r="Q315" s="122"/>
      <c r="R315" s="576"/>
      <c r="S315" s="583">
        <f t="shared" si="39"/>
        <v>0</v>
      </c>
      <c r="T315" s="584">
        <v>0</v>
      </c>
      <c r="U315" s="51"/>
      <c r="V315" s="2120">
        <f t="shared" si="38"/>
        <v>0</v>
      </c>
      <c r="W315" s="2116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6"/>
        <v>5114</v>
      </c>
      <c r="O316" s="120"/>
      <c r="P316" s="9">
        <v>0</v>
      </c>
      <c r="Q316" s="122"/>
      <c r="R316" s="576"/>
      <c r="S316" s="583">
        <f t="shared" si="39"/>
        <v>0</v>
      </c>
      <c r="T316" s="584">
        <v>0</v>
      </c>
      <c r="U316" s="51"/>
      <c r="V316" s="2120">
        <f t="shared" si="38"/>
        <v>0</v>
      </c>
      <c r="W316" s="2116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6"/>
        <v>5121</v>
      </c>
      <c r="O317" s="120"/>
      <c r="P317" s="9">
        <v>0</v>
      </c>
      <c r="Q317" s="122"/>
      <c r="R317" s="576"/>
      <c r="S317" s="583">
        <f t="shared" si="39"/>
        <v>0</v>
      </c>
      <c r="T317" s="584">
        <v>0</v>
      </c>
      <c r="U317" s="51"/>
      <c r="V317" s="2120">
        <f t="shared" si="38"/>
        <v>0</v>
      </c>
      <c r="W317" s="2116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40">+A318</f>
        <v>5122</v>
      </c>
      <c r="O318" s="120"/>
      <c r="P318" s="9">
        <v>0</v>
      </c>
      <c r="Q318" s="122"/>
      <c r="R318" s="576"/>
      <c r="S318" s="583">
        <f t="shared" si="39"/>
        <v>0</v>
      </c>
      <c r="T318" s="584">
        <v>0</v>
      </c>
      <c r="U318" s="51"/>
      <c r="V318" s="2120">
        <f t="shared" si="38"/>
        <v>0</v>
      </c>
      <c r="W318" s="2116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40"/>
        <v>5123</v>
      </c>
      <c r="O319" s="120"/>
      <c r="P319" s="9">
        <v>0</v>
      </c>
      <c r="Q319" s="122"/>
      <c r="R319" s="576"/>
      <c r="S319" s="583">
        <f t="shared" si="39"/>
        <v>0</v>
      </c>
      <c r="T319" s="584">
        <v>0</v>
      </c>
      <c r="U319" s="51"/>
      <c r="V319" s="2120">
        <f t="shared" si="38"/>
        <v>0</v>
      </c>
      <c r="W319" s="2116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40"/>
        <v>5124</v>
      </c>
      <c r="O320" s="120"/>
      <c r="P320" s="9">
        <v>0</v>
      </c>
      <c r="Q320" s="122"/>
      <c r="R320" s="576"/>
      <c r="S320" s="583">
        <f t="shared" si="39"/>
        <v>0</v>
      </c>
      <c r="T320" s="584">
        <v>0</v>
      </c>
      <c r="U320" s="51"/>
      <c r="V320" s="2120">
        <f t="shared" si="38"/>
        <v>0</v>
      </c>
      <c r="W320" s="2116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40"/>
        <v>5131</v>
      </c>
      <c r="O321" s="120"/>
      <c r="P321" s="9">
        <v>0</v>
      </c>
      <c r="Q321" s="122"/>
      <c r="R321" s="576"/>
      <c r="S321" s="583">
        <f t="shared" si="39"/>
        <v>0</v>
      </c>
      <c r="T321" s="584">
        <v>0</v>
      </c>
      <c r="U321" s="51"/>
      <c r="V321" s="2120">
        <f t="shared" si="38"/>
        <v>0</v>
      </c>
      <c r="W321" s="2116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40"/>
        <v>5139</v>
      </c>
      <c r="O322" s="120"/>
      <c r="P322" s="121"/>
      <c r="Q322" s="122"/>
      <c r="R322" s="121"/>
      <c r="S322" s="583">
        <f>+IF(ABS(+O322+Q322)&gt;=ABS(P322+R322),+O322-P322+Q322-R322,0)</f>
        <v>0</v>
      </c>
      <c r="T322" s="580">
        <f>+IF(ABS(+O322+Q322)&lt;=ABS(P322+R322),-O322+P322-Q322+R322,0)</f>
        <v>0</v>
      </c>
      <c r="U322" s="51"/>
      <c r="V322" s="2119"/>
      <c r="W322" s="2116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40"/>
        <v>5141</v>
      </c>
      <c r="O323" s="120"/>
      <c r="P323" s="9">
        <v>0</v>
      </c>
      <c r="Q323" s="122"/>
      <c r="R323" s="576"/>
      <c r="S323" s="583">
        <f>+IF(ABS(+O323+Q323)&gt;=ABS(P323+R323),+O323-P323+Q323-R323,0)</f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2116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40"/>
        <v>5142</v>
      </c>
      <c r="O324" s="120"/>
      <c r="P324" s="9">
        <v>0</v>
      </c>
      <c r="Q324" s="122"/>
      <c r="R324" s="576"/>
      <c r="S324" s="583">
        <f>+IF(ABS(+O324+Q324)&gt;=ABS(P324+R324),+O324-P324+Q324-R324,0)</f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2116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40"/>
        <v>5143</v>
      </c>
      <c r="O325" s="120"/>
      <c r="P325" s="9">
        <v>0</v>
      </c>
      <c r="Q325" s="122"/>
      <c r="R325" s="576"/>
      <c r="S325" s="583">
        <f>+IF(ABS(+O325+Q325)&gt;=ABS(P325+R325),+O325-P325+Q325-R325,0)</f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2116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40"/>
        <v>5144</v>
      </c>
      <c r="O326" s="120"/>
      <c r="P326" s="9">
        <v>0</v>
      </c>
      <c r="Q326" s="122"/>
      <c r="R326" s="576"/>
      <c r="S326" s="583">
        <f>+IF(ABS(+O326+Q326)&gt;=ABS(P326+R326),+O326-P326+Q326-R326,0)</f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2116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40"/>
        <v>5145</v>
      </c>
      <c r="O327" s="120"/>
      <c r="P327" s="121"/>
      <c r="Q327" s="122"/>
      <c r="R327" s="121"/>
      <c r="S327" s="583">
        <f t="shared" ref="S327:S363" si="41">+IF(ABS(+O327+Q327)&gt;=ABS(P327+R327),+O327-P327+Q327-R327,0)</f>
        <v>0</v>
      </c>
      <c r="T327" s="580">
        <f>+IF(ABS(+O327+Q327)&lt;=ABS(P327+R327),-O327+P327-Q327+R327,0)</f>
        <v>0</v>
      </c>
      <c r="U327" s="51"/>
      <c r="V327" s="2119"/>
      <c r="W327" s="2116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40"/>
        <v>5146</v>
      </c>
      <c r="O328" s="581"/>
      <c r="P328" s="576"/>
      <c r="Q328" s="589"/>
      <c r="R328" s="576"/>
      <c r="S328" s="583">
        <f t="shared" si="41"/>
        <v>0</v>
      </c>
      <c r="T328" s="580">
        <f>+IF(ABS(+O328+Q328)&lt;=ABS(P328+R328),-O328+P328-Q328+R328,0)</f>
        <v>0</v>
      </c>
      <c r="U328" s="51"/>
      <c r="V328" s="2119"/>
      <c r="W328" s="2116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40"/>
        <v>5147</v>
      </c>
      <c r="O329" s="581"/>
      <c r="P329" s="576"/>
      <c r="Q329" s="589"/>
      <c r="R329" s="576"/>
      <c r="S329" s="583">
        <f t="shared" si="41"/>
        <v>0</v>
      </c>
      <c r="T329" s="580">
        <f>+IF(ABS(+O329+Q329)&lt;=ABS(P329+R329),-O329+P329-Q329+R329,0)</f>
        <v>0</v>
      </c>
      <c r="U329" s="51"/>
      <c r="V329" s="2119"/>
      <c r="W329" s="2116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40"/>
        <v>5148</v>
      </c>
      <c r="O330" s="581"/>
      <c r="P330" s="576"/>
      <c r="Q330" s="589"/>
      <c r="R330" s="576"/>
      <c r="S330" s="583">
        <f t="shared" si="41"/>
        <v>0</v>
      </c>
      <c r="T330" s="580">
        <f>+IF(ABS(+O330+Q330)&lt;=ABS(P330+R330),-O330+P330-Q330+R330,0)</f>
        <v>0</v>
      </c>
      <c r="U330" s="51"/>
      <c r="V330" s="2119"/>
      <c r="W330" s="2116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40"/>
        <v>5181</v>
      </c>
      <c r="O331" s="581"/>
      <c r="P331" s="582">
        <v>0</v>
      </c>
      <c r="Q331" s="589"/>
      <c r="R331" s="576"/>
      <c r="S331" s="583">
        <f t="shared" si="41"/>
        <v>0</v>
      </c>
      <c r="T331" s="584">
        <v>0</v>
      </c>
      <c r="U331" s="51"/>
      <c r="V331" s="2120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116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40"/>
        <v>5184</v>
      </c>
      <c r="O332" s="581"/>
      <c r="P332" s="582">
        <v>0</v>
      </c>
      <c r="Q332" s="589"/>
      <c r="R332" s="576"/>
      <c r="S332" s="583">
        <f t="shared" si="41"/>
        <v>0</v>
      </c>
      <c r="T332" s="584">
        <v>0</v>
      </c>
      <c r="U332" s="51"/>
      <c r="V332" s="2120">
        <f t="shared" si="42"/>
        <v>0</v>
      </c>
      <c r="W332" s="2116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40"/>
        <v>5186</v>
      </c>
      <c r="O333" s="581"/>
      <c r="P333" s="582">
        <v>0</v>
      </c>
      <c r="Q333" s="589"/>
      <c r="R333" s="576"/>
      <c r="S333" s="583">
        <f t="shared" si="41"/>
        <v>0</v>
      </c>
      <c r="T333" s="584">
        <v>0</v>
      </c>
      <c r="U333" s="51"/>
      <c r="V333" s="2120">
        <f t="shared" si="42"/>
        <v>0</v>
      </c>
      <c r="W333" s="2116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40"/>
        <v>5188</v>
      </c>
      <c r="O334" s="581"/>
      <c r="P334" s="582">
        <v>0</v>
      </c>
      <c r="Q334" s="589"/>
      <c r="R334" s="576"/>
      <c r="S334" s="583">
        <f t="shared" si="41"/>
        <v>0</v>
      </c>
      <c r="T334" s="584">
        <v>0</v>
      </c>
      <c r="U334" s="51"/>
      <c r="V334" s="2120">
        <f t="shared" si="42"/>
        <v>0</v>
      </c>
      <c r="W334" s="2116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40"/>
        <v>5189</v>
      </c>
      <c r="O335" s="581"/>
      <c r="P335" s="582">
        <v>0</v>
      </c>
      <c r="Q335" s="589"/>
      <c r="R335" s="576"/>
      <c r="S335" s="583">
        <f t="shared" si="41"/>
        <v>0</v>
      </c>
      <c r="T335" s="584">
        <v>0</v>
      </c>
      <c r="U335" s="51"/>
      <c r="V335" s="2120">
        <f t="shared" si="42"/>
        <v>0</v>
      </c>
      <c r="W335" s="2116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40"/>
        <v>5191</v>
      </c>
      <c r="O336" s="581"/>
      <c r="P336" s="582">
        <v>0</v>
      </c>
      <c r="Q336" s="325"/>
      <c r="R336" s="576"/>
      <c r="S336" s="583">
        <f t="shared" si="41"/>
        <v>0</v>
      </c>
      <c r="T336" s="584">
        <v>0</v>
      </c>
      <c r="U336" s="51"/>
      <c r="V336" s="2120">
        <f t="shared" si="42"/>
        <v>0</v>
      </c>
      <c r="W336" s="2116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40"/>
        <v>5192</v>
      </c>
      <c r="O337" s="575">
        <v>0</v>
      </c>
      <c r="P337" s="576"/>
      <c r="Q337" s="325"/>
      <c r="R337" s="121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2116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40"/>
        <v>5197</v>
      </c>
      <c r="O338" s="581"/>
      <c r="P338" s="582">
        <v>0</v>
      </c>
      <c r="Q338" s="589"/>
      <c r="R338" s="576"/>
      <c r="S338" s="583">
        <f t="shared" ref="S338:S343" si="43">+IF(ABS(+O338+Q338)&gt;=ABS(P338+R338),+O338-P338+Q338-R338,0)</f>
        <v>0</v>
      </c>
      <c r="T338" s="584">
        <v>0</v>
      </c>
      <c r="U338" s="51"/>
      <c r="V338" s="2120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116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40"/>
        <v>5198</v>
      </c>
      <c r="O339" s="581"/>
      <c r="P339" s="582">
        <v>0</v>
      </c>
      <c r="Q339" s="589"/>
      <c r="R339" s="576"/>
      <c r="S339" s="583">
        <f t="shared" si="43"/>
        <v>0</v>
      </c>
      <c r="T339" s="584">
        <v>0</v>
      </c>
      <c r="U339" s="51"/>
      <c r="V339" s="2120">
        <f t="shared" si="44"/>
        <v>0</v>
      </c>
      <c r="W339" s="2116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40"/>
        <v>5211</v>
      </c>
      <c r="O340" s="120"/>
      <c r="P340" s="9">
        <v>0</v>
      </c>
      <c r="Q340" s="122"/>
      <c r="R340" s="576"/>
      <c r="S340" s="583">
        <f t="shared" si="43"/>
        <v>0</v>
      </c>
      <c r="T340" s="584">
        <v>0</v>
      </c>
      <c r="U340" s="51"/>
      <c r="V340" s="2120">
        <f t="shared" si="44"/>
        <v>0</v>
      </c>
      <c r="W340" s="2116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40"/>
        <v>5213</v>
      </c>
      <c r="O341" s="120"/>
      <c r="P341" s="9">
        <v>0</v>
      </c>
      <c r="Q341" s="122"/>
      <c r="R341" s="576"/>
      <c r="S341" s="583">
        <f t="shared" si="43"/>
        <v>0</v>
      </c>
      <c r="T341" s="584">
        <v>0</v>
      </c>
      <c r="U341" s="51"/>
      <c r="V341" s="2120">
        <f t="shared" si="44"/>
        <v>0</v>
      </c>
      <c r="W341" s="2116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40"/>
        <v>5215</v>
      </c>
      <c r="O342" s="120"/>
      <c r="P342" s="9">
        <v>0</v>
      </c>
      <c r="Q342" s="122"/>
      <c r="R342" s="576"/>
      <c r="S342" s="583">
        <f t="shared" si="43"/>
        <v>0</v>
      </c>
      <c r="T342" s="584">
        <v>0</v>
      </c>
      <c r="U342" s="51"/>
      <c r="V342" s="2120">
        <f t="shared" si="44"/>
        <v>0</v>
      </c>
      <c r="W342" s="2116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40"/>
        <v>5217</v>
      </c>
      <c r="O343" s="120"/>
      <c r="P343" s="9">
        <v>0</v>
      </c>
      <c r="Q343" s="122"/>
      <c r="R343" s="576"/>
      <c r="S343" s="583">
        <f t="shared" si="43"/>
        <v>0</v>
      </c>
      <c r="T343" s="584">
        <v>0</v>
      </c>
      <c r="U343" s="51"/>
      <c r="V343" s="2120">
        <f t="shared" si="44"/>
        <v>0</v>
      </c>
      <c r="W343" s="2116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40"/>
        <v>5221</v>
      </c>
      <c r="O344" s="581"/>
      <c r="P344" s="576"/>
      <c r="Q344" s="589"/>
      <c r="R344" s="576"/>
      <c r="S344" s="583">
        <f t="shared" si="41"/>
        <v>0</v>
      </c>
      <c r="T344" s="580">
        <f>+IF(ABS(+O344+Q344)&lt;=ABS(P344+R344),-O344+P344-Q344+R344,0)</f>
        <v>0</v>
      </c>
      <c r="U344" s="51"/>
      <c r="V344" s="2119"/>
      <c r="W344" s="2116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5">+A345</f>
        <v>5223</v>
      </c>
      <c r="O345" s="581"/>
      <c r="P345" s="576"/>
      <c r="Q345" s="589"/>
      <c r="R345" s="576"/>
      <c r="S345" s="583">
        <f t="shared" si="41"/>
        <v>0</v>
      </c>
      <c r="T345" s="580">
        <f>+IF(ABS(+O345+Q345)&lt;=ABS(P345+R345),-O345+P345-Q345+R345,0)</f>
        <v>0</v>
      </c>
      <c r="U345" s="51"/>
      <c r="V345" s="2119"/>
      <c r="W345" s="2116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5"/>
        <v>5231</v>
      </c>
      <c r="O346" s="581"/>
      <c r="P346" s="582">
        <v>0</v>
      </c>
      <c r="Q346" s="589"/>
      <c r="R346" s="576"/>
      <c r="S346" s="583">
        <f t="shared" si="41"/>
        <v>0</v>
      </c>
      <c r="T346" s="584">
        <v>0</v>
      </c>
      <c r="U346" s="51"/>
      <c r="V346" s="2120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116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5"/>
        <v>5235</v>
      </c>
      <c r="O347" s="581"/>
      <c r="P347" s="582">
        <v>0</v>
      </c>
      <c r="Q347" s="589"/>
      <c r="R347" s="576"/>
      <c r="S347" s="583">
        <f t="shared" si="41"/>
        <v>0</v>
      </c>
      <c r="T347" s="584">
        <v>0</v>
      </c>
      <c r="U347" s="51"/>
      <c r="V347" s="2120">
        <f t="shared" si="46"/>
        <v>0</v>
      </c>
      <c r="W347" s="2116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5"/>
        <v>5311</v>
      </c>
      <c r="O348" s="581"/>
      <c r="P348" s="582">
        <v>0</v>
      </c>
      <c r="Q348" s="589"/>
      <c r="R348" s="576"/>
      <c r="S348" s="583">
        <f t="shared" si="41"/>
        <v>0</v>
      </c>
      <c r="T348" s="584">
        <v>0</v>
      </c>
      <c r="U348" s="51"/>
      <c r="V348" s="2120">
        <f t="shared" si="46"/>
        <v>0</v>
      </c>
      <c r="W348" s="2116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5"/>
        <v>5312</v>
      </c>
      <c r="O349" s="581"/>
      <c r="P349" s="582">
        <v>0</v>
      </c>
      <c r="Q349" s="589"/>
      <c r="R349" s="576"/>
      <c r="S349" s="583">
        <f t="shared" si="41"/>
        <v>0</v>
      </c>
      <c r="T349" s="584">
        <v>0</v>
      </c>
      <c r="U349" s="51"/>
      <c r="V349" s="2120">
        <f t="shared" si="46"/>
        <v>0</v>
      </c>
      <c r="W349" s="2116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5"/>
        <v>5313</v>
      </c>
      <c r="O350" s="581"/>
      <c r="P350" s="582">
        <v>0</v>
      </c>
      <c r="Q350" s="589"/>
      <c r="R350" s="576"/>
      <c r="S350" s="583">
        <f t="shared" si="41"/>
        <v>0</v>
      </c>
      <c r="T350" s="584">
        <v>0</v>
      </c>
      <c r="U350" s="51"/>
      <c r="V350" s="2120">
        <f t="shared" si="46"/>
        <v>0</v>
      </c>
      <c r="W350" s="2116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5"/>
        <v>5314</v>
      </c>
      <c r="O351" s="581"/>
      <c r="P351" s="582">
        <v>0</v>
      </c>
      <c r="Q351" s="589"/>
      <c r="R351" s="576"/>
      <c r="S351" s="583">
        <f t="shared" si="41"/>
        <v>0</v>
      </c>
      <c r="T351" s="584">
        <v>0</v>
      </c>
      <c r="U351" s="51"/>
      <c r="V351" s="2120">
        <f t="shared" si="46"/>
        <v>0</v>
      </c>
      <c r="W351" s="2116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5"/>
        <v>5315</v>
      </c>
      <c r="O352" s="581"/>
      <c r="P352" s="582">
        <v>0</v>
      </c>
      <c r="Q352" s="589"/>
      <c r="R352" s="576"/>
      <c r="S352" s="583">
        <f t="shared" si="41"/>
        <v>0</v>
      </c>
      <c r="T352" s="584">
        <v>0</v>
      </c>
      <c r="U352" s="51"/>
      <c r="V352" s="2120">
        <f t="shared" si="46"/>
        <v>0</v>
      </c>
      <c r="W352" s="2116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5"/>
        <v>5316</v>
      </c>
      <c r="O353" s="581"/>
      <c r="P353" s="582">
        <v>0</v>
      </c>
      <c r="Q353" s="589"/>
      <c r="R353" s="576"/>
      <c r="S353" s="583">
        <f t="shared" si="41"/>
        <v>0</v>
      </c>
      <c r="T353" s="584">
        <v>0</v>
      </c>
      <c r="U353" s="51"/>
      <c r="V353" s="2120">
        <f t="shared" si="46"/>
        <v>0</v>
      </c>
      <c r="W353" s="2116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5"/>
        <v>5317</v>
      </c>
      <c r="O354" s="581"/>
      <c r="P354" s="582">
        <v>0</v>
      </c>
      <c r="Q354" s="589"/>
      <c r="R354" s="576"/>
      <c r="S354" s="583">
        <f t="shared" si="41"/>
        <v>0</v>
      </c>
      <c r="T354" s="584">
        <v>0</v>
      </c>
      <c r="U354" s="51"/>
      <c r="V354" s="2120">
        <f t="shared" si="46"/>
        <v>0</v>
      </c>
      <c r="W354" s="2116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5"/>
        <v>5318</v>
      </c>
      <c r="O355" s="581"/>
      <c r="P355" s="582">
        <v>0</v>
      </c>
      <c r="Q355" s="589"/>
      <c r="R355" s="576"/>
      <c r="S355" s="583">
        <f t="shared" si="41"/>
        <v>0</v>
      </c>
      <c r="T355" s="584">
        <v>0</v>
      </c>
      <c r="U355" s="51"/>
      <c r="V355" s="2120">
        <f t="shared" si="46"/>
        <v>0</v>
      </c>
      <c r="W355" s="2116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5"/>
        <v>5319</v>
      </c>
      <c r="O356" s="581"/>
      <c r="P356" s="582">
        <v>0</v>
      </c>
      <c r="Q356" s="589"/>
      <c r="R356" s="576"/>
      <c r="S356" s="583">
        <f t="shared" si="41"/>
        <v>0</v>
      </c>
      <c r="T356" s="584">
        <v>0</v>
      </c>
      <c r="U356" s="51"/>
      <c r="V356" s="2120">
        <f t="shared" si="46"/>
        <v>0</v>
      </c>
      <c r="W356" s="2116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5"/>
        <v>5321</v>
      </c>
      <c r="O357" s="581"/>
      <c r="P357" s="582">
        <v>0</v>
      </c>
      <c r="Q357" s="589"/>
      <c r="R357" s="576"/>
      <c r="S357" s="583">
        <f t="shared" si="41"/>
        <v>0</v>
      </c>
      <c r="T357" s="584">
        <v>0</v>
      </c>
      <c r="U357" s="51"/>
      <c r="V357" s="2120">
        <f t="shared" si="46"/>
        <v>0</v>
      </c>
      <c r="W357" s="2116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5"/>
        <v>5322</v>
      </c>
      <c r="O358" s="581"/>
      <c r="P358" s="582">
        <v>0</v>
      </c>
      <c r="Q358" s="589"/>
      <c r="R358" s="576"/>
      <c r="S358" s="583">
        <f t="shared" si="41"/>
        <v>0</v>
      </c>
      <c r="T358" s="584">
        <v>0</v>
      </c>
      <c r="U358" s="51"/>
      <c r="V358" s="2120">
        <f t="shared" si="46"/>
        <v>0</v>
      </c>
      <c r="W358" s="2116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5"/>
        <v>5323</v>
      </c>
      <c r="O359" s="581"/>
      <c r="P359" s="582">
        <v>0</v>
      </c>
      <c r="Q359" s="589"/>
      <c r="R359" s="576"/>
      <c r="S359" s="583">
        <f t="shared" si="41"/>
        <v>0</v>
      </c>
      <c r="T359" s="584">
        <v>0</v>
      </c>
      <c r="U359" s="51"/>
      <c r="V359" s="2120">
        <f t="shared" si="46"/>
        <v>0</v>
      </c>
      <c r="W359" s="2116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5"/>
        <v>5381</v>
      </c>
      <c r="O360" s="581"/>
      <c r="P360" s="582">
        <v>0</v>
      </c>
      <c r="Q360" s="589"/>
      <c r="R360" s="576"/>
      <c r="S360" s="583">
        <f t="shared" si="41"/>
        <v>0</v>
      </c>
      <c r="T360" s="584">
        <v>0</v>
      </c>
      <c r="U360" s="51"/>
      <c r="V360" s="2120">
        <f t="shared" si="46"/>
        <v>0</v>
      </c>
      <c r="W360" s="2116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5"/>
        <v>5382</v>
      </c>
      <c r="O361" s="581"/>
      <c r="P361" s="582">
        <v>0</v>
      </c>
      <c r="Q361" s="589"/>
      <c r="R361" s="576"/>
      <c r="S361" s="583">
        <f t="shared" si="41"/>
        <v>0</v>
      </c>
      <c r="T361" s="584">
        <v>0</v>
      </c>
      <c r="U361" s="51"/>
      <c r="V361" s="2120">
        <f t="shared" si="46"/>
        <v>0</v>
      </c>
      <c r="W361" s="2116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5"/>
        <v>5383</v>
      </c>
      <c r="O362" s="581"/>
      <c r="P362" s="582">
        <v>0</v>
      </c>
      <c r="Q362" s="589"/>
      <c r="R362" s="576"/>
      <c r="S362" s="583">
        <f t="shared" si="41"/>
        <v>0</v>
      </c>
      <c r="T362" s="584">
        <v>0</v>
      </c>
      <c r="U362" s="51"/>
      <c r="V362" s="2120">
        <f t="shared" si="46"/>
        <v>0</v>
      </c>
      <c r="W362" s="2116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5"/>
        <v>5384</v>
      </c>
      <c r="O363" s="581"/>
      <c r="P363" s="582">
        <v>0</v>
      </c>
      <c r="Q363" s="589"/>
      <c r="R363" s="576"/>
      <c r="S363" s="583">
        <f t="shared" si="41"/>
        <v>0</v>
      </c>
      <c r="T363" s="584">
        <v>0</v>
      </c>
      <c r="U363" s="51"/>
      <c r="V363" s="2120">
        <f t="shared" si="46"/>
        <v>0</v>
      </c>
      <c r="W363" s="2116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5"/>
        <v>5391</v>
      </c>
      <c r="O364" s="596">
        <v>0</v>
      </c>
      <c r="P364" s="576"/>
      <c r="Q364" s="589"/>
      <c r="R364" s="121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2116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5"/>
        <v>5392</v>
      </c>
      <c r="O365" s="596">
        <v>0</v>
      </c>
      <c r="P365" s="576"/>
      <c r="Q365" s="589"/>
      <c r="R365" s="121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2116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5"/>
        <v>5393</v>
      </c>
      <c r="O366" s="596">
        <v>0</v>
      </c>
      <c r="P366" s="576"/>
      <c r="Q366" s="589"/>
      <c r="R366" s="121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2116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5"/>
        <v>5398</v>
      </c>
      <c r="O367" s="575">
        <v>0</v>
      </c>
      <c r="P367" s="576"/>
      <c r="Q367" s="589"/>
      <c r="R367" s="121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2116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5"/>
        <v>5811</v>
      </c>
      <c r="O368" s="581"/>
      <c r="P368" s="582">
        <v>0</v>
      </c>
      <c r="Q368" s="589"/>
      <c r="R368" s="576"/>
      <c r="S368" s="583">
        <f t="shared" ref="S368:S379" si="47">+IF(ABS(+O368+Q368)&gt;=ABS(P368+R368),+O368-P368+Q368-R368,0)</f>
        <v>0</v>
      </c>
      <c r="T368" s="584">
        <v>0</v>
      </c>
      <c r="U368" s="51"/>
      <c r="V368" s="2120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116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5"/>
        <v>5812</v>
      </c>
      <c r="O369" s="581"/>
      <c r="P369" s="582">
        <v>0</v>
      </c>
      <c r="Q369" s="589"/>
      <c r="R369" s="576"/>
      <c r="S369" s="583">
        <f t="shared" si="47"/>
        <v>0</v>
      </c>
      <c r="T369" s="584">
        <v>0</v>
      </c>
      <c r="U369" s="51"/>
      <c r="V369" s="2120">
        <f t="shared" si="48"/>
        <v>0</v>
      </c>
      <c r="W369" s="2116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5"/>
        <v>5814</v>
      </c>
      <c r="O370" s="581"/>
      <c r="P370" s="582">
        <v>0</v>
      </c>
      <c r="Q370" s="589"/>
      <c r="R370" s="576"/>
      <c r="S370" s="583">
        <f t="shared" si="47"/>
        <v>0</v>
      </c>
      <c r="T370" s="584">
        <v>0</v>
      </c>
      <c r="U370" s="51"/>
      <c r="V370" s="2120">
        <f t="shared" si="48"/>
        <v>0</v>
      </c>
      <c r="W370" s="2116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5"/>
        <v>5815</v>
      </c>
      <c r="O371" s="581"/>
      <c r="P371" s="582">
        <v>0</v>
      </c>
      <c r="Q371" s="589"/>
      <c r="R371" s="576"/>
      <c r="S371" s="583">
        <f t="shared" si="47"/>
        <v>0</v>
      </c>
      <c r="T371" s="584">
        <v>0</v>
      </c>
      <c r="U371" s="51"/>
      <c r="V371" s="2120">
        <f t="shared" si="48"/>
        <v>0</v>
      </c>
      <c r="W371" s="2116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5"/>
        <v>5817</v>
      </c>
      <c r="O372" s="581"/>
      <c r="P372" s="582">
        <v>0</v>
      </c>
      <c r="Q372" s="589"/>
      <c r="R372" s="576"/>
      <c r="S372" s="583">
        <f t="shared" si="47"/>
        <v>0</v>
      </c>
      <c r="T372" s="584">
        <v>0</v>
      </c>
      <c r="U372" s="51"/>
      <c r="V372" s="2120">
        <f t="shared" si="48"/>
        <v>0</v>
      </c>
      <c r="W372" s="2116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5"/>
        <v>5818</v>
      </c>
      <c r="O373" s="581"/>
      <c r="P373" s="582">
        <v>0</v>
      </c>
      <c r="Q373" s="589"/>
      <c r="R373" s="576"/>
      <c r="S373" s="583">
        <f t="shared" si="47"/>
        <v>0</v>
      </c>
      <c r="T373" s="584">
        <v>0</v>
      </c>
      <c r="U373" s="51"/>
      <c r="V373" s="2120">
        <f t="shared" si="48"/>
        <v>0</v>
      </c>
      <c r="W373" s="2116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5"/>
        <v>5823</v>
      </c>
      <c r="O374" s="581"/>
      <c r="P374" s="582">
        <v>0</v>
      </c>
      <c r="Q374" s="589"/>
      <c r="R374" s="576"/>
      <c r="S374" s="583">
        <f t="shared" si="47"/>
        <v>0</v>
      </c>
      <c r="T374" s="584">
        <v>0</v>
      </c>
      <c r="U374" s="51"/>
      <c r="V374" s="2120">
        <f t="shared" si="48"/>
        <v>0</v>
      </c>
      <c r="W374" s="2116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5"/>
        <v>5826</v>
      </c>
      <c r="O375" s="581"/>
      <c r="P375" s="582">
        <v>0</v>
      </c>
      <c r="Q375" s="589"/>
      <c r="R375" s="576"/>
      <c r="S375" s="583">
        <f t="shared" si="47"/>
        <v>0</v>
      </c>
      <c r="T375" s="584">
        <v>0</v>
      </c>
      <c r="U375" s="51"/>
      <c r="V375" s="2120">
        <f t="shared" si="48"/>
        <v>0</v>
      </c>
      <c r="W375" s="2116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9">+A376</f>
        <v>5829</v>
      </c>
      <c r="O376" s="581"/>
      <c r="P376" s="582">
        <v>0</v>
      </c>
      <c r="Q376" s="589"/>
      <c r="R376" s="576"/>
      <c r="S376" s="583">
        <f t="shared" si="47"/>
        <v>0</v>
      </c>
      <c r="T376" s="584">
        <v>0</v>
      </c>
      <c r="U376" s="51"/>
      <c r="V376" s="2120">
        <f t="shared" si="48"/>
        <v>0</v>
      </c>
      <c r="W376" s="2116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9"/>
        <v>5881</v>
      </c>
      <c r="O377" s="581"/>
      <c r="P377" s="582">
        <v>0</v>
      </c>
      <c r="Q377" s="589"/>
      <c r="R377" s="576"/>
      <c r="S377" s="583">
        <f t="shared" si="47"/>
        <v>0</v>
      </c>
      <c r="T377" s="584">
        <v>0</v>
      </c>
      <c r="U377" s="51"/>
      <c r="V377" s="2120">
        <f t="shared" si="48"/>
        <v>0</v>
      </c>
      <c r="W377" s="2116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9"/>
        <v>5882</v>
      </c>
      <c r="O378" s="581"/>
      <c r="P378" s="582">
        <v>0</v>
      </c>
      <c r="Q378" s="589"/>
      <c r="R378" s="576"/>
      <c r="S378" s="583">
        <f t="shared" si="47"/>
        <v>0</v>
      </c>
      <c r="T378" s="584">
        <v>0</v>
      </c>
      <c r="U378" s="51"/>
      <c r="V378" s="2120">
        <f t="shared" si="48"/>
        <v>0</v>
      </c>
      <c r="W378" s="2116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9"/>
        <v>5889</v>
      </c>
      <c r="O379" s="581"/>
      <c r="P379" s="582">
        <v>0</v>
      </c>
      <c r="Q379" s="589"/>
      <c r="R379" s="576"/>
      <c r="S379" s="583">
        <f t="shared" si="47"/>
        <v>0</v>
      </c>
      <c r="T379" s="584">
        <v>0</v>
      </c>
      <c r="U379" s="51"/>
      <c r="V379" s="2120">
        <f t="shared" si="48"/>
        <v>0</v>
      </c>
      <c r="W379" s="2116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9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2116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9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2116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9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2116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2116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28">
        <v>0</v>
      </c>
      <c r="P384" s="329">
        <v>0</v>
      </c>
      <c r="Q384" s="325"/>
      <c r="R384" s="324"/>
      <c r="S384" s="326">
        <f t="shared" ref="S384:S409" si="51">+IF(ABS(+O384+Q384)&gt;=ABS(P384+R384),+O384-P384+Q384-R384,0)</f>
        <v>0</v>
      </c>
      <c r="T384" s="327">
        <f t="shared" ref="T384:T409" si="52">+IF(ABS(+O384+Q384)&lt;=ABS(P384+R384),-O384+P384-Q384+R384,0)</f>
        <v>0</v>
      </c>
      <c r="U384" s="51"/>
      <c r="V384" s="2119"/>
      <c r="W384" s="2116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119"/>
      <c r="W385" s="2116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119"/>
      <c r="W386" s="2116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119"/>
      <c r="W387" s="2116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119"/>
      <c r="W388" s="2116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119"/>
      <c r="W389" s="2116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119"/>
      <c r="W390" s="2116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119"/>
      <c r="W391" s="2116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119"/>
      <c r="W392" s="2116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119"/>
      <c r="W393" s="2116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119"/>
      <c r="W394" s="2116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119"/>
      <c r="W395" s="2116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119"/>
      <c r="W396" s="2116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119"/>
      <c r="W397" s="2116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119"/>
      <c r="W398" s="2116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119"/>
      <c r="W399" s="2116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119"/>
      <c r="W400" s="2116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119"/>
      <c r="W401" s="2116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50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51"/>
        <v>0</v>
      </c>
      <c r="T402" s="28">
        <f t="shared" si="52"/>
        <v>0</v>
      </c>
      <c r="U402" s="51"/>
      <c r="V402" s="2125">
        <f t="shared" ref="V402:V409" si="53">+IF(OR(O402&lt;&gt;0,P402&lt;&gt;0,Q402&lt;&gt;0,R402&lt;&gt;0,S402&lt;&gt;0,T402&lt;&gt;0),+IF(ABS(O402+Q402)-ABS(P402+R402)&lt;&gt;0,ABS(O402+Q402)-ABS(P402+R402),1),0)</f>
        <v>0</v>
      </c>
      <c r="W402" s="2116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50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51"/>
        <v>0</v>
      </c>
      <c r="T403" s="28">
        <f t="shared" si="52"/>
        <v>0</v>
      </c>
      <c r="U403" s="51"/>
      <c r="V403" s="2125">
        <f t="shared" si="53"/>
        <v>0</v>
      </c>
      <c r="W403" s="2116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50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51"/>
        <v>0</v>
      </c>
      <c r="T404" s="28">
        <f t="shared" si="52"/>
        <v>0</v>
      </c>
      <c r="U404" s="51"/>
      <c r="V404" s="2125">
        <f t="shared" si="53"/>
        <v>0</v>
      </c>
      <c r="W404" s="2116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50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51"/>
        <v>0</v>
      </c>
      <c r="T405" s="28">
        <f t="shared" si="52"/>
        <v>0</v>
      </c>
      <c r="U405" s="51"/>
      <c r="V405" s="2125">
        <f t="shared" si="53"/>
        <v>0</v>
      </c>
      <c r="W405" s="2116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50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51"/>
        <v>0</v>
      </c>
      <c r="T406" s="28">
        <f t="shared" si="52"/>
        <v>0</v>
      </c>
      <c r="U406" s="51"/>
      <c r="V406" s="2125">
        <f t="shared" si="53"/>
        <v>0</v>
      </c>
      <c r="W406" s="2116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50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51"/>
        <v>0</v>
      </c>
      <c r="T407" s="28">
        <f t="shared" si="52"/>
        <v>0</v>
      </c>
      <c r="U407" s="51"/>
      <c r="V407" s="2125">
        <f t="shared" si="53"/>
        <v>0</v>
      </c>
      <c r="W407" s="2116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50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51"/>
        <v>0</v>
      </c>
      <c r="T408" s="28">
        <f t="shared" si="52"/>
        <v>0</v>
      </c>
      <c r="U408" s="51"/>
      <c r="V408" s="2125">
        <f t="shared" si="53"/>
        <v>0</v>
      </c>
      <c r="W408" s="2116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50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51"/>
        <v>0</v>
      </c>
      <c r="T409" s="28">
        <f t="shared" si="52"/>
        <v>0</v>
      </c>
      <c r="U409" s="51"/>
      <c r="V409" s="2125">
        <f t="shared" si="53"/>
        <v>0</v>
      </c>
      <c r="W409" s="2116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119"/>
      <c r="W410" s="2116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119"/>
      <c r="W411" s="2116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83">
        <f t="shared" si="54"/>
        <v>0</v>
      </c>
      <c r="T412" s="580">
        <f>+IF(ABS(+O412+Q412)&lt;=ABS(P412+R412),-O412+P412-Q412+R412,0)</f>
        <v>0</v>
      </c>
      <c r="U412" s="51"/>
      <c r="V412" s="2119"/>
      <c r="W412" s="2116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83">
        <f t="shared" si="54"/>
        <v>0</v>
      </c>
      <c r="T413" s="580">
        <f>+IF(ABS(+O413+Q413)&lt;=ABS(P413+R413),-O413+P413-Q413+R413,0)</f>
        <v>0</v>
      </c>
      <c r="U413" s="51"/>
      <c r="V413" s="2119"/>
      <c r="W413" s="2116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83">
        <f t="shared" si="54"/>
        <v>0</v>
      </c>
      <c r="T414" s="580">
        <f>+IF(ABS(+O414+Q414)&lt;=ABS(P414+R414),-O414+P414-Q414+R414,0)</f>
        <v>0</v>
      </c>
      <c r="U414" s="51"/>
      <c r="V414" s="2119"/>
      <c r="W414" s="2116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76"/>
      <c r="S415" s="583">
        <f t="shared" si="54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2116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50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2116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50"/>
        <v>6049</v>
      </c>
      <c r="O417" s="575">
        <v>0</v>
      </c>
      <c r="P417" s="582">
        <v>0</v>
      </c>
      <c r="Q417" s="589"/>
      <c r="R417" s="576"/>
      <c r="S417" s="583">
        <f t="shared" ref="S417:S448" si="55">+IF(ABS(+O417+Q417)&gt;=ABS(P417+R417),+O417-P417+Q417-R417,0)</f>
        <v>0</v>
      </c>
      <c r="T417" s="580">
        <f t="shared" ref="T417:T447" si="56">+IF(ABS(+O417+Q417)&lt;=ABS(P417+R417),-O417+P417-Q417+R417,0)</f>
        <v>0</v>
      </c>
      <c r="U417" s="51"/>
      <c r="V417" s="2119"/>
      <c r="W417" s="2116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50"/>
        <v>6051</v>
      </c>
      <c r="O418" s="575">
        <v>0</v>
      </c>
      <c r="P418" s="582">
        <v>0</v>
      </c>
      <c r="Q418" s="589"/>
      <c r="R418" s="576"/>
      <c r="S418" s="583">
        <f t="shared" si="55"/>
        <v>0</v>
      </c>
      <c r="T418" s="580">
        <f t="shared" si="56"/>
        <v>0</v>
      </c>
      <c r="U418" s="51"/>
      <c r="V418" s="2119"/>
      <c r="W418" s="2116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50"/>
        <v>6052</v>
      </c>
      <c r="O419" s="575">
        <v>0</v>
      </c>
      <c r="P419" s="582">
        <v>0</v>
      </c>
      <c r="Q419" s="589"/>
      <c r="R419" s="576"/>
      <c r="S419" s="583">
        <f t="shared" si="55"/>
        <v>0</v>
      </c>
      <c r="T419" s="580">
        <f t="shared" si="56"/>
        <v>0</v>
      </c>
      <c r="U419" s="51"/>
      <c r="V419" s="2119"/>
      <c r="W419" s="2116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50"/>
        <v>6054</v>
      </c>
      <c r="O420" s="575">
        <v>0</v>
      </c>
      <c r="P420" s="582">
        <v>0</v>
      </c>
      <c r="Q420" s="589"/>
      <c r="R420" s="576"/>
      <c r="S420" s="583">
        <f t="shared" si="55"/>
        <v>0</v>
      </c>
      <c r="T420" s="580">
        <f t="shared" si="56"/>
        <v>0</v>
      </c>
      <c r="U420" s="51"/>
      <c r="V420" s="2119"/>
      <c r="W420" s="2116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50"/>
        <v>6055</v>
      </c>
      <c r="O421" s="575">
        <v>0</v>
      </c>
      <c r="P421" s="582">
        <v>0</v>
      </c>
      <c r="Q421" s="589"/>
      <c r="R421" s="576"/>
      <c r="S421" s="583">
        <f t="shared" si="55"/>
        <v>0</v>
      </c>
      <c r="T421" s="580">
        <f t="shared" si="56"/>
        <v>0</v>
      </c>
      <c r="U421" s="51"/>
      <c r="V421" s="2119"/>
      <c r="W421" s="2116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50"/>
        <v>6056</v>
      </c>
      <c r="O422" s="575">
        <v>0</v>
      </c>
      <c r="P422" s="582">
        <v>0</v>
      </c>
      <c r="Q422" s="589"/>
      <c r="R422" s="576"/>
      <c r="S422" s="583">
        <f t="shared" si="55"/>
        <v>0</v>
      </c>
      <c r="T422" s="580">
        <f t="shared" si="56"/>
        <v>0</v>
      </c>
      <c r="U422" s="51"/>
      <c r="V422" s="2119"/>
      <c r="W422" s="2116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50"/>
        <v>6058</v>
      </c>
      <c r="O423" s="575">
        <v>0</v>
      </c>
      <c r="P423" s="582">
        <v>0</v>
      </c>
      <c r="Q423" s="589"/>
      <c r="R423" s="576"/>
      <c r="S423" s="583">
        <f t="shared" si="55"/>
        <v>0</v>
      </c>
      <c r="T423" s="580">
        <f t="shared" si="56"/>
        <v>0</v>
      </c>
      <c r="U423" s="51"/>
      <c r="V423" s="2119"/>
      <c r="W423" s="2116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50"/>
        <v>6059</v>
      </c>
      <c r="O424" s="575">
        <v>0</v>
      </c>
      <c r="P424" s="582">
        <v>0</v>
      </c>
      <c r="Q424" s="589"/>
      <c r="R424" s="576"/>
      <c r="S424" s="583">
        <f t="shared" si="55"/>
        <v>0</v>
      </c>
      <c r="T424" s="580">
        <f t="shared" si="56"/>
        <v>0</v>
      </c>
      <c r="U424" s="51"/>
      <c r="V424" s="2119"/>
      <c r="W424" s="2116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50"/>
        <v>6061</v>
      </c>
      <c r="O425" s="575">
        <v>0</v>
      </c>
      <c r="P425" s="582">
        <v>0</v>
      </c>
      <c r="Q425" s="589"/>
      <c r="R425" s="576"/>
      <c r="S425" s="583">
        <f t="shared" si="55"/>
        <v>0</v>
      </c>
      <c r="T425" s="580">
        <f t="shared" si="56"/>
        <v>0</v>
      </c>
      <c r="U425" s="51"/>
      <c r="V425" s="2119"/>
      <c r="W425" s="2116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50"/>
        <v>6062</v>
      </c>
      <c r="O426" s="575">
        <v>0</v>
      </c>
      <c r="P426" s="582">
        <v>0</v>
      </c>
      <c r="Q426" s="589"/>
      <c r="R426" s="576"/>
      <c r="S426" s="583">
        <f t="shared" si="55"/>
        <v>0</v>
      </c>
      <c r="T426" s="580">
        <f t="shared" si="56"/>
        <v>0</v>
      </c>
      <c r="U426" s="51"/>
      <c r="V426" s="2119"/>
      <c r="W426" s="2116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50"/>
        <v>6063</v>
      </c>
      <c r="O427" s="575">
        <v>0</v>
      </c>
      <c r="P427" s="582">
        <v>0</v>
      </c>
      <c r="Q427" s="589"/>
      <c r="R427" s="576"/>
      <c r="S427" s="583">
        <f t="shared" si="55"/>
        <v>0</v>
      </c>
      <c r="T427" s="580">
        <f t="shared" si="56"/>
        <v>0</v>
      </c>
      <c r="U427" s="51"/>
      <c r="V427" s="2119"/>
      <c r="W427" s="2116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50"/>
        <v>6064</v>
      </c>
      <c r="O428" s="575">
        <v>0</v>
      </c>
      <c r="P428" s="582">
        <v>0</v>
      </c>
      <c r="Q428" s="589"/>
      <c r="R428" s="576"/>
      <c r="S428" s="583">
        <f t="shared" si="55"/>
        <v>0</v>
      </c>
      <c r="T428" s="580">
        <f t="shared" si="56"/>
        <v>0</v>
      </c>
      <c r="U428" s="51"/>
      <c r="V428" s="2119"/>
      <c r="W428" s="2116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50"/>
        <v>6065</v>
      </c>
      <c r="O429" s="575">
        <v>0</v>
      </c>
      <c r="P429" s="582">
        <v>0</v>
      </c>
      <c r="Q429" s="589"/>
      <c r="R429" s="576"/>
      <c r="S429" s="583">
        <f t="shared" si="55"/>
        <v>0</v>
      </c>
      <c r="T429" s="580">
        <f t="shared" si="56"/>
        <v>0</v>
      </c>
      <c r="U429" s="51"/>
      <c r="V429" s="2119"/>
      <c r="W429" s="2116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50"/>
        <v>6067</v>
      </c>
      <c r="O430" s="575">
        <v>0</v>
      </c>
      <c r="P430" s="582">
        <v>0</v>
      </c>
      <c r="Q430" s="589"/>
      <c r="R430" s="576"/>
      <c r="S430" s="583">
        <f t="shared" si="55"/>
        <v>0</v>
      </c>
      <c r="T430" s="580">
        <f t="shared" si="56"/>
        <v>0</v>
      </c>
      <c r="U430" s="51"/>
      <c r="V430" s="2119"/>
      <c r="W430" s="2116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50"/>
        <v>6068</v>
      </c>
      <c r="O431" s="575">
        <v>0</v>
      </c>
      <c r="P431" s="582">
        <v>0</v>
      </c>
      <c r="Q431" s="589"/>
      <c r="R431" s="576"/>
      <c r="S431" s="583">
        <f t="shared" si="55"/>
        <v>0</v>
      </c>
      <c r="T431" s="580">
        <f t="shared" si="56"/>
        <v>0</v>
      </c>
      <c r="U431" s="51"/>
      <c r="V431" s="2119"/>
      <c r="W431" s="2116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50"/>
        <v>6069</v>
      </c>
      <c r="O432" s="575">
        <v>0</v>
      </c>
      <c r="P432" s="582">
        <v>0</v>
      </c>
      <c r="Q432" s="589"/>
      <c r="R432" s="576"/>
      <c r="S432" s="583">
        <f t="shared" si="55"/>
        <v>0</v>
      </c>
      <c r="T432" s="580">
        <f t="shared" si="56"/>
        <v>0</v>
      </c>
      <c r="U432" s="51"/>
      <c r="V432" s="2119"/>
      <c r="W432" s="2116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50"/>
        <v>6071</v>
      </c>
      <c r="O433" s="575">
        <v>0</v>
      </c>
      <c r="P433" s="582">
        <v>0</v>
      </c>
      <c r="Q433" s="589"/>
      <c r="R433" s="576"/>
      <c r="S433" s="583">
        <f t="shared" si="55"/>
        <v>0</v>
      </c>
      <c r="T433" s="580">
        <f t="shared" si="56"/>
        <v>0</v>
      </c>
      <c r="U433" s="51"/>
      <c r="V433" s="2119"/>
      <c r="W433" s="2116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50"/>
        <v>6072</v>
      </c>
      <c r="O434" s="575">
        <v>0</v>
      </c>
      <c r="P434" s="582">
        <v>0</v>
      </c>
      <c r="Q434" s="589"/>
      <c r="R434" s="576"/>
      <c r="S434" s="583">
        <f t="shared" si="55"/>
        <v>0</v>
      </c>
      <c r="T434" s="580">
        <f t="shared" si="56"/>
        <v>0</v>
      </c>
      <c r="U434" s="51"/>
      <c r="V434" s="2119"/>
      <c r="W434" s="2116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50"/>
        <v>6073</v>
      </c>
      <c r="O435" s="575">
        <v>0</v>
      </c>
      <c r="P435" s="582">
        <v>0</v>
      </c>
      <c r="Q435" s="589"/>
      <c r="R435" s="576"/>
      <c r="S435" s="583">
        <f t="shared" si="55"/>
        <v>0</v>
      </c>
      <c r="T435" s="580">
        <f t="shared" si="56"/>
        <v>0</v>
      </c>
      <c r="U435" s="51"/>
      <c r="V435" s="2119"/>
      <c r="W435" s="2116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50"/>
        <v>6074</v>
      </c>
      <c r="O436" s="575">
        <v>0</v>
      </c>
      <c r="P436" s="582">
        <v>0</v>
      </c>
      <c r="Q436" s="589"/>
      <c r="R436" s="576"/>
      <c r="S436" s="583">
        <f t="shared" si="55"/>
        <v>0</v>
      </c>
      <c r="T436" s="580">
        <f t="shared" si="56"/>
        <v>0</v>
      </c>
      <c r="U436" s="51"/>
      <c r="V436" s="2119"/>
      <c r="W436" s="2116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50"/>
        <v>6075</v>
      </c>
      <c r="O437" s="575">
        <v>0</v>
      </c>
      <c r="P437" s="582">
        <v>0</v>
      </c>
      <c r="Q437" s="589"/>
      <c r="R437" s="576"/>
      <c r="S437" s="583">
        <f t="shared" si="55"/>
        <v>0</v>
      </c>
      <c r="T437" s="580">
        <f t="shared" si="56"/>
        <v>0</v>
      </c>
      <c r="U437" s="51"/>
      <c r="V437" s="2119"/>
      <c r="W437" s="2116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50"/>
        <v>6076</v>
      </c>
      <c r="O438" s="575">
        <v>0</v>
      </c>
      <c r="P438" s="582">
        <v>0</v>
      </c>
      <c r="Q438" s="589"/>
      <c r="R438" s="576"/>
      <c r="S438" s="583">
        <f t="shared" si="55"/>
        <v>0</v>
      </c>
      <c r="T438" s="580">
        <f t="shared" si="56"/>
        <v>0</v>
      </c>
      <c r="U438" s="51"/>
      <c r="V438" s="2119"/>
      <c r="W438" s="2116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50"/>
        <v>6077</v>
      </c>
      <c r="O439" s="575">
        <v>0</v>
      </c>
      <c r="P439" s="582">
        <v>0</v>
      </c>
      <c r="Q439" s="589"/>
      <c r="R439" s="576"/>
      <c r="S439" s="583">
        <f t="shared" si="55"/>
        <v>0</v>
      </c>
      <c r="T439" s="580">
        <f t="shared" si="56"/>
        <v>0</v>
      </c>
      <c r="U439" s="51"/>
      <c r="V439" s="2119"/>
      <c r="W439" s="2116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50"/>
        <v>6078</v>
      </c>
      <c r="O440" s="575">
        <v>0</v>
      </c>
      <c r="P440" s="582">
        <v>0</v>
      </c>
      <c r="Q440" s="589"/>
      <c r="R440" s="576"/>
      <c r="S440" s="583">
        <f t="shared" si="55"/>
        <v>0</v>
      </c>
      <c r="T440" s="580">
        <f t="shared" si="56"/>
        <v>0</v>
      </c>
      <c r="U440" s="51"/>
      <c r="V440" s="2119"/>
      <c r="W440" s="2116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50"/>
        <v>6079</v>
      </c>
      <c r="O441" s="575">
        <v>0</v>
      </c>
      <c r="P441" s="582">
        <v>0</v>
      </c>
      <c r="Q441" s="589"/>
      <c r="R441" s="576"/>
      <c r="S441" s="583">
        <f t="shared" si="55"/>
        <v>0</v>
      </c>
      <c r="T441" s="580">
        <f t="shared" si="56"/>
        <v>0</v>
      </c>
      <c r="U441" s="51"/>
      <c r="V441" s="2119"/>
      <c r="W441" s="2116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50"/>
        <v>6080</v>
      </c>
      <c r="O442" s="575">
        <v>0</v>
      </c>
      <c r="P442" s="582">
        <v>0</v>
      </c>
      <c r="Q442" s="589"/>
      <c r="R442" s="576"/>
      <c r="S442" s="583">
        <f t="shared" si="55"/>
        <v>0</v>
      </c>
      <c r="T442" s="580">
        <f t="shared" si="56"/>
        <v>0</v>
      </c>
      <c r="U442" s="51"/>
      <c r="V442" s="2119"/>
      <c r="W442" s="2116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50"/>
        <v>6081</v>
      </c>
      <c r="O443" s="575">
        <v>0</v>
      </c>
      <c r="P443" s="582">
        <v>0</v>
      </c>
      <c r="Q443" s="589"/>
      <c r="R443" s="576"/>
      <c r="S443" s="583">
        <f t="shared" si="55"/>
        <v>0</v>
      </c>
      <c r="T443" s="580">
        <f t="shared" si="56"/>
        <v>0</v>
      </c>
      <c r="U443" s="51"/>
      <c r="V443" s="2119"/>
      <c r="W443" s="2116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50"/>
        <v>6082</v>
      </c>
      <c r="O444" s="575">
        <v>0</v>
      </c>
      <c r="P444" s="582">
        <v>0</v>
      </c>
      <c r="Q444" s="589"/>
      <c r="R444" s="576"/>
      <c r="S444" s="583">
        <f t="shared" si="55"/>
        <v>0</v>
      </c>
      <c r="T444" s="580">
        <f t="shared" si="56"/>
        <v>0</v>
      </c>
      <c r="U444" s="51"/>
      <c r="V444" s="2119"/>
      <c r="W444" s="2116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50"/>
        <v>6087</v>
      </c>
      <c r="O445" s="575">
        <v>0</v>
      </c>
      <c r="P445" s="582">
        <v>0</v>
      </c>
      <c r="Q445" s="589"/>
      <c r="R445" s="576"/>
      <c r="S445" s="583">
        <f t="shared" si="55"/>
        <v>0</v>
      </c>
      <c r="T445" s="580">
        <f t="shared" si="56"/>
        <v>0</v>
      </c>
      <c r="U445" s="51"/>
      <c r="V445" s="2119"/>
      <c r="W445" s="2116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50"/>
        <v>6089</v>
      </c>
      <c r="O446" s="575">
        <v>0</v>
      </c>
      <c r="P446" s="582">
        <v>0</v>
      </c>
      <c r="Q446" s="589"/>
      <c r="R446" s="576"/>
      <c r="S446" s="583">
        <f t="shared" si="55"/>
        <v>0</v>
      </c>
      <c r="T446" s="580">
        <f t="shared" si="56"/>
        <v>0</v>
      </c>
      <c r="U446" s="51"/>
      <c r="V446" s="2119"/>
      <c r="W446" s="2116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50"/>
        <v>6090</v>
      </c>
      <c r="O447" s="575">
        <v>0</v>
      </c>
      <c r="P447" s="582">
        <v>0</v>
      </c>
      <c r="Q447" s="589"/>
      <c r="R447" s="576"/>
      <c r="S447" s="583">
        <f t="shared" si="55"/>
        <v>0</v>
      </c>
      <c r="T447" s="580">
        <f t="shared" si="56"/>
        <v>0</v>
      </c>
      <c r="U447" s="51"/>
      <c r="V447" s="2119"/>
      <c r="W447" s="2116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7">+A448</f>
        <v>6091</v>
      </c>
      <c r="O448" s="575">
        <v>0</v>
      </c>
      <c r="P448" s="582">
        <v>0</v>
      </c>
      <c r="Q448" s="589"/>
      <c r="R448" s="576"/>
      <c r="S448" s="583">
        <f t="shared" si="55"/>
        <v>0</v>
      </c>
      <c r="T448" s="580">
        <f t="shared" ref="T448:T479" si="58">+IF(ABS(+O448+Q448)&lt;=ABS(P448+R448),-O448+P448-Q448+R448,0)</f>
        <v>0</v>
      </c>
      <c r="U448" s="51"/>
      <c r="V448" s="2119"/>
      <c r="W448" s="2116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7"/>
        <v>6092</v>
      </c>
      <c r="O449" s="575">
        <v>0</v>
      </c>
      <c r="P449" s="582">
        <v>0</v>
      </c>
      <c r="Q449" s="589"/>
      <c r="R449" s="576"/>
      <c r="S449" s="583">
        <f t="shared" ref="S449:S480" si="59">+IF(ABS(+O449+Q449)&gt;=ABS(P449+R449),+O449-P449+Q449-R449,0)</f>
        <v>0</v>
      </c>
      <c r="T449" s="580">
        <f t="shared" si="58"/>
        <v>0</v>
      </c>
      <c r="U449" s="51"/>
      <c r="V449" s="2119"/>
      <c r="W449" s="2116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7"/>
        <v>6093</v>
      </c>
      <c r="O450" s="575">
        <v>0</v>
      </c>
      <c r="P450" s="582">
        <v>0</v>
      </c>
      <c r="Q450" s="589"/>
      <c r="R450" s="576"/>
      <c r="S450" s="583">
        <f t="shared" si="59"/>
        <v>0</v>
      </c>
      <c r="T450" s="580">
        <f t="shared" si="58"/>
        <v>0</v>
      </c>
      <c r="U450" s="51"/>
      <c r="V450" s="2119"/>
      <c r="W450" s="2116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7"/>
        <v>6094</v>
      </c>
      <c r="O451" s="575">
        <v>0</v>
      </c>
      <c r="P451" s="582">
        <v>0</v>
      </c>
      <c r="Q451" s="589"/>
      <c r="R451" s="576"/>
      <c r="S451" s="583">
        <f t="shared" si="59"/>
        <v>0</v>
      </c>
      <c r="T451" s="580">
        <f t="shared" si="58"/>
        <v>0</v>
      </c>
      <c r="U451" s="51"/>
      <c r="V451" s="2119"/>
      <c r="W451" s="2116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7"/>
        <v>6095</v>
      </c>
      <c r="O452" s="575">
        <v>0</v>
      </c>
      <c r="P452" s="582">
        <v>0</v>
      </c>
      <c r="Q452" s="589"/>
      <c r="R452" s="576"/>
      <c r="S452" s="583">
        <f t="shared" si="59"/>
        <v>0</v>
      </c>
      <c r="T452" s="580">
        <f t="shared" si="58"/>
        <v>0</v>
      </c>
      <c r="U452" s="51"/>
      <c r="V452" s="2119"/>
      <c r="W452" s="2116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7"/>
        <v>6096</v>
      </c>
      <c r="O453" s="575">
        <v>0</v>
      </c>
      <c r="P453" s="582">
        <v>0</v>
      </c>
      <c r="Q453" s="589"/>
      <c r="R453" s="576"/>
      <c r="S453" s="583">
        <f t="shared" si="59"/>
        <v>0</v>
      </c>
      <c r="T453" s="580">
        <f t="shared" si="58"/>
        <v>0</v>
      </c>
      <c r="U453" s="51"/>
      <c r="V453" s="2119"/>
      <c r="W453" s="2116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7"/>
        <v>6098</v>
      </c>
      <c r="O454" s="575">
        <v>0</v>
      </c>
      <c r="P454" s="582">
        <v>0</v>
      </c>
      <c r="Q454" s="589"/>
      <c r="R454" s="576"/>
      <c r="S454" s="583">
        <f t="shared" si="59"/>
        <v>0</v>
      </c>
      <c r="T454" s="580">
        <f t="shared" si="58"/>
        <v>0</v>
      </c>
      <c r="U454" s="51"/>
      <c r="V454" s="2119"/>
      <c r="W454" s="2116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7"/>
        <v>6099</v>
      </c>
      <c r="O455" s="575">
        <v>0</v>
      </c>
      <c r="P455" s="582">
        <v>0</v>
      </c>
      <c r="Q455" s="589"/>
      <c r="R455" s="576"/>
      <c r="S455" s="583">
        <f t="shared" si="59"/>
        <v>0</v>
      </c>
      <c r="T455" s="580">
        <f t="shared" si="58"/>
        <v>0</v>
      </c>
      <c r="U455" s="51"/>
      <c r="V455" s="2119"/>
      <c r="W455" s="2116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7"/>
        <v>6111</v>
      </c>
      <c r="O456" s="575">
        <v>0</v>
      </c>
      <c r="P456" s="582">
        <v>0</v>
      </c>
      <c r="Q456" s="589"/>
      <c r="R456" s="576"/>
      <c r="S456" s="583">
        <f t="shared" si="59"/>
        <v>0</v>
      </c>
      <c r="T456" s="580">
        <f t="shared" si="58"/>
        <v>0</v>
      </c>
      <c r="U456" s="51"/>
      <c r="V456" s="2119"/>
      <c r="W456" s="2116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7"/>
        <v>6112</v>
      </c>
      <c r="O457" s="575">
        <v>0</v>
      </c>
      <c r="P457" s="582">
        <v>0</v>
      </c>
      <c r="Q457" s="589"/>
      <c r="R457" s="576"/>
      <c r="S457" s="583">
        <f t="shared" si="59"/>
        <v>0</v>
      </c>
      <c r="T457" s="580">
        <f t="shared" si="58"/>
        <v>0</v>
      </c>
      <c r="U457" s="51"/>
      <c r="V457" s="2119"/>
      <c r="W457" s="2116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7"/>
        <v>6113</v>
      </c>
      <c r="O458" s="575">
        <v>0</v>
      </c>
      <c r="P458" s="582">
        <v>0</v>
      </c>
      <c r="Q458" s="589"/>
      <c r="R458" s="576"/>
      <c r="S458" s="583">
        <f t="shared" si="59"/>
        <v>0</v>
      </c>
      <c r="T458" s="580">
        <f t="shared" si="58"/>
        <v>0</v>
      </c>
      <c r="U458" s="51"/>
      <c r="V458" s="2119"/>
      <c r="W458" s="2116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7"/>
        <v>6114</v>
      </c>
      <c r="O459" s="575">
        <v>0</v>
      </c>
      <c r="P459" s="582">
        <v>0</v>
      </c>
      <c r="Q459" s="589"/>
      <c r="R459" s="576"/>
      <c r="S459" s="583">
        <f t="shared" si="59"/>
        <v>0</v>
      </c>
      <c r="T459" s="580">
        <f t="shared" si="58"/>
        <v>0</v>
      </c>
      <c r="U459" s="51"/>
      <c r="V459" s="2119"/>
      <c r="W459" s="2116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7"/>
        <v>6115</v>
      </c>
      <c r="O460" s="575">
        <v>0</v>
      </c>
      <c r="P460" s="582">
        <v>0</v>
      </c>
      <c r="Q460" s="589"/>
      <c r="R460" s="576"/>
      <c r="S460" s="583">
        <f t="shared" si="59"/>
        <v>0</v>
      </c>
      <c r="T460" s="580">
        <f t="shared" si="58"/>
        <v>0</v>
      </c>
      <c r="U460" s="51"/>
      <c r="V460" s="2119"/>
      <c r="W460" s="2116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7"/>
        <v>6131</v>
      </c>
      <c r="O461" s="575">
        <v>0</v>
      </c>
      <c r="P461" s="582">
        <v>0</v>
      </c>
      <c r="Q461" s="589"/>
      <c r="R461" s="576"/>
      <c r="S461" s="583">
        <f t="shared" si="59"/>
        <v>0</v>
      </c>
      <c r="T461" s="580">
        <f t="shared" si="58"/>
        <v>0</v>
      </c>
      <c r="U461" s="51"/>
      <c r="V461" s="2119"/>
      <c r="W461" s="2116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7"/>
        <v>6132</v>
      </c>
      <c r="O462" s="575">
        <v>0</v>
      </c>
      <c r="P462" s="582">
        <v>0</v>
      </c>
      <c r="Q462" s="589"/>
      <c r="R462" s="576"/>
      <c r="S462" s="583">
        <f t="shared" si="59"/>
        <v>0</v>
      </c>
      <c r="T462" s="580">
        <f t="shared" si="58"/>
        <v>0</v>
      </c>
      <c r="U462" s="51"/>
      <c r="V462" s="2119"/>
      <c r="W462" s="2116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7"/>
        <v>6133</v>
      </c>
      <c r="O463" s="575">
        <v>0</v>
      </c>
      <c r="P463" s="582">
        <v>0</v>
      </c>
      <c r="Q463" s="589"/>
      <c r="R463" s="576"/>
      <c r="S463" s="583">
        <f t="shared" si="59"/>
        <v>0</v>
      </c>
      <c r="T463" s="580">
        <f t="shared" si="58"/>
        <v>0</v>
      </c>
      <c r="U463" s="51"/>
      <c r="V463" s="2119"/>
      <c r="W463" s="2116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7"/>
        <v>6140</v>
      </c>
      <c r="O464" s="575">
        <v>0</v>
      </c>
      <c r="P464" s="582">
        <v>0</v>
      </c>
      <c r="Q464" s="589"/>
      <c r="R464" s="576"/>
      <c r="S464" s="583">
        <f t="shared" si="59"/>
        <v>0</v>
      </c>
      <c r="T464" s="580">
        <f t="shared" si="58"/>
        <v>0</v>
      </c>
      <c r="U464" s="51"/>
      <c r="V464" s="2119"/>
      <c r="W464" s="2116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7"/>
        <v>6141</v>
      </c>
      <c r="O465" s="575">
        <v>0</v>
      </c>
      <c r="P465" s="582">
        <v>0</v>
      </c>
      <c r="Q465" s="589"/>
      <c r="R465" s="576"/>
      <c r="S465" s="583">
        <f t="shared" si="59"/>
        <v>0</v>
      </c>
      <c r="T465" s="580">
        <f t="shared" si="58"/>
        <v>0</v>
      </c>
      <c r="U465" s="51"/>
      <c r="V465" s="2119"/>
      <c r="W465" s="2116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7"/>
        <v>6142</v>
      </c>
      <c r="O466" s="575">
        <v>0</v>
      </c>
      <c r="P466" s="582">
        <v>0</v>
      </c>
      <c r="Q466" s="589"/>
      <c r="R466" s="576"/>
      <c r="S466" s="583">
        <f t="shared" si="59"/>
        <v>0</v>
      </c>
      <c r="T466" s="580">
        <f t="shared" si="58"/>
        <v>0</v>
      </c>
      <c r="U466" s="51"/>
      <c r="V466" s="2119"/>
      <c r="W466" s="2116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7"/>
        <v>6143</v>
      </c>
      <c r="O467" s="575">
        <v>0</v>
      </c>
      <c r="P467" s="582">
        <v>0</v>
      </c>
      <c r="Q467" s="589"/>
      <c r="R467" s="576"/>
      <c r="S467" s="583">
        <f t="shared" si="59"/>
        <v>0</v>
      </c>
      <c r="T467" s="580">
        <f t="shared" si="58"/>
        <v>0</v>
      </c>
      <c r="U467" s="51"/>
      <c r="V467" s="2119"/>
      <c r="W467" s="2116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7"/>
        <v>6144</v>
      </c>
      <c r="O468" s="575">
        <v>0</v>
      </c>
      <c r="P468" s="582">
        <v>0</v>
      </c>
      <c r="Q468" s="589"/>
      <c r="R468" s="576"/>
      <c r="S468" s="583">
        <f t="shared" si="59"/>
        <v>0</v>
      </c>
      <c r="T468" s="580">
        <f t="shared" si="58"/>
        <v>0</v>
      </c>
      <c r="U468" s="51"/>
      <c r="V468" s="2119"/>
      <c r="W468" s="2116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7"/>
        <v>6145</v>
      </c>
      <c r="O469" s="575">
        <v>0</v>
      </c>
      <c r="P469" s="582">
        <v>0</v>
      </c>
      <c r="Q469" s="589"/>
      <c r="R469" s="576"/>
      <c r="S469" s="583">
        <f t="shared" si="59"/>
        <v>0</v>
      </c>
      <c r="T469" s="580">
        <f t="shared" si="58"/>
        <v>0</v>
      </c>
      <c r="U469" s="51"/>
      <c r="V469" s="2119"/>
      <c r="W469" s="2116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7"/>
        <v>6146</v>
      </c>
      <c r="O470" s="575">
        <v>0</v>
      </c>
      <c r="P470" s="582">
        <v>0</v>
      </c>
      <c r="Q470" s="589"/>
      <c r="R470" s="576"/>
      <c r="S470" s="583">
        <f t="shared" si="59"/>
        <v>0</v>
      </c>
      <c r="T470" s="580">
        <f t="shared" si="58"/>
        <v>0</v>
      </c>
      <c r="U470" s="51"/>
      <c r="V470" s="2119"/>
      <c r="W470" s="2116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7"/>
        <v>6147</v>
      </c>
      <c r="O471" s="575">
        <v>0</v>
      </c>
      <c r="P471" s="582">
        <v>0</v>
      </c>
      <c r="Q471" s="589"/>
      <c r="R471" s="576"/>
      <c r="S471" s="583">
        <f t="shared" si="59"/>
        <v>0</v>
      </c>
      <c r="T471" s="580">
        <f t="shared" si="58"/>
        <v>0</v>
      </c>
      <c r="U471" s="51"/>
      <c r="V471" s="2119"/>
      <c r="W471" s="2116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7"/>
        <v>6149</v>
      </c>
      <c r="O472" s="575">
        <v>0</v>
      </c>
      <c r="P472" s="582">
        <v>0</v>
      </c>
      <c r="Q472" s="589"/>
      <c r="R472" s="576"/>
      <c r="S472" s="583">
        <f t="shared" si="59"/>
        <v>0</v>
      </c>
      <c r="T472" s="580">
        <f t="shared" si="58"/>
        <v>0</v>
      </c>
      <c r="U472" s="51"/>
      <c r="V472" s="2119"/>
      <c r="W472" s="2116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7"/>
        <v>6151</v>
      </c>
      <c r="O473" s="575">
        <v>0</v>
      </c>
      <c r="P473" s="582">
        <v>0</v>
      </c>
      <c r="Q473" s="589"/>
      <c r="R473" s="576"/>
      <c r="S473" s="583">
        <f t="shared" si="59"/>
        <v>0</v>
      </c>
      <c r="T473" s="580">
        <f t="shared" si="58"/>
        <v>0</v>
      </c>
      <c r="U473" s="51"/>
      <c r="V473" s="2119"/>
      <c r="W473" s="2116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7"/>
        <v>6159</v>
      </c>
      <c r="O474" s="575">
        <v>0</v>
      </c>
      <c r="P474" s="582">
        <v>0</v>
      </c>
      <c r="Q474" s="589"/>
      <c r="R474" s="576"/>
      <c r="S474" s="583">
        <f t="shared" si="59"/>
        <v>0</v>
      </c>
      <c r="T474" s="580">
        <f t="shared" si="58"/>
        <v>0</v>
      </c>
      <c r="U474" s="51"/>
      <c r="V474" s="2119"/>
      <c r="W474" s="2116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7"/>
        <v>6161</v>
      </c>
      <c r="O475" s="575">
        <v>0</v>
      </c>
      <c r="P475" s="582">
        <v>0</v>
      </c>
      <c r="Q475" s="589"/>
      <c r="R475" s="576"/>
      <c r="S475" s="583">
        <f t="shared" si="59"/>
        <v>0</v>
      </c>
      <c r="T475" s="580">
        <f t="shared" si="58"/>
        <v>0</v>
      </c>
      <c r="U475" s="51"/>
      <c r="V475" s="2119"/>
      <c r="W475" s="2116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7"/>
        <v>6162</v>
      </c>
      <c r="O476" s="575">
        <v>0</v>
      </c>
      <c r="P476" s="582">
        <v>0</v>
      </c>
      <c r="Q476" s="589"/>
      <c r="R476" s="576"/>
      <c r="S476" s="583">
        <f t="shared" si="59"/>
        <v>0</v>
      </c>
      <c r="T476" s="580">
        <f t="shared" si="58"/>
        <v>0</v>
      </c>
      <c r="U476" s="51"/>
      <c r="V476" s="2119"/>
      <c r="W476" s="2116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7"/>
        <v>6163</v>
      </c>
      <c r="O477" s="575">
        <v>0</v>
      </c>
      <c r="P477" s="582">
        <v>0</v>
      </c>
      <c r="Q477" s="589"/>
      <c r="R477" s="576"/>
      <c r="S477" s="583">
        <f t="shared" si="59"/>
        <v>0</v>
      </c>
      <c r="T477" s="580">
        <f t="shared" si="58"/>
        <v>0</v>
      </c>
      <c r="U477" s="51"/>
      <c r="V477" s="2119"/>
      <c r="W477" s="2116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7"/>
        <v>6201</v>
      </c>
      <c r="O478" s="575">
        <v>0</v>
      </c>
      <c r="P478" s="582">
        <v>0</v>
      </c>
      <c r="Q478" s="589"/>
      <c r="R478" s="576"/>
      <c r="S478" s="583">
        <f t="shared" si="59"/>
        <v>0</v>
      </c>
      <c r="T478" s="580">
        <f t="shared" si="58"/>
        <v>0</v>
      </c>
      <c r="U478" s="51"/>
      <c r="V478" s="2119"/>
      <c r="W478" s="2116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7"/>
        <v>6202</v>
      </c>
      <c r="O479" s="575">
        <v>0</v>
      </c>
      <c r="P479" s="582">
        <v>0</v>
      </c>
      <c r="Q479" s="589"/>
      <c r="R479" s="576"/>
      <c r="S479" s="583">
        <f t="shared" si="59"/>
        <v>0</v>
      </c>
      <c r="T479" s="580">
        <f t="shared" si="58"/>
        <v>0</v>
      </c>
      <c r="U479" s="51"/>
      <c r="V479" s="2119"/>
      <c r="W479" s="2116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7"/>
        <v>6203</v>
      </c>
      <c r="O480" s="575">
        <v>0</v>
      </c>
      <c r="P480" s="582">
        <v>0</v>
      </c>
      <c r="Q480" s="589"/>
      <c r="R480" s="576"/>
      <c r="S480" s="583">
        <f t="shared" si="59"/>
        <v>0</v>
      </c>
      <c r="T480" s="580">
        <f t="shared" ref="T480:T511" si="60">+IF(ABS(+O480+Q480)&lt;=ABS(P480+R480),-O480+P480-Q480+R480,0)</f>
        <v>0</v>
      </c>
      <c r="U480" s="51"/>
      <c r="V480" s="2119"/>
      <c r="W480" s="2116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7"/>
        <v>6209</v>
      </c>
      <c r="O481" s="575">
        <v>0</v>
      </c>
      <c r="P481" s="582">
        <v>0</v>
      </c>
      <c r="Q481" s="589"/>
      <c r="R481" s="576"/>
      <c r="S481" s="583">
        <f t="shared" ref="S481:S512" si="61">+IF(ABS(+O481+Q481)&gt;=ABS(P481+R481),+O481-P481+Q481-R481,0)</f>
        <v>0</v>
      </c>
      <c r="T481" s="580">
        <f t="shared" si="60"/>
        <v>0</v>
      </c>
      <c r="U481" s="51"/>
      <c r="V481" s="2119"/>
      <c r="W481" s="2116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7"/>
        <v>6211</v>
      </c>
      <c r="O482" s="575">
        <v>0</v>
      </c>
      <c r="P482" s="582">
        <v>0</v>
      </c>
      <c r="Q482" s="589"/>
      <c r="R482" s="576"/>
      <c r="S482" s="583">
        <f t="shared" si="61"/>
        <v>0</v>
      </c>
      <c r="T482" s="580">
        <f t="shared" si="60"/>
        <v>0</v>
      </c>
      <c r="U482" s="51"/>
      <c r="V482" s="2119"/>
      <c r="W482" s="2116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7"/>
        <v>6218</v>
      </c>
      <c r="O483" s="575">
        <v>0</v>
      </c>
      <c r="P483" s="582">
        <v>0</v>
      </c>
      <c r="Q483" s="589"/>
      <c r="R483" s="576"/>
      <c r="S483" s="583">
        <f t="shared" si="61"/>
        <v>0</v>
      </c>
      <c r="T483" s="580">
        <f t="shared" si="60"/>
        <v>0</v>
      </c>
      <c r="U483" s="51"/>
      <c r="V483" s="2119"/>
      <c r="W483" s="2116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7"/>
        <v>6221</v>
      </c>
      <c r="O484" s="575">
        <v>0</v>
      </c>
      <c r="P484" s="582">
        <v>0</v>
      </c>
      <c r="Q484" s="589"/>
      <c r="R484" s="576"/>
      <c r="S484" s="583">
        <f t="shared" si="61"/>
        <v>0</v>
      </c>
      <c r="T484" s="580">
        <f t="shared" si="60"/>
        <v>0</v>
      </c>
      <c r="U484" s="51"/>
      <c r="V484" s="2119"/>
      <c r="W484" s="2116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7"/>
        <v>6224</v>
      </c>
      <c r="O485" s="575">
        <v>0</v>
      </c>
      <c r="P485" s="582">
        <v>0</v>
      </c>
      <c r="Q485" s="589"/>
      <c r="R485" s="576"/>
      <c r="S485" s="583">
        <f t="shared" si="61"/>
        <v>0</v>
      </c>
      <c r="T485" s="580">
        <f t="shared" si="60"/>
        <v>0</v>
      </c>
      <c r="U485" s="51"/>
      <c r="V485" s="2119"/>
      <c r="W485" s="2116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7"/>
        <v>6225</v>
      </c>
      <c r="O486" s="575">
        <v>0</v>
      </c>
      <c r="P486" s="582">
        <v>0</v>
      </c>
      <c r="Q486" s="589"/>
      <c r="R486" s="576"/>
      <c r="S486" s="583">
        <f t="shared" si="61"/>
        <v>0</v>
      </c>
      <c r="T486" s="580">
        <f t="shared" si="60"/>
        <v>0</v>
      </c>
      <c r="U486" s="51"/>
      <c r="V486" s="2119"/>
      <c r="W486" s="2116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7"/>
        <v>6226</v>
      </c>
      <c r="O487" s="575">
        <v>0</v>
      </c>
      <c r="P487" s="582">
        <v>0</v>
      </c>
      <c r="Q487" s="589"/>
      <c r="R487" s="576"/>
      <c r="S487" s="583">
        <f t="shared" si="61"/>
        <v>0</v>
      </c>
      <c r="T487" s="580">
        <f t="shared" si="60"/>
        <v>0</v>
      </c>
      <c r="U487" s="51"/>
      <c r="V487" s="2119"/>
      <c r="W487" s="2116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7"/>
        <v>6227</v>
      </c>
      <c r="O488" s="575">
        <v>0</v>
      </c>
      <c r="P488" s="582">
        <v>0</v>
      </c>
      <c r="Q488" s="589"/>
      <c r="R488" s="576"/>
      <c r="S488" s="583">
        <f t="shared" si="61"/>
        <v>0</v>
      </c>
      <c r="T488" s="580">
        <f t="shared" si="60"/>
        <v>0</v>
      </c>
      <c r="U488" s="51"/>
      <c r="V488" s="2119"/>
      <c r="W488" s="2116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7"/>
        <v>6229</v>
      </c>
      <c r="O489" s="575">
        <v>0</v>
      </c>
      <c r="P489" s="582">
        <v>0</v>
      </c>
      <c r="Q489" s="589"/>
      <c r="R489" s="576"/>
      <c r="S489" s="583">
        <f t="shared" si="61"/>
        <v>0</v>
      </c>
      <c r="T489" s="580">
        <f t="shared" si="60"/>
        <v>0</v>
      </c>
      <c r="U489" s="51"/>
      <c r="V489" s="2119"/>
      <c r="W489" s="2116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7"/>
        <v>6231</v>
      </c>
      <c r="O490" s="575">
        <v>0</v>
      </c>
      <c r="P490" s="582">
        <v>0</v>
      </c>
      <c r="Q490" s="589"/>
      <c r="R490" s="576"/>
      <c r="S490" s="583">
        <f t="shared" si="61"/>
        <v>0</v>
      </c>
      <c r="T490" s="580">
        <f t="shared" si="60"/>
        <v>0</v>
      </c>
      <c r="U490" s="51"/>
      <c r="V490" s="2119"/>
      <c r="W490" s="2116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7"/>
        <v>6232</v>
      </c>
      <c r="O491" s="575">
        <v>0</v>
      </c>
      <c r="P491" s="582">
        <v>0</v>
      </c>
      <c r="Q491" s="589"/>
      <c r="R491" s="576"/>
      <c r="S491" s="583">
        <f t="shared" si="61"/>
        <v>0</v>
      </c>
      <c r="T491" s="580">
        <f t="shared" si="60"/>
        <v>0</v>
      </c>
      <c r="U491" s="51"/>
      <c r="V491" s="2119"/>
      <c r="W491" s="2116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7"/>
        <v>6241</v>
      </c>
      <c r="O492" s="575">
        <v>0</v>
      </c>
      <c r="P492" s="582">
        <v>0</v>
      </c>
      <c r="Q492" s="589"/>
      <c r="R492" s="576"/>
      <c r="S492" s="583">
        <f t="shared" si="61"/>
        <v>0</v>
      </c>
      <c r="T492" s="580">
        <f t="shared" si="60"/>
        <v>0</v>
      </c>
      <c r="U492" s="51"/>
      <c r="V492" s="2119"/>
      <c r="W492" s="2116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7"/>
        <v>6242</v>
      </c>
      <c r="O493" s="575">
        <v>0</v>
      </c>
      <c r="P493" s="582">
        <v>0</v>
      </c>
      <c r="Q493" s="589"/>
      <c r="R493" s="576"/>
      <c r="S493" s="583">
        <f t="shared" si="61"/>
        <v>0</v>
      </c>
      <c r="T493" s="580">
        <f t="shared" si="60"/>
        <v>0</v>
      </c>
      <c r="U493" s="51"/>
      <c r="V493" s="2119"/>
      <c r="W493" s="2116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7"/>
        <v>6270</v>
      </c>
      <c r="O494" s="575">
        <v>0</v>
      </c>
      <c r="P494" s="582">
        <v>0</v>
      </c>
      <c r="Q494" s="589"/>
      <c r="R494" s="576"/>
      <c r="S494" s="583">
        <f t="shared" si="61"/>
        <v>0</v>
      </c>
      <c r="T494" s="580">
        <f t="shared" si="60"/>
        <v>0</v>
      </c>
      <c r="U494" s="51"/>
      <c r="V494" s="2119"/>
      <c r="W494" s="2116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7"/>
        <v>6271</v>
      </c>
      <c r="O495" s="575">
        <v>0</v>
      </c>
      <c r="P495" s="582">
        <v>0</v>
      </c>
      <c r="Q495" s="589"/>
      <c r="R495" s="576"/>
      <c r="S495" s="583">
        <f t="shared" si="61"/>
        <v>0</v>
      </c>
      <c r="T495" s="580">
        <f t="shared" si="60"/>
        <v>0</v>
      </c>
      <c r="U495" s="51"/>
      <c r="V495" s="2119"/>
      <c r="W495" s="2116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7"/>
        <v>6272</v>
      </c>
      <c r="O496" s="575">
        <v>0</v>
      </c>
      <c r="P496" s="582">
        <v>0</v>
      </c>
      <c r="Q496" s="589"/>
      <c r="R496" s="576"/>
      <c r="S496" s="583">
        <f t="shared" si="61"/>
        <v>0</v>
      </c>
      <c r="T496" s="580">
        <f t="shared" si="60"/>
        <v>0</v>
      </c>
      <c r="U496" s="51"/>
      <c r="V496" s="2119"/>
      <c r="W496" s="2116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7"/>
        <v>6273</v>
      </c>
      <c r="O497" s="575">
        <v>0</v>
      </c>
      <c r="P497" s="582">
        <v>0</v>
      </c>
      <c r="Q497" s="589"/>
      <c r="R497" s="576"/>
      <c r="S497" s="583">
        <f t="shared" si="61"/>
        <v>0</v>
      </c>
      <c r="T497" s="580">
        <f t="shared" si="60"/>
        <v>0</v>
      </c>
      <c r="U497" s="51"/>
      <c r="V497" s="2119"/>
      <c r="W497" s="2116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7"/>
        <v>6274</v>
      </c>
      <c r="O498" s="575">
        <v>0</v>
      </c>
      <c r="P498" s="582">
        <v>0</v>
      </c>
      <c r="Q498" s="589"/>
      <c r="R498" s="576"/>
      <c r="S498" s="583">
        <f t="shared" si="61"/>
        <v>0</v>
      </c>
      <c r="T498" s="580">
        <f t="shared" si="60"/>
        <v>0</v>
      </c>
      <c r="U498" s="51"/>
      <c r="V498" s="2119"/>
      <c r="W498" s="2116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7"/>
        <v>6275</v>
      </c>
      <c r="O499" s="575">
        <v>0</v>
      </c>
      <c r="P499" s="582">
        <v>0</v>
      </c>
      <c r="Q499" s="589"/>
      <c r="R499" s="576"/>
      <c r="S499" s="583">
        <f t="shared" si="61"/>
        <v>0</v>
      </c>
      <c r="T499" s="580">
        <f t="shared" si="60"/>
        <v>0</v>
      </c>
      <c r="U499" s="51"/>
      <c r="V499" s="2119"/>
      <c r="W499" s="2116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7"/>
        <v>6276</v>
      </c>
      <c r="O500" s="575">
        <v>0</v>
      </c>
      <c r="P500" s="582">
        <v>0</v>
      </c>
      <c r="Q500" s="589"/>
      <c r="R500" s="576"/>
      <c r="S500" s="583">
        <f t="shared" si="61"/>
        <v>0</v>
      </c>
      <c r="T500" s="580">
        <f t="shared" si="60"/>
        <v>0</v>
      </c>
      <c r="U500" s="51"/>
      <c r="V500" s="2119"/>
      <c r="W500" s="2116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7"/>
        <v>6277</v>
      </c>
      <c r="O501" s="575">
        <v>0</v>
      </c>
      <c r="P501" s="582">
        <v>0</v>
      </c>
      <c r="Q501" s="589"/>
      <c r="R501" s="576"/>
      <c r="S501" s="583">
        <f t="shared" si="61"/>
        <v>0</v>
      </c>
      <c r="T501" s="580">
        <f t="shared" si="60"/>
        <v>0</v>
      </c>
      <c r="U501" s="51"/>
      <c r="V501" s="2119"/>
      <c r="W501" s="2116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7"/>
        <v>6278</v>
      </c>
      <c r="O502" s="575">
        <v>0</v>
      </c>
      <c r="P502" s="582">
        <v>0</v>
      </c>
      <c r="Q502" s="589"/>
      <c r="R502" s="576"/>
      <c r="S502" s="583">
        <f t="shared" si="61"/>
        <v>0</v>
      </c>
      <c r="T502" s="580">
        <f t="shared" si="60"/>
        <v>0</v>
      </c>
      <c r="U502" s="51"/>
      <c r="V502" s="2119"/>
      <c r="W502" s="2116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7"/>
        <v>6279</v>
      </c>
      <c r="O503" s="575">
        <v>0</v>
      </c>
      <c r="P503" s="582">
        <v>0</v>
      </c>
      <c r="Q503" s="589"/>
      <c r="R503" s="576"/>
      <c r="S503" s="583">
        <f t="shared" si="61"/>
        <v>0</v>
      </c>
      <c r="T503" s="580">
        <f t="shared" si="60"/>
        <v>0</v>
      </c>
      <c r="U503" s="51"/>
      <c r="V503" s="2119"/>
      <c r="W503" s="2116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7"/>
        <v>6281</v>
      </c>
      <c r="O504" s="575">
        <v>0</v>
      </c>
      <c r="P504" s="582">
        <v>0</v>
      </c>
      <c r="Q504" s="589"/>
      <c r="R504" s="576"/>
      <c r="S504" s="583">
        <f t="shared" si="61"/>
        <v>0</v>
      </c>
      <c r="T504" s="580">
        <f t="shared" si="60"/>
        <v>0</v>
      </c>
      <c r="U504" s="51"/>
      <c r="V504" s="2119"/>
      <c r="W504" s="2116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7"/>
        <v>6282</v>
      </c>
      <c r="O505" s="575">
        <v>0</v>
      </c>
      <c r="P505" s="582">
        <v>0</v>
      </c>
      <c r="Q505" s="589"/>
      <c r="R505" s="576"/>
      <c r="S505" s="583">
        <f t="shared" si="61"/>
        <v>0</v>
      </c>
      <c r="T505" s="580">
        <f t="shared" si="60"/>
        <v>0</v>
      </c>
      <c r="U505" s="51"/>
      <c r="V505" s="2119"/>
      <c r="W505" s="2116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7"/>
        <v>6291</v>
      </c>
      <c r="O506" s="575">
        <v>0</v>
      </c>
      <c r="P506" s="582">
        <v>0</v>
      </c>
      <c r="Q506" s="589"/>
      <c r="R506" s="576"/>
      <c r="S506" s="583">
        <f t="shared" si="61"/>
        <v>0</v>
      </c>
      <c r="T506" s="580">
        <f t="shared" si="60"/>
        <v>0</v>
      </c>
      <c r="U506" s="51"/>
      <c r="V506" s="2119"/>
      <c r="W506" s="2116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7"/>
        <v>6292</v>
      </c>
      <c r="O507" s="575">
        <v>0</v>
      </c>
      <c r="P507" s="582">
        <v>0</v>
      </c>
      <c r="Q507" s="589"/>
      <c r="R507" s="576"/>
      <c r="S507" s="583">
        <f t="shared" si="61"/>
        <v>0</v>
      </c>
      <c r="T507" s="580">
        <f t="shared" si="60"/>
        <v>0</v>
      </c>
      <c r="U507" s="51"/>
      <c r="V507" s="2119"/>
      <c r="W507" s="2116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7"/>
        <v>6298</v>
      </c>
      <c r="O508" s="575">
        <v>0</v>
      </c>
      <c r="P508" s="582">
        <v>0</v>
      </c>
      <c r="Q508" s="589"/>
      <c r="R508" s="576"/>
      <c r="S508" s="583">
        <f t="shared" si="61"/>
        <v>0</v>
      </c>
      <c r="T508" s="580">
        <f t="shared" si="60"/>
        <v>0</v>
      </c>
      <c r="U508" s="51"/>
      <c r="V508" s="2119"/>
      <c r="W508" s="2116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7"/>
        <v>6401</v>
      </c>
      <c r="O509" s="575">
        <v>0</v>
      </c>
      <c r="P509" s="582">
        <v>0</v>
      </c>
      <c r="Q509" s="589"/>
      <c r="R509" s="576"/>
      <c r="S509" s="583">
        <f t="shared" si="61"/>
        <v>0</v>
      </c>
      <c r="T509" s="580">
        <f t="shared" si="60"/>
        <v>0</v>
      </c>
      <c r="U509" s="51"/>
      <c r="V509" s="2119"/>
      <c r="W509" s="2116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7"/>
        <v>6402</v>
      </c>
      <c r="O510" s="575">
        <v>0</v>
      </c>
      <c r="P510" s="582">
        <v>0</v>
      </c>
      <c r="Q510" s="589"/>
      <c r="R510" s="576"/>
      <c r="S510" s="583">
        <f t="shared" si="61"/>
        <v>0</v>
      </c>
      <c r="T510" s="580">
        <f t="shared" si="60"/>
        <v>0</v>
      </c>
      <c r="U510" s="51"/>
      <c r="V510" s="2119"/>
      <c r="W510" s="2116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7"/>
        <v>6411</v>
      </c>
      <c r="O511" s="575">
        <v>0</v>
      </c>
      <c r="P511" s="582">
        <v>0</v>
      </c>
      <c r="Q511" s="589"/>
      <c r="R511" s="576"/>
      <c r="S511" s="583">
        <f t="shared" si="61"/>
        <v>0</v>
      </c>
      <c r="T511" s="580">
        <f t="shared" si="60"/>
        <v>0</v>
      </c>
      <c r="U511" s="51"/>
      <c r="V511" s="2119"/>
      <c r="W511" s="2116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62">+A512</f>
        <v>6412</v>
      </c>
      <c r="O512" s="575">
        <v>0</v>
      </c>
      <c r="P512" s="582">
        <v>0</v>
      </c>
      <c r="Q512" s="589"/>
      <c r="R512" s="576"/>
      <c r="S512" s="583">
        <f t="shared" si="61"/>
        <v>0</v>
      </c>
      <c r="T512" s="580">
        <f t="shared" ref="T512:T543" si="63">+IF(ABS(+O512+Q512)&lt;=ABS(P512+R512),-O512+P512-Q512+R512,0)</f>
        <v>0</v>
      </c>
      <c r="U512" s="51"/>
      <c r="V512" s="2119"/>
      <c r="W512" s="2116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62"/>
        <v>6421</v>
      </c>
      <c r="O513" s="575">
        <v>0</v>
      </c>
      <c r="P513" s="582">
        <v>0</v>
      </c>
      <c r="Q513" s="589"/>
      <c r="R513" s="576"/>
      <c r="S513" s="583">
        <f t="shared" ref="S513:S544" si="64">+IF(ABS(+O513+Q513)&gt;=ABS(P513+R513),+O513-P513+Q513-R513,0)</f>
        <v>0</v>
      </c>
      <c r="T513" s="580">
        <f t="shared" si="63"/>
        <v>0</v>
      </c>
      <c r="U513" s="51"/>
      <c r="V513" s="2119"/>
      <c r="W513" s="2116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62"/>
        <v>6422</v>
      </c>
      <c r="O514" s="575">
        <v>0</v>
      </c>
      <c r="P514" s="582">
        <v>0</v>
      </c>
      <c r="Q514" s="589"/>
      <c r="R514" s="576"/>
      <c r="S514" s="583">
        <f t="shared" si="64"/>
        <v>0</v>
      </c>
      <c r="T514" s="580">
        <f t="shared" si="63"/>
        <v>0</v>
      </c>
      <c r="U514" s="51"/>
      <c r="V514" s="2119"/>
      <c r="W514" s="2116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62"/>
        <v>6423</v>
      </c>
      <c r="O515" s="575">
        <v>0</v>
      </c>
      <c r="P515" s="582">
        <v>0</v>
      </c>
      <c r="Q515" s="589"/>
      <c r="R515" s="576"/>
      <c r="S515" s="583">
        <f t="shared" si="64"/>
        <v>0</v>
      </c>
      <c r="T515" s="580">
        <f t="shared" si="63"/>
        <v>0</v>
      </c>
      <c r="U515" s="51"/>
      <c r="V515" s="2119"/>
      <c r="W515" s="2116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62"/>
        <v>6424</v>
      </c>
      <c r="O516" s="575">
        <v>0</v>
      </c>
      <c r="P516" s="582">
        <v>0</v>
      </c>
      <c r="Q516" s="589"/>
      <c r="R516" s="576"/>
      <c r="S516" s="583">
        <f t="shared" si="64"/>
        <v>0</v>
      </c>
      <c r="T516" s="580">
        <f t="shared" si="63"/>
        <v>0</v>
      </c>
      <c r="U516" s="51"/>
      <c r="V516" s="2119"/>
      <c r="W516" s="2116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62"/>
        <v>6425</v>
      </c>
      <c r="O517" s="575">
        <v>0</v>
      </c>
      <c r="P517" s="582">
        <v>0</v>
      </c>
      <c r="Q517" s="589"/>
      <c r="R517" s="576"/>
      <c r="S517" s="583">
        <f t="shared" si="64"/>
        <v>0</v>
      </c>
      <c r="T517" s="580">
        <f t="shared" si="63"/>
        <v>0</v>
      </c>
      <c r="U517" s="51"/>
      <c r="V517" s="2119"/>
      <c r="W517" s="2116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62"/>
        <v>6426</v>
      </c>
      <c r="O518" s="575">
        <v>0</v>
      </c>
      <c r="P518" s="582">
        <v>0</v>
      </c>
      <c r="Q518" s="589"/>
      <c r="R518" s="576"/>
      <c r="S518" s="583">
        <f t="shared" si="64"/>
        <v>0</v>
      </c>
      <c r="T518" s="580">
        <f t="shared" si="63"/>
        <v>0</v>
      </c>
      <c r="U518" s="51"/>
      <c r="V518" s="2119"/>
      <c r="W518" s="2116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62"/>
        <v>6427</v>
      </c>
      <c r="O519" s="575">
        <v>0</v>
      </c>
      <c r="P519" s="582">
        <v>0</v>
      </c>
      <c r="Q519" s="589"/>
      <c r="R519" s="576"/>
      <c r="S519" s="583">
        <f t="shared" si="64"/>
        <v>0</v>
      </c>
      <c r="T519" s="580">
        <f t="shared" si="63"/>
        <v>0</v>
      </c>
      <c r="U519" s="51"/>
      <c r="V519" s="2119"/>
      <c r="W519" s="2116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62"/>
        <v>6428</v>
      </c>
      <c r="O520" s="575">
        <v>0</v>
      </c>
      <c r="P520" s="582">
        <v>0</v>
      </c>
      <c r="Q520" s="589"/>
      <c r="R520" s="576"/>
      <c r="S520" s="583">
        <f t="shared" si="64"/>
        <v>0</v>
      </c>
      <c r="T520" s="580">
        <f t="shared" si="63"/>
        <v>0</v>
      </c>
      <c r="U520" s="51"/>
      <c r="V520" s="2119"/>
      <c r="W520" s="2116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62"/>
        <v>6430</v>
      </c>
      <c r="O521" s="575">
        <v>0</v>
      </c>
      <c r="P521" s="582">
        <v>0</v>
      </c>
      <c r="Q521" s="589"/>
      <c r="R521" s="576"/>
      <c r="S521" s="583">
        <f t="shared" si="64"/>
        <v>0</v>
      </c>
      <c r="T521" s="580">
        <f t="shared" si="63"/>
        <v>0</v>
      </c>
      <c r="U521" s="51"/>
      <c r="V521" s="2119"/>
      <c r="W521" s="2116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62"/>
        <v>6437</v>
      </c>
      <c r="O522" s="575">
        <v>0</v>
      </c>
      <c r="P522" s="582">
        <v>0</v>
      </c>
      <c r="Q522" s="589"/>
      <c r="R522" s="576"/>
      <c r="S522" s="583">
        <f t="shared" si="64"/>
        <v>0</v>
      </c>
      <c r="T522" s="580">
        <f t="shared" si="63"/>
        <v>0</v>
      </c>
      <c r="U522" s="51"/>
      <c r="V522" s="2119"/>
      <c r="W522" s="2116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62"/>
        <v>6438</v>
      </c>
      <c r="O523" s="575">
        <v>0</v>
      </c>
      <c r="P523" s="582">
        <v>0</v>
      </c>
      <c r="Q523" s="589"/>
      <c r="R523" s="576"/>
      <c r="S523" s="583">
        <f t="shared" si="64"/>
        <v>0</v>
      </c>
      <c r="T523" s="580">
        <f t="shared" si="63"/>
        <v>0</v>
      </c>
      <c r="U523" s="51"/>
      <c r="V523" s="2119"/>
      <c r="W523" s="2116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62"/>
        <v>6440</v>
      </c>
      <c r="O524" s="575">
        <v>0</v>
      </c>
      <c r="P524" s="582">
        <v>0</v>
      </c>
      <c r="Q524" s="589"/>
      <c r="R524" s="576"/>
      <c r="S524" s="583">
        <f t="shared" si="64"/>
        <v>0</v>
      </c>
      <c r="T524" s="580">
        <f t="shared" si="63"/>
        <v>0</v>
      </c>
      <c r="U524" s="51"/>
      <c r="V524" s="2119"/>
      <c r="W524" s="2116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62"/>
        <v>6441</v>
      </c>
      <c r="O525" s="575">
        <v>0</v>
      </c>
      <c r="P525" s="582">
        <v>0</v>
      </c>
      <c r="Q525" s="589"/>
      <c r="R525" s="576"/>
      <c r="S525" s="583">
        <f t="shared" si="64"/>
        <v>0</v>
      </c>
      <c r="T525" s="580">
        <f t="shared" si="63"/>
        <v>0</v>
      </c>
      <c r="U525" s="51"/>
      <c r="V525" s="2119"/>
      <c r="W525" s="2116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62"/>
        <v>6442</v>
      </c>
      <c r="O526" s="575">
        <v>0</v>
      </c>
      <c r="P526" s="582">
        <v>0</v>
      </c>
      <c r="Q526" s="589"/>
      <c r="R526" s="576"/>
      <c r="S526" s="583">
        <f t="shared" si="64"/>
        <v>0</v>
      </c>
      <c r="T526" s="580">
        <f t="shared" si="63"/>
        <v>0</v>
      </c>
      <c r="U526" s="51"/>
      <c r="V526" s="2119"/>
      <c r="W526" s="2116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62"/>
        <v>6443</v>
      </c>
      <c r="O527" s="575">
        <v>0</v>
      </c>
      <c r="P527" s="582">
        <v>0</v>
      </c>
      <c r="Q527" s="589"/>
      <c r="R527" s="576"/>
      <c r="S527" s="583">
        <f t="shared" si="64"/>
        <v>0</v>
      </c>
      <c r="T527" s="580">
        <f t="shared" si="63"/>
        <v>0</v>
      </c>
      <c r="U527" s="51"/>
      <c r="V527" s="2119"/>
      <c r="W527" s="2116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62"/>
        <v>6444</v>
      </c>
      <c r="O528" s="575">
        <v>0</v>
      </c>
      <c r="P528" s="582">
        <v>0</v>
      </c>
      <c r="Q528" s="589"/>
      <c r="R528" s="576"/>
      <c r="S528" s="583">
        <f t="shared" si="64"/>
        <v>0</v>
      </c>
      <c r="T528" s="580">
        <f t="shared" si="63"/>
        <v>0</v>
      </c>
      <c r="U528" s="51"/>
      <c r="V528" s="2119"/>
      <c r="W528" s="2116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62"/>
        <v>6445</v>
      </c>
      <c r="O529" s="575">
        <v>0</v>
      </c>
      <c r="P529" s="582">
        <v>0</v>
      </c>
      <c r="Q529" s="589"/>
      <c r="R529" s="576"/>
      <c r="S529" s="583">
        <f t="shared" si="64"/>
        <v>0</v>
      </c>
      <c r="T529" s="580">
        <f t="shared" si="63"/>
        <v>0</v>
      </c>
      <c r="U529" s="51"/>
      <c r="V529" s="2119"/>
      <c r="W529" s="2116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62"/>
        <v>6446</v>
      </c>
      <c r="O530" s="575">
        <v>0</v>
      </c>
      <c r="P530" s="582">
        <v>0</v>
      </c>
      <c r="Q530" s="589"/>
      <c r="R530" s="576"/>
      <c r="S530" s="583">
        <f t="shared" si="64"/>
        <v>0</v>
      </c>
      <c r="T530" s="580">
        <f t="shared" si="63"/>
        <v>0</v>
      </c>
      <c r="U530" s="51"/>
      <c r="V530" s="2119"/>
      <c r="W530" s="2116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62"/>
        <v>6447</v>
      </c>
      <c r="O531" s="575">
        <v>0</v>
      </c>
      <c r="P531" s="582">
        <v>0</v>
      </c>
      <c r="Q531" s="589"/>
      <c r="R531" s="576"/>
      <c r="S531" s="583">
        <f t="shared" si="64"/>
        <v>0</v>
      </c>
      <c r="T531" s="580">
        <f t="shared" si="63"/>
        <v>0</v>
      </c>
      <c r="U531" s="51"/>
      <c r="V531" s="2119"/>
      <c r="W531" s="2116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62"/>
        <v>6448</v>
      </c>
      <c r="O532" s="575">
        <v>0</v>
      </c>
      <c r="P532" s="582">
        <v>0</v>
      </c>
      <c r="Q532" s="589"/>
      <c r="R532" s="576"/>
      <c r="S532" s="583">
        <f t="shared" si="64"/>
        <v>0</v>
      </c>
      <c r="T532" s="580">
        <f t="shared" si="63"/>
        <v>0</v>
      </c>
      <c r="U532" s="51"/>
      <c r="V532" s="2119"/>
      <c r="W532" s="2116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62"/>
        <v>6449</v>
      </c>
      <c r="O533" s="575">
        <v>0</v>
      </c>
      <c r="P533" s="582">
        <v>0</v>
      </c>
      <c r="Q533" s="589"/>
      <c r="R533" s="576"/>
      <c r="S533" s="583">
        <f t="shared" si="64"/>
        <v>0</v>
      </c>
      <c r="T533" s="580">
        <f t="shared" si="63"/>
        <v>0</v>
      </c>
      <c r="U533" s="51"/>
      <c r="V533" s="2119"/>
      <c r="W533" s="2116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62"/>
        <v>6451</v>
      </c>
      <c r="O534" s="575">
        <v>0</v>
      </c>
      <c r="P534" s="582">
        <v>0</v>
      </c>
      <c r="Q534" s="589"/>
      <c r="R534" s="576"/>
      <c r="S534" s="583">
        <f t="shared" si="64"/>
        <v>0</v>
      </c>
      <c r="T534" s="580">
        <f t="shared" si="63"/>
        <v>0</v>
      </c>
      <c r="U534" s="51"/>
      <c r="V534" s="2119"/>
      <c r="W534" s="2116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62"/>
        <v>6453</v>
      </c>
      <c r="O535" s="575">
        <v>0</v>
      </c>
      <c r="P535" s="582">
        <v>0</v>
      </c>
      <c r="Q535" s="589"/>
      <c r="R535" s="576"/>
      <c r="S535" s="583">
        <f t="shared" si="64"/>
        <v>0</v>
      </c>
      <c r="T535" s="580">
        <f t="shared" si="63"/>
        <v>0</v>
      </c>
      <c r="U535" s="51"/>
      <c r="V535" s="2119"/>
      <c r="W535" s="2116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62"/>
        <v>6454</v>
      </c>
      <c r="O536" s="575">
        <v>0</v>
      </c>
      <c r="P536" s="582">
        <v>0</v>
      </c>
      <c r="Q536" s="589"/>
      <c r="R536" s="576"/>
      <c r="S536" s="583">
        <f t="shared" si="64"/>
        <v>0</v>
      </c>
      <c r="T536" s="580">
        <f t="shared" si="63"/>
        <v>0</v>
      </c>
      <c r="U536" s="51"/>
      <c r="V536" s="2119"/>
      <c r="W536" s="2116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62"/>
        <v>6455</v>
      </c>
      <c r="O537" s="575">
        <v>0</v>
      </c>
      <c r="P537" s="582">
        <v>0</v>
      </c>
      <c r="Q537" s="589"/>
      <c r="R537" s="576"/>
      <c r="S537" s="583">
        <f t="shared" si="64"/>
        <v>0</v>
      </c>
      <c r="T537" s="580">
        <f t="shared" si="63"/>
        <v>0</v>
      </c>
      <c r="U537" s="51"/>
      <c r="V537" s="2119"/>
      <c r="W537" s="2116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62"/>
        <v>6457</v>
      </c>
      <c r="O538" s="575">
        <v>0</v>
      </c>
      <c r="P538" s="582">
        <v>0</v>
      </c>
      <c r="Q538" s="589"/>
      <c r="R538" s="576"/>
      <c r="S538" s="583">
        <f t="shared" si="64"/>
        <v>0</v>
      </c>
      <c r="T538" s="580">
        <f t="shared" si="63"/>
        <v>0</v>
      </c>
      <c r="U538" s="51"/>
      <c r="V538" s="2119"/>
      <c r="W538" s="2116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62"/>
        <v>6458</v>
      </c>
      <c r="O539" s="575">
        <v>0</v>
      </c>
      <c r="P539" s="582">
        <v>0</v>
      </c>
      <c r="Q539" s="589"/>
      <c r="R539" s="576"/>
      <c r="S539" s="583">
        <f t="shared" si="64"/>
        <v>0</v>
      </c>
      <c r="T539" s="580">
        <f t="shared" si="63"/>
        <v>0</v>
      </c>
      <c r="U539" s="51"/>
      <c r="V539" s="2119"/>
      <c r="W539" s="2116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62"/>
        <v>6460</v>
      </c>
      <c r="O540" s="575">
        <v>0</v>
      </c>
      <c r="P540" s="582">
        <v>0</v>
      </c>
      <c r="Q540" s="589"/>
      <c r="R540" s="576"/>
      <c r="S540" s="583">
        <f t="shared" si="64"/>
        <v>0</v>
      </c>
      <c r="T540" s="580">
        <f t="shared" si="63"/>
        <v>0</v>
      </c>
      <c r="U540" s="51"/>
      <c r="V540" s="2119"/>
      <c r="W540" s="2116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62"/>
        <v>6461</v>
      </c>
      <c r="O541" s="575">
        <v>0</v>
      </c>
      <c r="P541" s="582">
        <v>0</v>
      </c>
      <c r="Q541" s="589"/>
      <c r="R541" s="576"/>
      <c r="S541" s="583">
        <f t="shared" si="64"/>
        <v>0</v>
      </c>
      <c r="T541" s="580">
        <f t="shared" si="63"/>
        <v>0</v>
      </c>
      <c r="U541" s="51"/>
      <c r="V541" s="2119"/>
      <c r="W541" s="2116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62"/>
        <v>6462</v>
      </c>
      <c r="O542" s="575">
        <v>0</v>
      </c>
      <c r="P542" s="582">
        <v>0</v>
      </c>
      <c r="Q542" s="589"/>
      <c r="R542" s="576"/>
      <c r="S542" s="583">
        <f t="shared" si="64"/>
        <v>0</v>
      </c>
      <c r="T542" s="580">
        <f t="shared" si="63"/>
        <v>0</v>
      </c>
      <c r="U542" s="51"/>
      <c r="V542" s="2119"/>
      <c r="W542" s="2116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62"/>
        <v>6463</v>
      </c>
      <c r="O543" s="575">
        <v>0</v>
      </c>
      <c r="P543" s="582">
        <v>0</v>
      </c>
      <c r="Q543" s="589"/>
      <c r="R543" s="576"/>
      <c r="S543" s="583">
        <f t="shared" si="64"/>
        <v>0</v>
      </c>
      <c r="T543" s="580">
        <f t="shared" si="63"/>
        <v>0</v>
      </c>
      <c r="U543" s="51"/>
      <c r="V543" s="2119"/>
      <c r="W543" s="2116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62"/>
        <v>6464</v>
      </c>
      <c r="O544" s="575">
        <v>0</v>
      </c>
      <c r="P544" s="582">
        <v>0</v>
      </c>
      <c r="Q544" s="589"/>
      <c r="R544" s="576"/>
      <c r="S544" s="583">
        <f t="shared" si="64"/>
        <v>0</v>
      </c>
      <c r="T544" s="580">
        <f t="shared" ref="T544:T569" si="65">+IF(ABS(+O544+Q544)&lt;=ABS(P544+R544),-O544+P544-Q544+R544,0)</f>
        <v>0</v>
      </c>
      <c r="U544" s="51"/>
      <c r="V544" s="2119"/>
      <c r="W544" s="2116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62"/>
        <v>6465</v>
      </c>
      <c r="O545" s="575">
        <v>0</v>
      </c>
      <c r="P545" s="582">
        <v>0</v>
      </c>
      <c r="Q545" s="589"/>
      <c r="R545" s="576"/>
      <c r="S545" s="583">
        <f t="shared" ref="S545:S565" si="66">+IF(ABS(+O545+Q545)&gt;=ABS(P545+R545),+O545-P545+Q545-R545,0)</f>
        <v>0</v>
      </c>
      <c r="T545" s="580">
        <f t="shared" si="65"/>
        <v>0</v>
      </c>
      <c r="U545" s="51"/>
      <c r="V545" s="2119"/>
      <c r="W545" s="2116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62"/>
        <v>6466</v>
      </c>
      <c r="O546" s="575">
        <v>0</v>
      </c>
      <c r="P546" s="582">
        <v>0</v>
      </c>
      <c r="Q546" s="589"/>
      <c r="R546" s="576"/>
      <c r="S546" s="583">
        <f t="shared" si="66"/>
        <v>0</v>
      </c>
      <c r="T546" s="580">
        <f t="shared" si="65"/>
        <v>0</v>
      </c>
      <c r="U546" s="51"/>
      <c r="V546" s="2119"/>
      <c r="W546" s="2116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62"/>
        <v>6467</v>
      </c>
      <c r="O547" s="575">
        <v>0</v>
      </c>
      <c r="P547" s="582">
        <v>0</v>
      </c>
      <c r="Q547" s="589"/>
      <c r="R547" s="576"/>
      <c r="S547" s="583">
        <f t="shared" si="66"/>
        <v>0</v>
      </c>
      <c r="T547" s="580">
        <f t="shared" si="65"/>
        <v>0</v>
      </c>
      <c r="U547" s="51"/>
      <c r="V547" s="2119"/>
      <c r="W547" s="2116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62"/>
        <v>6468</v>
      </c>
      <c r="O548" s="575">
        <v>0</v>
      </c>
      <c r="P548" s="582">
        <v>0</v>
      </c>
      <c r="Q548" s="589"/>
      <c r="R548" s="576"/>
      <c r="S548" s="583">
        <f t="shared" si="66"/>
        <v>0</v>
      </c>
      <c r="T548" s="580">
        <f t="shared" si="65"/>
        <v>0</v>
      </c>
      <c r="U548" s="51"/>
      <c r="V548" s="2119"/>
      <c r="W548" s="2116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62"/>
        <v>6469</v>
      </c>
      <c r="O549" s="575">
        <v>0</v>
      </c>
      <c r="P549" s="582">
        <v>0</v>
      </c>
      <c r="Q549" s="589"/>
      <c r="R549" s="576"/>
      <c r="S549" s="583">
        <f t="shared" si="66"/>
        <v>0</v>
      </c>
      <c r="T549" s="580">
        <f t="shared" si="65"/>
        <v>0</v>
      </c>
      <c r="U549" s="51"/>
      <c r="V549" s="2119"/>
      <c r="W549" s="2116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62"/>
        <v>6471</v>
      </c>
      <c r="O550" s="575">
        <v>0</v>
      </c>
      <c r="P550" s="582">
        <v>0</v>
      </c>
      <c r="Q550" s="589"/>
      <c r="R550" s="576"/>
      <c r="S550" s="583">
        <f t="shared" si="66"/>
        <v>0</v>
      </c>
      <c r="T550" s="580">
        <f t="shared" si="65"/>
        <v>0</v>
      </c>
      <c r="U550" s="51"/>
      <c r="V550" s="2119"/>
      <c r="W550" s="2116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62"/>
        <v>6473</v>
      </c>
      <c r="O551" s="575">
        <v>0</v>
      </c>
      <c r="P551" s="582">
        <v>0</v>
      </c>
      <c r="Q551" s="589"/>
      <c r="R551" s="576"/>
      <c r="S551" s="583">
        <f t="shared" si="66"/>
        <v>0</v>
      </c>
      <c r="T551" s="580">
        <f t="shared" si="65"/>
        <v>0</v>
      </c>
      <c r="U551" s="51"/>
      <c r="V551" s="2119"/>
      <c r="W551" s="2116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62"/>
        <v>6475</v>
      </c>
      <c r="O552" s="575">
        <v>0</v>
      </c>
      <c r="P552" s="582">
        <v>0</v>
      </c>
      <c r="Q552" s="589"/>
      <c r="R552" s="576"/>
      <c r="S552" s="583">
        <f t="shared" si="66"/>
        <v>0</v>
      </c>
      <c r="T552" s="580">
        <f t="shared" si="65"/>
        <v>0</v>
      </c>
      <c r="U552" s="51"/>
      <c r="V552" s="2119"/>
      <c r="W552" s="2116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62"/>
        <v>6477</v>
      </c>
      <c r="O553" s="575">
        <v>0</v>
      </c>
      <c r="P553" s="582">
        <v>0</v>
      </c>
      <c r="Q553" s="589"/>
      <c r="R553" s="576"/>
      <c r="S553" s="583">
        <f t="shared" si="66"/>
        <v>0</v>
      </c>
      <c r="T553" s="580">
        <f t="shared" si="65"/>
        <v>0</v>
      </c>
      <c r="U553" s="51"/>
      <c r="V553" s="2119"/>
      <c r="W553" s="2116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62"/>
        <v>6479</v>
      </c>
      <c r="O554" s="575">
        <v>0</v>
      </c>
      <c r="P554" s="582">
        <v>0</v>
      </c>
      <c r="Q554" s="589"/>
      <c r="R554" s="576"/>
      <c r="S554" s="583">
        <f t="shared" si="66"/>
        <v>0</v>
      </c>
      <c r="T554" s="580">
        <f t="shared" si="65"/>
        <v>0</v>
      </c>
      <c r="U554" s="51"/>
      <c r="V554" s="2119"/>
      <c r="W554" s="2116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62"/>
        <v>6480</v>
      </c>
      <c r="O555" s="575">
        <v>0</v>
      </c>
      <c r="P555" s="582">
        <v>0</v>
      </c>
      <c r="Q555" s="589"/>
      <c r="R555" s="576"/>
      <c r="S555" s="583">
        <f t="shared" si="66"/>
        <v>0</v>
      </c>
      <c r="T555" s="580">
        <f t="shared" si="65"/>
        <v>0</v>
      </c>
      <c r="U555" s="51"/>
      <c r="V555" s="2119"/>
      <c r="W555" s="2116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62"/>
        <v>6481</v>
      </c>
      <c r="O556" s="575">
        <v>0</v>
      </c>
      <c r="P556" s="582">
        <v>0</v>
      </c>
      <c r="Q556" s="589"/>
      <c r="R556" s="576"/>
      <c r="S556" s="583">
        <f t="shared" si="66"/>
        <v>0</v>
      </c>
      <c r="T556" s="580">
        <f t="shared" si="65"/>
        <v>0</v>
      </c>
      <c r="U556" s="51"/>
      <c r="V556" s="2119"/>
      <c r="W556" s="2116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62"/>
        <v>6483</v>
      </c>
      <c r="O557" s="575">
        <v>0</v>
      </c>
      <c r="P557" s="582">
        <v>0</v>
      </c>
      <c r="Q557" s="589"/>
      <c r="R557" s="576"/>
      <c r="S557" s="583">
        <f t="shared" si="66"/>
        <v>0</v>
      </c>
      <c r="T557" s="580">
        <f t="shared" si="65"/>
        <v>0</v>
      </c>
      <c r="U557" s="51"/>
      <c r="V557" s="2119"/>
      <c r="W557" s="2116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62"/>
        <v>6485</v>
      </c>
      <c r="O558" s="575">
        <v>0</v>
      </c>
      <c r="P558" s="582">
        <v>0</v>
      </c>
      <c r="Q558" s="589"/>
      <c r="R558" s="576"/>
      <c r="S558" s="583">
        <f t="shared" si="66"/>
        <v>0</v>
      </c>
      <c r="T558" s="580">
        <f t="shared" si="65"/>
        <v>0</v>
      </c>
      <c r="U558" s="51"/>
      <c r="V558" s="2119"/>
      <c r="W558" s="2116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62"/>
        <v>6487</v>
      </c>
      <c r="O559" s="575">
        <v>0</v>
      </c>
      <c r="P559" s="582">
        <v>0</v>
      </c>
      <c r="Q559" s="589"/>
      <c r="R559" s="576"/>
      <c r="S559" s="583">
        <f t="shared" si="66"/>
        <v>0</v>
      </c>
      <c r="T559" s="580">
        <f t="shared" si="65"/>
        <v>0</v>
      </c>
      <c r="U559" s="51"/>
      <c r="V559" s="2119"/>
      <c r="W559" s="2116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62"/>
        <v>6489</v>
      </c>
      <c r="O560" s="575">
        <v>0</v>
      </c>
      <c r="P560" s="582">
        <v>0</v>
      </c>
      <c r="Q560" s="589"/>
      <c r="R560" s="576"/>
      <c r="S560" s="583">
        <f t="shared" si="66"/>
        <v>0</v>
      </c>
      <c r="T560" s="580">
        <f t="shared" si="65"/>
        <v>0</v>
      </c>
      <c r="U560" s="51"/>
      <c r="V560" s="2119"/>
      <c r="W560" s="2116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62"/>
        <v>6491</v>
      </c>
      <c r="O561" s="575">
        <v>0</v>
      </c>
      <c r="P561" s="582">
        <v>0</v>
      </c>
      <c r="Q561" s="589"/>
      <c r="R561" s="576"/>
      <c r="S561" s="583">
        <f t="shared" si="66"/>
        <v>0</v>
      </c>
      <c r="T561" s="580">
        <f t="shared" si="65"/>
        <v>0</v>
      </c>
      <c r="U561" s="51"/>
      <c r="V561" s="2119"/>
      <c r="W561" s="2116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62"/>
        <v>6493</v>
      </c>
      <c r="O562" s="575">
        <v>0</v>
      </c>
      <c r="P562" s="582">
        <v>0</v>
      </c>
      <c r="Q562" s="589"/>
      <c r="R562" s="576"/>
      <c r="S562" s="583">
        <f t="shared" si="66"/>
        <v>0</v>
      </c>
      <c r="T562" s="580">
        <f t="shared" si="65"/>
        <v>0</v>
      </c>
      <c r="U562" s="51"/>
      <c r="V562" s="2119"/>
      <c r="W562" s="2116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62"/>
        <v>6495</v>
      </c>
      <c r="O563" s="575">
        <v>0</v>
      </c>
      <c r="P563" s="582">
        <v>0</v>
      </c>
      <c r="Q563" s="589"/>
      <c r="R563" s="576"/>
      <c r="S563" s="583">
        <f t="shared" si="66"/>
        <v>0</v>
      </c>
      <c r="T563" s="580">
        <f t="shared" si="65"/>
        <v>0</v>
      </c>
      <c r="U563" s="51"/>
      <c r="V563" s="2119"/>
      <c r="W563" s="2116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62"/>
        <v>6497</v>
      </c>
      <c r="O564" s="575">
        <v>0</v>
      </c>
      <c r="P564" s="582">
        <v>0</v>
      </c>
      <c r="Q564" s="589"/>
      <c r="R564" s="576"/>
      <c r="S564" s="583">
        <f t="shared" si="66"/>
        <v>0</v>
      </c>
      <c r="T564" s="580">
        <f t="shared" si="65"/>
        <v>0</v>
      </c>
      <c r="U564" s="51"/>
      <c r="V564" s="2119"/>
      <c r="W564" s="2116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62"/>
        <v>6499</v>
      </c>
      <c r="O565" s="575">
        <v>0</v>
      </c>
      <c r="P565" s="582">
        <v>0</v>
      </c>
      <c r="Q565" s="589"/>
      <c r="R565" s="576"/>
      <c r="S565" s="583">
        <f t="shared" si="66"/>
        <v>0</v>
      </c>
      <c r="T565" s="580">
        <f t="shared" si="65"/>
        <v>0</v>
      </c>
      <c r="U565" s="51"/>
      <c r="V565" s="2119"/>
      <c r="W565" s="2116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62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65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2116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62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65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2116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62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65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2116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62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65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2116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62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2116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62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2116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62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2116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62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2116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62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2116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62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2116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67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2116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67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2116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67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2116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67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2116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67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2116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67"/>
        <v>6901</v>
      </c>
      <c r="O581" s="575">
        <v>0</v>
      </c>
      <c r="P581" s="582">
        <v>0</v>
      </c>
      <c r="Q581" s="589"/>
      <c r="R581" s="576"/>
      <c r="S581" s="583">
        <f t="shared" ref="S581:S600" si="68">+IF(ABS(+O581+Q581)&gt;=ABS(P581+R581),+O581-P581+Q581-R581,0)</f>
        <v>0</v>
      </c>
      <c r="T581" s="580">
        <f t="shared" ref="T581:T600" si="69">+IF(ABS(+O581+Q581)&lt;=ABS(P581+R581),-O581+P581-Q581+R581,0)</f>
        <v>0</v>
      </c>
      <c r="U581" s="51"/>
      <c r="V581" s="2119"/>
      <c r="W581" s="2116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67"/>
        <v>6902</v>
      </c>
      <c r="O582" s="575">
        <v>0</v>
      </c>
      <c r="P582" s="582">
        <v>0</v>
      </c>
      <c r="Q582" s="589"/>
      <c r="R582" s="576"/>
      <c r="S582" s="583">
        <f t="shared" si="68"/>
        <v>0</v>
      </c>
      <c r="T582" s="580">
        <f t="shared" si="69"/>
        <v>0</v>
      </c>
      <c r="U582" s="51"/>
      <c r="V582" s="2119"/>
      <c r="W582" s="2116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67"/>
        <v>6903</v>
      </c>
      <c r="O583" s="575">
        <v>0</v>
      </c>
      <c r="P583" s="582">
        <v>0</v>
      </c>
      <c r="Q583" s="589"/>
      <c r="R583" s="576"/>
      <c r="S583" s="583">
        <f t="shared" si="68"/>
        <v>0</v>
      </c>
      <c r="T583" s="580">
        <f t="shared" si="69"/>
        <v>0</v>
      </c>
      <c r="U583" s="51"/>
      <c r="V583" s="2119"/>
      <c r="W583" s="2116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67"/>
        <v>6904</v>
      </c>
      <c r="O584" s="575">
        <v>0</v>
      </c>
      <c r="P584" s="582">
        <v>0</v>
      </c>
      <c r="Q584" s="589"/>
      <c r="R584" s="576"/>
      <c r="S584" s="583">
        <f t="shared" si="68"/>
        <v>0</v>
      </c>
      <c r="T584" s="580">
        <f t="shared" si="69"/>
        <v>0</v>
      </c>
      <c r="U584" s="51"/>
      <c r="V584" s="2119"/>
      <c r="W584" s="2116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67"/>
        <v>6905</v>
      </c>
      <c r="O585" s="575">
        <v>0</v>
      </c>
      <c r="P585" s="582">
        <v>0</v>
      </c>
      <c r="Q585" s="589"/>
      <c r="R585" s="576"/>
      <c r="S585" s="583">
        <f t="shared" si="68"/>
        <v>0</v>
      </c>
      <c r="T585" s="580">
        <f t="shared" si="69"/>
        <v>0</v>
      </c>
      <c r="U585" s="51"/>
      <c r="V585" s="2119"/>
      <c r="W585" s="2116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67"/>
        <v>6906</v>
      </c>
      <c r="O586" s="575">
        <v>0</v>
      </c>
      <c r="P586" s="582">
        <v>0</v>
      </c>
      <c r="Q586" s="589"/>
      <c r="R586" s="576"/>
      <c r="S586" s="583">
        <f t="shared" si="68"/>
        <v>0</v>
      </c>
      <c r="T586" s="580">
        <f t="shared" si="69"/>
        <v>0</v>
      </c>
      <c r="U586" s="51"/>
      <c r="V586" s="2119"/>
      <c r="W586" s="2116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67"/>
        <v>6910</v>
      </c>
      <c r="O587" s="575">
        <v>0</v>
      </c>
      <c r="P587" s="582">
        <v>0</v>
      </c>
      <c r="Q587" s="589"/>
      <c r="R587" s="576"/>
      <c r="S587" s="583">
        <f t="shared" si="68"/>
        <v>0</v>
      </c>
      <c r="T587" s="580">
        <f t="shared" si="69"/>
        <v>0</v>
      </c>
      <c r="U587" s="51"/>
      <c r="V587" s="2119"/>
      <c r="W587" s="2116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67"/>
        <v>6911</v>
      </c>
      <c r="O588" s="575">
        <v>0</v>
      </c>
      <c r="P588" s="582">
        <v>0</v>
      </c>
      <c r="Q588" s="589"/>
      <c r="R588" s="576"/>
      <c r="S588" s="583">
        <f t="shared" si="68"/>
        <v>0</v>
      </c>
      <c r="T588" s="580">
        <f t="shared" si="69"/>
        <v>0</v>
      </c>
      <c r="U588" s="51"/>
      <c r="V588" s="2119"/>
      <c r="W588" s="2116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67"/>
        <v>6912</v>
      </c>
      <c r="O589" s="575">
        <v>0</v>
      </c>
      <c r="P589" s="582">
        <v>0</v>
      </c>
      <c r="Q589" s="589"/>
      <c r="R589" s="576"/>
      <c r="S589" s="583">
        <f t="shared" si="68"/>
        <v>0</v>
      </c>
      <c r="T589" s="580">
        <f t="shared" si="69"/>
        <v>0</v>
      </c>
      <c r="U589" s="51"/>
      <c r="V589" s="2119"/>
      <c r="W589" s="2116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67"/>
        <v>6915</v>
      </c>
      <c r="O590" s="575">
        <v>0</v>
      </c>
      <c r="P590" s="582">
        <v>0</v>
      </c>
      <c r="Q590" s="589"/>
      <c r="R590" s="576"/>
      <c r="S590" s="583">
        <f t="shared" si="68"/>
        <v>0</v>
      </c>
      <c r="T590" s="580">
        <f t="shared" si="69"/>
        <v>0</v>
      </c>
      <c r="U590" s="51"/>
      <c r="V590" s="2119"/>
      <c r="W590" s="2116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67"/>
        <v>6916</v>
      </c>
      <c r="O591" s="575">
        <v>0</v>
      </c>
      <c r="P591" s="582">
        <v>0</v>
      </c>
      <c r="Q591" s="589"/>
      <c r="R591" s="576"/>
      <c r="S591" s="583">
        <f t="shared" si="68"/>
        <v>0</v>
      </c>
      <c r="T591" s="580">
        <f t="shared" si="69"/>
        <v>0</v>
      </c>
      <c r="U591" s="51"/>
      <c r="V591" s="2119"/>
      <c r="W591" s="2116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67"/>
        <v>6917</v>
      </c>
      <c r="O592" s="575">
        <v>0</v>
      </c>
      <c r="P592" s="582">
        <v>0</v>
      </c>
      <c r="Q592" s="589"/>
      <c r="R592" s="576"/>
      <c r="S592" s="583">
        <f t="shared" si="68"/>
        <v>0</v>
      </c>
      <c r="T592" s="580">
        <f t="shared" si="69"/>
        <v>0</v>
      </c>
      <c r="U592" s="51"/>
      <c r="V592" s="2119"/>
      <c r="W592" s="2116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67"/>
        <v>6918</v>
      </c>
      <c r="O593" s="575">
        <v>0</v>
      </c>
      <c r="P593" s="582">
        <v>0</v>
      </c>
      <c r="Q593" s="589"/>
      <c r="R593" s="576"/>
      <c r="S593" s="583">
        <f t="shared" si="68"/>
        <v>0</v>
      </c>
      <c r="T593" s="580">
        <f t="shared" si="69"/>
        <v>0</v>
      </c>
      <c r="U593" s="51"/>
      <c r="V593" s="2119"/>
      <c r="W593" s="2116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67"/>
        <v>6992</v>
      </c>
      <c r="O594" s="575">
        <v>0</v>
      </c>
      <c r="P594" s="582">
        <v>0</v>
      </c>
      <c r="Q594" s="589"/>
      <c r="R594" s="576"/>
      <c r="S594" s="583">
        <f t="shared" si="68"/>
        <v>0</v>
      </c>
      <c r="T594" s="580">
        <f t="shared" si="69"/>
        <v>0</v>
      </c>
      <c r="U594" s="51"/>
      <c r="V594" s="2119"/>
      <c r="W594" s="2116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67"/>
        <v>6993</v>
      </c>
      <c r="O595" s="575">
        <v>0</v>
      </c>
      <c r="P595" s="582">
        <v>0</v>
      </c>
      <c r="Q595" s="589"/>
      <c r="R595" s="576"/>
      <c r="S595" s="583">
        <f t="shared" si="68"/>
        <v>0</v>
      </c>
      <c r="T595" s="580">
        <f t="shared" si="69"/>
        <v>0</v>
      </c>
      <c r="U595" s="51"/>
      <c r="V595" s="2119"/>
      <c r="W595" s="2116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67"/>
        <v>6994</v>
      </c>
      <c r="O596" s="575">
        <v>0</v>
      </c>
      <c r="P596" s="582">
        <v>0</v>
      </c>
      <c r="Q596" s="589"/>
      <c r="R596" s="576"/>
      <c r="S596" s="583">
        <f t="shared" si="68"/>
        <v>0</v>
      </c>
      <c r="T596" s="580">
        <f t="shared" si="69"/>
        <v>0</v>
      </c>
      <c r="U596" s="51"/>
      <c r="V596" s="2119"/>
      <c r="W596" s="2116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67"/>
        <v>6995</v>
      </c>
      <c r="O597" s="575">
        <v>0</v>
      </c>
      <c r="P597" s="582">
        <v>0</v>
      </c>
      <c r="Q597" s="589"/>
      <c r="R597" s="576"/>
      <c r="S597" s="583">
        <f t="shared" si="68"/>
        <v>0</v>
      </c>
      <c r="T597" s="580">
        <f t="shared" si="69"/>
        <v>0</v>
      </c>
      <c r="U597" s="51"/>
      <c r="V597" s="2119"/>
      <c r="W597" s="2116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67"/>
        <v>6996</v>
      </c>
      <c r="O598" s="575">
        <v>0</v>
      </c>
      <c r="P598" s="582">
        <v>0</v>
      </c>
      <c r="Q598" s="589"/>
      <c r="R598" s="576"/>
      <c r="S598" s="583">
        <f t="shared" si="68"/>
        <v>0</v>
      </c>
      <c r="T598" s="580">
        <f t="shared" si="69"/>
        <v>0</v>
      </c>
      <c r="U598" s="51"/>
      <c r="V598" s="2119"/>
      <c r="W598" s="2116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67"/>
        <v>6997</v>
      </c>
      <c r="O599" s="575">
        <v>0</v>
      </c>
      <c r="P599" s="582">
        <v>0</v>
      </c>
      <c r="Q599" s="589"/>
      <c r="R599" s="576"/>
      <c r="S599" s="583">
        <f t="shared" si="68"/>
        <v>0</v>
      </c>
      <c r="T599" s="580">
        <f t="shared" si="69"/>
        <v>0</v>
      </c>
      <c r="U599" s="51"/>
      <c r="V599" s="2119"/>
      <c r="W599" s="2116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67"/>
        <v>6998</v>
      </c>
      <c r="O600" s="575">
        <v>0</v>
      </c>
      <c r="P600" s="582">
        <v>0</v>
      </c>
      <c r="Q600" s="589"/>
      <c r="R600" s="576"/>
      <c r="S600" s="583">
        <f t="shared" si="68"/>
        <v>0</v>
      </c>
      <c r="T600" s="580">
        <f t="shared" si="69"/>
        <v>0</v>
      </c>
      <c r="U600" s="51"/>
      <c r="V600" s="2119"/>
      <c r="W600" s="2116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2116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28">
        <v>0</v>
      </c>
      <c r="P602" s="329">
        <v>0</v>
      </c>
      <c r="Q602" s="325"/>
      <c r="R602" s="324"/>
      <c r="S602" s="326">
        <f t="shared" ref="S602:S640" si="71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2116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83">
        <f t="shared" si="71"/>
        <v>0</v>
      </c>
      <c r="T603" s="580">
        <f>+IF(ABS(+O603+Q603)&lt;=ABS(P603+R603),-O603+P603-Q603+R603,0)</f>
        <v>0</v>
      </c>
      <c r="U603" s="51"/>
      <c r="V603" s="2119"/>
      <c r="W603" s="2116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76"/>
      <c r="S604" s="583">
        <f t="shared" si="71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2116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83">
        <f t="shared" si="71"/>
        <v>0</v>
      </c>
      <c r="T605" s="580">
        <f>+IF(ABS(+O605+Q605)&lt;=ABS(P605+R605),-O605+P605-Q605+R605,0)</f>
        <v>0</v>
      </c>
      <c r="U605" s="51"/>
      <c r="V605" s="2119"/>
      <c r="W605" s="2116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83">
        <f t="shared" si="71"/>
        <v>0</v>
      </c>
      <c r="T606" s="580">
        <f>+IF(ABS(+O606+Q606)&lt;=ABS(P606+R606),-O606+P606-Q606+R606,0)</f>
        <v>0</v>
      </c>
      <c r="U606" s="51"/>
      <c r="V606" s="2119"/>
      <c r="W606" s="2116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83">
        <f t="shared" si="71"/>
        <v>0</v>
      </c>
      <c r="T607" s="580">
        <f>+IF(ABS(+O607+Q607)&lt;=ABS(P607+R607),-O607+P607-Q607+R607,0)</f>
        <v>0</v>
      </c>
      <c r="U607" s="51"/>
      <c r="V607" s="2119"/>
      <c r="W607" s="2116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76"/>
      <c r="S608" s="583">
        <f t="shared" si="71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2116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83">
        <f t="shared" si="71"/>
        <v>0</v>
      </c>
      <c r="T609" s="580">
        <f t="shared" ref="T609:T640" si="72">+IF(ABS(+O609+Q609)&lt;=ABS(P609+R609),-O609+P609-Q609+R609,0)</f>
        <v>0</v>
      </c>
      <c r="U609" s="51"/>
      <c r="V609" s="2119"/>
      <c r="W609" s="2116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83">
        <f t="shared" si="71"/>
        <v>0</v>
      </c>
      <c r="T610" s="580">
        <f t="shared" si="72"/>
        <v>0</v>
      </c>
      <c r="U610" s="51"/>
      <c r="V610" s="2119"/>
      <c r="W610" s="2116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70"/>
        <v>7052</v>
      </c>
      <c r="O611" s="575">
        <v>0</v>
      </c>
      <c r="P611" s="582">
        <v>0</v>
      </c>
      <c r="Q611" s="589"/>
      <c r="R611" s="576"/>
      <c r="S611" s="583">
        <f t="shared" si="71"/>
        <v>0</v>
      </c>
      <c r="T611" s="580">
        <f t="shared" si="72"/>
        <v>0</v>
      </c>
      <c r="U611" s="51"/>
      <c r="V611" s="2119"/>
      <c r="W611" s="2116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70"/>
        <v>7090</v>
      </c>
      <c r="O612" s="575">
        <v>0</v>
      </c>
      <c r="P612" s="582">
        <v>0</v>
      </c>
      <c r="Q612" s="589"/>
      <c r="R612" s="576"/>
      <c r="S612" s="583">
        <f t="shared" si="71"/>
        <v>0</v>
      </c>
      <c r="T612" s="580">
        <f t="shared" si="72"/>
        <v>0</v>
      </c>
      <c r="U612" s="51"/>
      <c r="V612" s="2119"/>
      <c r="W612" s="2116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70"/>
        <v>7110</v>
      </c>
      <c r="O613" s="575">
        <v>0</v>
      </c>
      <c r="P613" s="582">
        <v>0</v>
      </c>
      <c r="Q613" s="589"/>
      <c r="R613" s="576"/>
      <c r="S613" s="583">
        <f t="shared" si="71"/>
        <v>0</v>
      </c>
      <c r="T613" s="580">
        <f t="shared" si="72"/>
        <v>0</v>
      </c>
      <c r="U613" s="51"/>
      <c r="V613" s="2119"/>
      <c r="W613" s="2116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70"/>
        <v>7111</v>
      </c>
      <c r="O614" s="575">
        <v>0</v>
      </c>
      <c r="P614" s="582">
        <v>0</v>
      </c>
      <c r="Q614" s="589"/>
      <c r="R614" s="576"/>
      <c r="S614" s="583">
        <f t="shared" si="71"/>
        <v>0</v>
      </c>
      <c r="T614" s="580">
        <f t="shared" si="72"/>
        <v>0</v>
      </c>
      <c r="U614" s="51"/>
      <c r="V614" s="2119"/>
      <c r="W614" s="2116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70"/>
        <v>7112</v>
      </c>
      <c r="O615" s="575">
        <v>0</v>
      </c>
      <c r="P615" s="582">
        <v>0</v>
      </c>
      <c r="Q615" s="589"/>
      <c r="R615" s="576"/>
      <c r="S615" s="583">
        <f t="shared" si="71"/>
        <v>0</v>
      </c>
      <c r="T615" s="580">
        <f t="shared" si="72"/>
        <v>0</v>
      </c>
      <c r="U615" s="51"/>
      <c r="V615" s="2119"/>
      <c r="W615" s="2116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70"/>
        <v>7113</v>
      </c>
      <c r="O616" s="575">
        <v>0</v>
      </c>
      <c r="P616" s="582">
        <v>0</v>
      </c>
      <c r="Q616" s="589"/>
      <c r="R616" s="576"/>
      <c r="S616" s="583">
        <f t="shared" si="71"/>
        <v>0</v>
      </c>
      <c r="T616" s="580">
        <f t="shared" si="72"/>
        <v>0</v>
      </c>
      <c r="U616" s="51"/>
      <c r="V616" s="2119"/>
      <c r="W616" s="2116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70"/>
        <v>7114</v>
      </c>
      <c r="O617" s="575">
        <v>0</v>
      </c>
      <c r="P617" s="582">
        <v>0</v>
      </c>
      <c r="Q617" s="589"/>
      <c r="R617" s="576"/>
      <c r="S617" s="583">
        <f t="shared" si="71"/>
        <v>0</v>
      </c>
      <c r="T617" s="580">
        <f t="shared" si="72"/>
        <v>0</v>
      </c>
      <c r="U617" s="51"/>
      <c r="V617" s="2119"/>
      <c r="W617" s="2116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70"/>
        <v>7115</v>
      </c>
      <c r="O618" s="575">
        <v>0</v>
      </c>
      <c r="P618" s="582">
        <v>0</v>
      </c>
      <c r="Q618" s="589"/>
      <c r="R618" s="576"/>
      <c r="S618" s="583">
        <f t="shared" si="71"/>
        <v>0</v>
      </c>
      <c r="T618" s="580">
        <f t="shared" si="72"/>
        <v>0</v>
      </c>
      <c r="U618" s="51"/>
      <c r="V618" s="2119"/>
      <c r="W618" s="2116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70"/>
        <v>7121</v>
      </c>
      <c r="O619" s="575">
        <v>0</v>
      </c>
      <c r="P619" s="582">
        <v>0</v>
      </c>
      <c r="Q619" s="589"/>
      <c r="R619" s="576"/>
      <c r="S619" s="583">
        <f t="shared" si="71"/>
        <v>0</v>
      </c>
      <c r="T619" s="580">
        <f t="shared" si="72"/>
        <v>0</v>
      </c>
      <c r="U619" s="51"/>
      <c r="V619" s="2119"/>
      <c r="W619" s="2116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70"/>
        <v>7122</v>
      </c>
      <c r="O620" s="575">
        <v>0</v>
      </c>
      <c r="P620" s="582">
        <v>0</v>
      </c>
      <c r="Q620" s="589"/>
      <c r="R620" s="576"/>
      <c r="S620" s="583">
        <f t="shared" si="71"/>
        <v>0</v>
      </c>
      <c r="T620" s="580">
        <f t="shared" si="72"/>
        <v>0</v>
      </c>
      <c r="U620" s="51"/>
      <c r="V620" s="2119"/>
      <c r="W620" s="2116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70"/>
        <v>7123</v>
      </c>
      <c r="O621" s="575">
        <v>0</v>
      </c>
      <c r="P621" s="582">
        <v>0</v>
      </c>
      <c r="Q621" s="589"/>
      <c r="R621" s="576"/>
      <c r="S621" s="583">
        <f t="shared" si="71"/>
        <v>0</v>
      </c>
      <c r="T621" s="580">
        <f t="shared" si="72"/>
        <v>0</v>
      </c>
      <c r="U621" s="51"/>
      <c r="V621" s="2119"/>
      <c r="W621" s="2116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70"/>
        <v>7124</v>
      </c>
      <c r="O622" s="575">
        <v>0</v>
      </c>
      <c r="P622" s="582">
        <v>0</v>
      </c>
      <c r="Q622" s="589"/>
      <c r="R622" s="576"/>
      <c r="S622" s="583">
        <f t="shared" si="71"/>
        <v>0</v>
      </c>
      <c r="T622" s="580">
        <f t="shared" si="72"/>
        <v>0</v>
      </c>
      <c r="U622" s="51"/>
      <c r="V622" s="2119"/>
      <c r="W622" s="2116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70"/>
        <v>7131</v>
      </c>
      <c r="O623" s="575">
        <v>0</v>
      </c>
      <c r="P623" s="582">
        <v>0</v>
      </c>
      <c r="Q623" s="589"/>
      <c r="R623" s="576"/>
      <c r="S623" s="583">
        <f t="shared" si="71"/>
        <v>0</v>
      </c>
      <c r="T623" s="580">
        <f t="shared" si="72"/>
        <v>0</v>
      </c>
      <c r="U623" s="51"/>
      <c r="V623" s="2119"/>
      <c r="W623" s="2116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70"/>
        <v>7132</v>
      </c>
      <c r="O624" s="575">
        <v>0</v>
      </c>
      <c r="P624" s="582">
        <v>0</v>
      </c>
      <c r="Q624" s="589"/>
      <c r="R624" s="576"/>
      <c r="S624" s="583">
        <f t="shared" si="71"/>
        <v>0</v>
      </c>
      <c r="T624" s="580">
        <f t="shared" si="72"/>
        <v>0</v>
      </c>
      <c r="U624" s="51"/>
      <c r="V624" s="2119"/>
      <c r="W624" s="2116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70"/>
        <v>7133</v>
      </c>
      <c r="O625" s="575">
        <v>0</v>
      </c>
      <c r="P625" s="582">
        <v>0</v>
      </c>
      <c r="Q625" s="589"/>
      <c r="R625" s="576"/>
      <c r="S625" s="583">
        <f t="shared" si="71"/>
        <v>0</v>
      </c>
      <c r="T625" s="580">
        <f t="shared" si="72"/>
        <v>0</v>
      </c>
      <c r="U625" s="51"/>
      <c r="V625" s="2119"/>
      <c r="W625" s="2116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70"/>
        <v>7140</v>
      </c>
      <c r="O626" s="575">
        <v>0</v>
      </c>
      <c r="P626" s="582">
        <v>0</v>
      </c>
      <c r="Q626" s="589"/>
      <c r="R626" s="576"/>
      <c r="S626" s="583">
        <f t="shared" si="71"/>
        <v>0</v>
      </c>
      <c r="T626" s="580">
        <f t="shared" si="72"/>
        <v>0</v>
      </c>
      <c r="U626" s="51"/>
      <c r="V626" s="2119"/>
      <c r="W626" s="2116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70"/>
        <v>7141</v>
      </c>
      <c r="O627" s="575">
        <v>0</v>
      </c>
      <c r="P627" s="582">
        <v>0</v>
      </c>
      <c r="Q627" s="589"/>
      <c r="R627" s="576"/>
      <c r="S627" s="583">
        <f t="shared" si="71"/>
        <v>0</v>
      </c>
      <c r="T627" s="580">
        <f t="shared" si="72"/>
        <v>0</v>
      </c>
      <c r="U627" s="51"/>
      <c r="V627" s="2119"/>
      <c r="W627" s="2116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70"/>
        <v>7142</v>
      </c>
      <c r="O628" s="575">
        <v>0</v>
      </c>
      <c r="P628" s="582">
        <v>0</v>
      </c>
      <c r="Q628" s="589"/>
      <c r="R628" s="576"/>
      <c r="S628" s="583">
        <f t="shared" si="71"/>
        <v>0</v>
      </c>
      <c r="T628" s="580">
        <f t="shared" si="72"/>
        <v>0</v>
      </c>
      <c r="U628" s="51"/>
      <c r="V628" s="2119"/>
      <c r="W628" s="2116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70"/>
        <v>7143</v>
      </c>
      <c r="O629" s="575">
        <v>0</v>
      </c>
      <c r="P629" s="582">
        <v>0</v>
      </c>
      <c r="Q629" s="589"/>
      <c r="R629" s="576"/>
      <c r="S629" s="583">
        <f t="shared" si="71"/>
        <v>0</v>
      </c>
      <c r="T629" s="580">
        <f t="shared" si="72"/>
        <v>0</v>
      </c>
      <c r="U629" s="51"/>
      <c r="V629" s="2119"/>
      <c r="W629" s="2116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70"/>
        <v>7144</v>
      </c>
      <c r="O630" s="575">
        <v>0</v>
      </c>
      <c r="P630" s="582">
        <v>0</v>
      </c>
      <c r="Q630" s="589"/>
      <c r="R630" s="576"/>
      <c r="S630" s="583">
        <f t="shared" si="71"/>
        <v>0</v>
      </c>
      <c r="T630" s="580">
        <f t="shared" si="72"/>
        <v>0</v>
      </c>
      <c r="U630" s="51"/>
      <c r="V630" s="2119"/>
      <c r="W630" s="2116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70"/>
        <v>7145</v>
      </c>
      <c r="O631" s="575">
        <v>0</v>
      </c>
      <c r="P631" s="582">
        <v>0</v>
      </c>
      <c r="Q631" s="589"/>
      <c r="R631" s="576"/>
      <c r="S631" s="583">
        <f t="shared" si="71"/>
        <v>0</v>
      </c>
      <c r="T631" s="580">
        <f t="shared" si="72"/>
        <v>0</v>
      </c>
      <c r="U631" s="51"/>
      <c r="V631" s="2119"/>
      <c r="W631" s="2116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70"/>
        <v>7146</v>
      </c>
      <c r="O632" s="575">
        <v>0</v>
      </c>
      <c r="P632" s="582">
        <v>0</v>
      </c>
      <c r="Q632" s="589"/>
      <c r="R632" s="576"/>
      <c r="S632" s="583">
        <f t="shared" si="71"/>
        <v>0</v>
      </c>
      <c r="T632" s="580">
        <f t="shared" si="72"/>
        <v>0</v>
      </c>
      <c r="U632" s="51"/>
      <c r="V632" s="2119"/>
      <c r="W632" s="2116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70"/>
        <v>7147</v>
      </c>
      <c r="O633" s="575">
        <v>0</v>
      </c>
      <c r="P633" s="582">
        <v>0</v>
      </c>
      <c r="Q633" s="589"/>
      <c r="R633" s="576"/>
      <c r="S633" s="583">
        <f t="shared" si="71"/>
        <v>0</v>
      </c>
      <c r="T633" s="580">
        <f t="shared" si="72"/>
        <v>0</v>
      </c>
      <c r="U633" s="51"/>
      <c r="V633" s="2119"/>
      <c r="W633" s="2116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70"/>
        <v>7149</v>
      </c>
      <c r="O634" s="575">
        <v>0</v>
      </c>
      <c r="P634" s="582">
        <v>0</v>
      </c>
      <c r="Q634" s="589"/>
      <c r="R634" s="576"/>
      <c r="S634" s="583">
        <f t="shared" si="71"/>
        <v>0</v>
      </c>
      <c r="T634" s="580">
        <f t="shared" si="72"/>
        <v>0</v>
      </c>
      <c r="U634" s="51"/>
      <c r="V634" s="2119"/>
      <c r="W634" s="2116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70"/>
        <v>7151</v>
      </c>
      <c r="O635" s="575">
        <v>0</v>
      </c>
      <c r="P635" s="582">
        <v>0</v>
      </c>
      <c r="Q635" s="589"/>
      <c r="R635" s="576"/>
      <c r="S635" s="583">
        <f t="shared" si="71"/>
        <v>0</v>
      </c>
      <c r="T635" s="580">
        <f t="shared" si="72"/>
        <v>0</v>
      </c>
      <c r="U635" s="51"/>
      <c r="V635" s="2119"/>
      <c r="W635" s="2116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70"/>
        <v>7159</v>
      </c>
      <c r="O636" s="575">
        <v>0</v>
      </c>
      <c r="P636" s="582">
        <v>0</v>
      </c>
      <c r="Q636" s="589"/>
      <c r="R636" s="576"/>
      <c r="S636" s="583">
        <f t="shared" si="71"/>
        <v>0</v>
      </c>
      <c r="T636" s="580">
        <f t="shared" si="72"/>
        <v>0</v>
      </c>
      <c r="U636" s="51"/>
      <c r="V636" s="2119"/>
      <c r="W636" s="2116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70"/>
        <v>7161</v>
      </c>
      <c r="O637" s="575">
        <v>0</v>
      </c>
      <c r="P637" s="582">
        <v>0</v>
      </c>
      <c r="Q637" s="589"/>
      <c r="R637" s="576"/>
      <c r="S637" s="583">
        <f t="shared" si="71"/>
        <v>0</v>
      </c>
      <c r="T637" s="580">
        <f t="shared" si="72"/>
        <v>0</v>
      </c>
      <c r="U637" s="51"/>
      <c r="V637" s="2119"/>
      <c r="W637" s="2116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83">
        <f t="shared" si="71"/>
        <v>0</v>
      </c>
      <c r="T638" s="580">
        <f t="shared" si="72"/>
        <v>0</v>
      </c>
      <c r="U638" s="51"/>
      <c r="V638" s="2119"/>
      <c r="W638" s="2116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83">
        <f t="shared" si="71"/>
        <v>0</v>
      </c>
      <c r="T639" s="580">
        <f t="shared" si="72"/>
        <v>0</v>
      </c>
      <c r="U639" s="51"/>
      <c r="V639" s="2119"/>
      <c r="W639" s="2116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71"/>
        <v>0</v>
      </c>
      <c r="T640" s="828">
        <f t="shared" si="72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2116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119"/>
      <c r="W641" s="2116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119"/>
      <c r="W642" s="2116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83">
        <f t="shared" si="73"/>
        <v>0</v>
      </c>
      <c r="T643" s="580">
        <f t="shared" si="74"/>
        <v>0</v>
      </c>
      <c r="U643" s="51"/>
      <c r="V643" s="2119"/>
      <c r="W643" s="2116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70"/>
        <v>7174</v>
      </c>
      <c r="O644" s="575">
        <v>0</v>
      </c>
      <c r="P644" s="582">
        <v>0</v>
      </c>
      <c r="Q644" s="589"/>
      <c r="R644" s="576"/>
      <c r="S644" s="583">
        <f t="shared" si="73"/>
        <v>0</v>
      </c>
      <c r="T644" s="580">
        <f t="shared" si="74"/>
        <v>0</v>
      </c>
      <c r="U644" s="51"/>
      <c r="V644" s="2119"/>
      <c r="W644" s="2116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70"/>
        <v>7175</v>
      </c>
      <c r="O645" s="575">
        <v>0</v>
      </c>
      <c r="P645" s="582">
        <v>0</v>
      </c>
      <c r="Q645" s="589"/>
      <c r="R645" s="576"/>
      <c r="S645" s="583">
        <f t="shared" si="73"/>
        <v>0</v>
      </c>
      <c r="T645" s="580">
        <f t="shared" si="74"/>
        <v>0</v>
      </c>
      <c r="U645" s="51"/>
      <c r="V645" s="2119"/>
      <c r="W645" s="2116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70"/>
        <v>7176</v>
      </c>
      <c r="O646" s="575">
        <v>0</v>
      </c>
      <c r="P646" s="582">
        <v>0</v>
      </c>
      <c r="Q646" s="589"/>
      <c r="R646" s="576"/>
      <c r="S646" s="583">
        <f t="shared" si="73"/>
        <v>0</v>
      </c>
      <c r="T646" s="580">
        <f t="shared" si="74"/>
        <v>0</v>
      </c>
      <c r="U646" s="51"/>
      <c r="V646" s="2119"/>
      <c r="W646" s="2116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70"/>
        <v>7177</v>
      </c>
      <c r="O647" s="575">
        <v>0</v>
      </c>
      <c r="P647" s="582">
        <v>0</v>
      </c>
      <c r="Q647" s="589"/>
      <c r="R647" s="576"/>
      <c r="S647" s="583">
        <f t="shared" si="73"/>
        <v>0</v>
      </c>
      <c r="T647" s="580">
        <f t="shared" si="74"/>
        <v>0</v>
      </c>
      <c r="U647" s="51"/>
      <c r="V647" s="2119"/>
      <c r="W647" s="2116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70"/>
        <v>7178</v>
      </c>
      <c r="O648" s="575">
        <v>0</v>
      </c>
      <c r="P648" s="582">
        <v>0</v>
      </c>
      <c r="Q648" s="589"/>
      <c r="R648" s="576"/>
      <c r="S648" s="583">
        <f t="shared" si="73"/>
        <v>0</v>
      </c>
      <c r="T648" s="580">
        <f t="shared" si="74"/>
        <v>0</v>
      </c>
      <c r="U648" s="51"/>
      <c r="V648" s="2119"/>
      <c r="W648" s="2116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70"/>
        <v>7179</v>
      </c>
      <c r="O649" s="575">
        <v>0</v>
      </c>
      <c r="P649" s="582">
        <v>0</v>
      </c>
      <c r="Q649" s="589"/>
      <c r="R649" s="576"/>
      <c r="S649" s="583">
        <f t="shared" si="73"/>
        <v>0</v>
      </c>
      <c r="T649" s="580">
        <f t="shared" si="74"/>
        <v>0</v>
      </c>
      <c r="U649" s="51"/>
      <c r="V649" s="2119"/>
      <c r="W649" s="2116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70"/>
        <v>7180</v>
      </c>
      <c r="O650" s="575">
        <v>0</v>
      </c>
      <c r="P650" s="582">
        <v>0</v>
      </c>
      <c r="Q650" s="589"/>
      <c r="R650" s="576"/>
      <c r="S650" s="583">
        <f t="shared" si="73"/>
        <v>0</v>
      </c>
      <c r="T650" s="580">
        <f t="shared" si="74"/>
        <v>0</v>
      </c>
      <c r="U650" s="51"/>
      <c r="V650" s="2119"/>
      <c r="W650" s="2116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70"/>
        <v>7181</v>
      </c>
      <c r="O651" s="575">
        <v>0</v>
      </c>
      <c r="P651" s="582">
        <v>0</v>
      </c>
      <c r="Q651" s="589"/>
      <c r="R651" s="576"/>
      <c r="S651" s="583">
        <f t="shared" si="73"/>
        <v>0</v>
      </c>
      <c r="T651" s="580">
        <f t="shared" si="74"/>
        <v>0</v>
      </c>
      <c r="U651" s="51"/>
      <c r="V651" s="2119"/>
      <c r="W651" s="2116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70"/>
        <v>7182</v>
      </c>
      <c r="O652" s="575">
        <v>0</v>
      </c>
      <c r="P652" s="582">
        <v>0</v>
      </c>
      <c r="Q652" s="589"/>
      <c r="R652" s="576"/>
      <c r="S652" s="583">
        <f t="shared" si="73"/>
        <v>0</v>
      </c>
      <c r="T652" s="580">
        <f t="shared" si="74"/>
        <v>0</v>
      </c>
      <c r="U652" s="51"/>
      <c r="V652" s="2119"/>
      <c r="W652" s="2116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70"/>
        <v>7189</v>
      </c>
      <c r="O653" s="575">
        <v>0</v>
      </c>
      <c r="P653" s="582">
        <v>0</v>
      </c>
      <c r="Q653" s="589"/>
      <c r="R653" s="576"/>
      <c r="S653" s="583">
        <f t="shared" si="73"/>
        <v>0</v>
      </c>
      <c r="T653" s="580">
        <f t="shared" si="74"/>
        <v>0</v>
      </c>
      <c r="U653" s="51"/>
      <c r="V653" s="2119"/>
      <c r="W653" s="2116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70"/>
        <v>7190</v>
      </c>
      <c r="O654" s="575">
        <v>0</v>
      </c>
      <c r="P654" s="582">
        <v>0</v>
      </c>
      <c r="Q654" s="589"/>
      <c r="R654" s="576"/>
      <c r="S654" s="583">
        <f t="shared" si="73"/>
        <v>0</v>
      </c>
      <c r="T654" s="580">
        <f t="shared" si="74"/>
        <v>0</v>
      </c>
      <c r="U654" s="51"/>
      <c r="V654" s="2119"/>
      <c r="W654" s="2116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70"/>
        <v>7191</v>
      </c>
      <c r="O655" s="575">
        <v>0</v>
      </c>
      <c r="P655" s="582">
        <v>0</v>
      </c>
      <c r="Q655" s="589"/>
      <c r="R655" s="576"/>
      <c r="S655" s="583">
        <f t="shared" si="73"/>
        <v>0</v>
      </c>
      <c r="T655" s="580">
        <f t="shared" si="74"/>
        <v>0</v>
      </c>
      <c r="U655" s="51"/>
      <c r="V655" s="2119"/>
      <c r="W655" s="2116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70"/>
        <v>7192</v>
      </c>
      <c r="O656" s="575">
        <v>0</v>
      </c>
      <c r="P656" s="582">
        <v>0</v>
      </c>
      <c r="Q656" s="589"/>
      <c r="R656" s="576"/>
      <c r="S656" s="583">
        <f t="shared" si="73"/>
        <v>0</v>
      </c>
      <c r="T656" s="580">
        <f t="shared" si="74"/>
        <v>0</v>
      </c>
      <c r="U656" s="51"/>
      <c r="V656" s="2119"/>
      <c r="W656" s="2116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70"/>
        <v>7198</v>
      </c>
      <c r="O657" s="575">
        <v>0</v>
      </c>
      <c r="P657" s="582">
        <v>0</v>
      </c>
      <c r="Q657" s="589"/>
      <c r="R657" s="576"/>
      <c r="S657" s="583">
        <f t="shared" si="73"/>
        <v>0</v>
      </c>
      <c r="T657" s="580">
        <f t="shared" si="74"/>
        <v>0</v>
      </c>
      <c r="U657" s="51"/>
      <c r="V657" s="2119"/>
      <c r="W657" s="2116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70"/>
        <v>7199</v>
      </c>
      <c r="O658" s="575">
        <v>0</v>
      </c>
      <c r="P658" s="582">
        <v>0</v>
      </c>
      <c r="Q658" s="589"/>
      <c r="R658" s="576"/>
      <c r="S658" s="583">
        <f t="shared" si="73"/>
        <v>0</v>
      </c>
      <c r="T658" s="580">
        <f t="shared" si="74"/>
        <v>0</v>
      </c>
      <c r="U658" s="51"/>
      <c r="V658" s="2119"/>
      <c r="W658" s="2116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70"/>
        <v>7200</v>
      </c>
      <c r="O659" s="575">
        <v>0</v>
      </c>
      <c r="P659" s="582">
        <v>0</v>
      </c>
      <c r="Q659" s="589"/>
      <c r="R659" s="576"/>
      <c r="S659" s="583">
        <f t="shared" si="73"/>
        <v>0</v>
      </c>
      <c r="T659" s="580">
        <f t="shared" si="74"/>
        <v>0</v>
      </c>
      <c r="U659" s="51"/>
      <c r="V659" s="2119"/>
      <c r="W659" s="2116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70"/>
        <v>7211</v>
      </c>
      <c r="O660" s="575">
        <v>0</v>
      </c>
      <c r="P660" s="582">
        <v>0</v>
      </c>
      <c r="Q660" s="589"/>
      <c r="R660" s="576"/>
      <c r="S660" s="583">
        <f t="shared" si="73"/>
        <v>0</v>
      </c>
      <c r="T660" s="580">
        <f t="shared" si="74"/>
        <v>0</v>
      </c>
      <c r="U660" s="51"/>
      <c r="V660" s="2119"/>
      <c r="W660" s="2116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70"/>
        <v>7212</v>
      </c>
      <c r="O661" s="575">
        <v>0</v>
      </c>
      <c r="P661" s="582">
        <v>0</v>
      </c>
      <c r="Q661" s="589"/>
      <c r="R661" s="576"/>
      <c r="S661" s="583">
        <f t="shared" si="73"/>
        <v>0</v>
      </c>
      <c r="T661" s="580">
        <f t="shared" si="74"/>
        <v>0</v>
      </c>
      <c r="U661" s="51"/>
      <c r="V661" s="2119"/>
      <c r="W661" s="2116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70"/>
        <v>7215</v>
      </c>
      <c r="O662" s="575">
        <v>0</v>
      </c>
      <c r="P662" s="582">
        <v>0</v>
      </c>
      <c r="Q662" s="589"/>
      <c r="R662" s="576"/>
      <c r="S662" s="583">
        <f t="shared" si="73"/>
        <v>0</v>
      </c>
      <c r="T662" s="580">
        <f t="shared" si="74"/>
        <v>0</v>
      </c>
      <c r="U662" s="51"/>
      <c r="V662" s="2119"/>
      <c r="W662" s="2116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70"/>
        <v>7216</v>
      </c>
      <c r="O663" s="575">
        <v>0</v>
      </c>
      <c r="P663" s="582">
        <v>0</v>
      </c>
      <c r="Q663" s="589"/>
      <c r="R663" s="576"/>
      <c r="S663" s="583">
        <f t="shared" si="73"/>
        <v>0</v>
      </c>
      <c r="T663" s="580">
        <f t="shared" si="74"/>
        <v>0</v>
      </c>
      <c r="U663" s="51"/>
      <c r="V663" s="2119"/>
      <c r="W663" s="2116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70"/>
        <v>7217</v>
      </c>
      <c r="O664" s="575">
        <v>0</v>
      </c>
      <c r="P664" s="582">
        <v>0</v>
      </c>
      <c r="Q664" s="589"/>
      <c r="R664" s="576"/>
      <c r="S664" s="583">
        <f t="shared" si="73"/>
        <v>0</v>
      </c>
      <c r="T664" s="580">
        <f t="shared" si="74"/>
        <v>0</v>
      </c>
      <c r="U664" s="51"/>
      <c r="V664" s="2119"/>
      <c r="W664" s="2116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70"/>
        <v>7218</v>
      </c>
      <c r="O665" s="575">
        <v>0</v>
      </c>
      <c r="P665" s="582">
        <v>0</v>
      </c>
      <c r="Q665" s="589"/>
      <c r="R665" s="576"/>
      <c r="S665" s="583">
        <f t="shared" si="73"/>
        <v>0</v>
      </c>
      <c r="T665" s="580">
        <f t="shared" si="74"/>
        <v>0</v>
      </c>
      <c r="U665" s="51"/>
      <c r="V665" s="2119"/>
      <c r="W665" s="2116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83">
        <f t="shared" si="73"/>
        <v>0</v>
      </c>
      <c r="T666" s="580">
        <f t="shared" si="74"/>
        <v>0</v>
      </c>
      <c r="U666" s="51"/>
      <c r="V666" s="2119"/>
      <c r="W666" s="2116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73"/>
        <v>0</v>
      </c>
      <c r="T667" s="828">
        <f t="shared" si="74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2116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119"/>
      <c r="W668" s="2116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75"/>
        <v>7222</v>
      </c>
      <c r="O669" s="575">
        <v>0</v>
      </c>
      <c r="P669" s="582">
        <v>0</v>
      </c>
      <c r="Q669" s="589"/>
      <c r="R669" s="576"/>
      <c r="S669" s="27">
        <f t="shared" si="76"/>
        <v>0</v>
      </c>
      <c r="T669" s="28">
        <f t="shared" si="77"/>
        <v>0</v>
      </c>
      <c r="U669" s="51"/>
      <c r="V669" s="2119"/>
      <c r="W669" s="2116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75"/>
        <v>7223</v>
      </c>
      <c r="O670" s="575">
        <v>0</v>
      </c>
      <c r="P670" s="582">
        <v>0</v>
      </c>
      <c r="Q670" s="589"/>
      <c r="R670" s="576"/>
      <c r="S670" s="583">
        <f t="shared" si="76"/>
        <v>0</v>
      </c>
      <c r="T670" s="580">
        <f t="shared" si="77"/>
        <v>0</v>
      </c>
      <c r="U670" s="51"/>
      <c r="V670" s="2119"/>
      <c r="W670" s="2116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75"/>
        <v>7224</v>
      </c>
      <c r="O671" s="575">
        <v>0</v>
      </c>
      <c r="P671" s="582">
        <v>0</v>
      </c>
      <c r="Q671" s="589"/>
      <c r="R671" s="576"/>
      <c r="S671" s="583">
        <f t="shared" si="76"/>
        <v>0</v>
      </c>
      <c r="T671" s="580">
        <f t="shared" si="77"/>
        <v>0</v>
      </c>
      <c r="U671" s="51"/>
      <c r="V671" s="2119"/>
      <c r="W671" s="2116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75"/>
        <v>7226</v>
      </c>
      <c r="O672" s="575">
        <v>0</v>
      </c>
      <c r="P672" s="582">
        <v>0</v>
      </c>
      <c r="Q672" s="589"/>
      <c r="R672" s="576"/>
      <c r="S672" s="583">
        <f t="shared" si="76"/>
        <v>0</v>
      </c>
      <c r="T672" s="580">
        <f t="shared" si="77"/>
        <v>0</v>
      </c>
      <c r="U672" s="51"/>
      <c r="V672" s="2119"/>
      <c r="W672" s="2116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75"/>
        <v>7229</v>
      </c>
      <c r="O673" s="575">
        <v>0</v>
      </c>
      <c r="P673" s="582">
        <v>0</v>
      </c>
      <c r="Q673" s="589"/>
      <c r="R673" s="576"/>
      <c r="S673" s="583">
        <f t="shared" si="76"/>
        <v>0</v>
      </c>
      <c r="T673" s="580">
        <f t="shared" si="77"/>
        <v>0</v>
      </c>
      <c r="U673" s="51"/>
      <c r="V673" s="2119"/>
      <c r="W673" s="2116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75"/>
        <v>7231</v>
      </c>
      <c r="O674" s="575">
        <v>0</v>
      </c>
      <c r="P674" s="582">
        <v>0</v>
      </c>
      <c r="Q674" s="589"/>
      <c r="R674" s="576"/>
      <c r="S674" s="583">
        <f t="shared" si="76"/>
        <v>0</v>
      </c>
      <c r="T674" s="580">
        <f t="shared" si="77"/>
        <v>0</v>
      </c>
      <c r="U674" s="51"/>
      <c r="V674" s="2119"/>
      <c r="W674" s="2116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75"/>
        <v>7232</v>
      </c>
      <c r="O675" s="575">
        <v>0</v>
      </c>
      <c r="P675" s="582">
        <v>0</v>
      </c>
      <c r="Q675" s="589"/>
      <c r="R675" s="576"/>
      <c r="S675" s="583">
        <f t="shared" si="76"/>
        <v>0</v>
      </c>
      <c r="T675" s="580">
        <f t="shared" si="77"/>
        <v>0</v>
      </c>
      <c r="U675" s="51"/>
      <c r="V675" s="2119"/>
      <c r="W675" s="2116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75"/>
        <v>7241</v>
      </c>
      <c r="O676" s="575">
        <v>0</v>
      </c>
      <c r="P676" s="582">
        <v>0</v>
      </c>
      <c r="Q676" s="589"/>
      <c r="R676" s="576"/>
      <c r="S676" s="583">
        <f t="shared" si="76"/>
        <v>0</v>
      </c>
      <c r="T676" s="580">
        <f t="shared" si="77"/>
        <v>0</v>
      </c>
      <c r="U676" s="51"/>
      <c r="V676" s="2119"/>
      <c r="W676" s="2116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75"/>
        <v>7242</v>
      </c>
      <c r="O677" s="575">
        <v>0</v>
      </c>
      <c r="P677" s="582">
        <v>0</v>
      </c>
      <c r="Q677" s="589"/>
      <c r="R677" s="576"/>
      <c r="S677" s="583">
        <f t="shared" si="76"/>
        <v>0</v>
      </c>
      <c r="T677" s="580">
        <f t="shared" si="77"/>
        <v>0</v>
      </c>
      <c r="U677" s="51"/>
      <c r="V677" s="2119"/>
      <c r="W677" s="2116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75"/>
        <v>7250</v>
      </c>
      <c r="O678" s="575">
        <v>0</v>
      </c>
      <c r="P678" s="582">
        <v>0</v>
      </c>
      <c r="Q678" s="589"/>
      <c r="R678" s="576"/>
      <c r="S678" s="583">
        <f t="shared" si="76"/>
        <v>0</v>
      </c>
      <c r="T678" s="580">
        <f t="shared" si="77"/>
        <v>0</v>
      </c>
      <c r="U678" s="51"/>
      <c r="V678" s="2119"/>
      <c r="W678" s="2116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75"/>
        <v>7251</v>
      </c>
      <c r="O679" s="575">
        <v>0</v>
      </c>
      <c r="P679" s="582">
        <v>0</v>
      </c>
      <c r="Q679" s="589"/>
      <c r="R679" s="576"/>
      <c r="S679" s="583">
        <f t="shared" si="76"/>
        <v>0</v>
      </c>
      <c r="T679" s="580">
        <f t="shared" si="77"/>
        <v>0</v>
      </c>
      <c r="U679" s="51"/>
      <c r="V679" s="2119"/>
      <c r="W679" s="2116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75"/>
        <v>7252</v>
      </c>
      <c r="O680" s="575">
        <v>0</v>
      </c>
      <c r="P680" s="582">
        <v>0</v>
      </c>
      <c r="Q680" s="589"/>
      <c r="R680" s="576"/>
      <c r="S680" s="583">
        <f t="shared" si="76"/>
        <v>0</v>
      </c>
      <c r="T680" s="580">
        <f t="shared" si="77"/>
        <v>0</v>
      </c>
      <c r="U680" s="51"/>
      <c r="V680" s="2119"/>
      <c r="W680" s="2116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75"/>
        <v>7258</v>
      </c>
      <c r="O681" s="575">
        <v>0</v>
      </c>
      <c r="P681" s="582">
        <v>0</v>
      </c>
      <c r="Q681" s="589"/>
      <c r="R681" s="576"/>
      <c r="S681" s="583">
        <f t="shared" si="76"/>
        <v>0</v>
      </c>
      <c r="T681" s="580">
        <f t="shared" si="77"/>
        <v>0</v>
      </c>
      <c r="U681" s="51"/>
      <c r="V681" s="2119"/>
      <c r="W681" s="2116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75"/>
        <v>7270</v>
      </c>
      <c r="O682" s="575">
        <v>0</v>
      </c>
      <c r="P682" s="582">
        <v>0</v>
      </c>
      <c r="Q682" s="589"/>
      <c r="R682" s="576"/>
      <c r="S682" s="583">
        <f t="shared" si="76"/>
        <v>0</v>
      </c>
      <c r="T682" s="580">
        <f t="shared" si="77"/>
        <v>0</v>
      </c>
      <c r="U682" s="51"/>
      <c r="V682" s="2119"/>
      <c r="W682" s="2116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75"/>
        <v>7271</v>
      </c>
      <c r="O683" s="575">
        <v>0</v>
      </c>
      <c r="P683" s="582">
        <v>0</v>
      </c>
      <c r="Q683" s="589"/>
      <c r="R683" s="576"/>
      <c r="S683" s="583">
        <f t="shared" si="76"/>
        <v>0</v>
      </c>
      <c r="T683" s="580">
        <f t="shared" si="77"/>
        <v>0</v>
      </c>
      <c r="U683" s="51"/>
      <c r="V683" s="2119"/>
      <c r="W683" s="2116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75"/>
        <v>7274</v>
      </c>
      <c r="O684" s="575">
        <v>0</v>
      </c>
      <c r="P684" s="582">
        <v>0</v>
      </c>
      <c r="Q684" s="589"/>
      <c r="R684" s="576"/>
      <c r="S684" s="583">
        <f t="shared" si="76"/>
        <v>0</v>
      </c>
      <c r="T684" s="580">
        <f t="shared" si="77"/>
        <v>0</v>
      </c>
      <c r="U684" s="51"/>
      <c r="V684" s="2119"/>
      <c r="W684" s="2116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75"/>
        <v>7275</v>
      </c>
      <c r="O685" s="575">
        <v>0</v>
      </c>
      <c r="P685" s="582">
        <v>0</v>
      </c>
      <c r="Q685" s="589"/>
      <c r="R685" s="576"/>
      <c r="S685" s="583">
        <f t="shared" si="76"/>
        <v>0</v>
      </c>
      <c r="T685" s="580">
        <f t="shared" si="77"/>
        <v>0</v>
      </c>
      <c r="U685" s="51"/>
      <c r="V685" s="2119"/>
      <c r="W685" s="2116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75"/>
        <v>7277</v>
      </c>
      <c r="O686" s="575">
        <v>0</v>
      </c>
      <c r="P686" s="582">
        <v>0</v>
      </c>
      <c r="Q686" s="589"/>
      <c r="R686" s="576"/>
      <c r="S686" s="583">
        <f t="shared" si="76"/>
        <v>0</v>
      </c>
      <c r="T686" s="580">
        <f t="shared" si="77"/>
        <v>0</v>
      </c>
      <c r="U686" s="51"/>
      <c r="V686" s="2119"/>
      <c r="W686" s="2116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75"/>
        <v>7278</v>
      </c>
      <c r="O687" s="575">
        <v>0</v>
      </c>
      <c r="P687" s="582">
        <v>0</v>
      </c>
      <c r="Q687" s="589"/>
      <c r="R687" s="576"/>
      <c r="S687" s="583">
        <f t="shared" si="76"/>
        <v>0</v>
      </c>
      <c r="T687" s="580">
        <f t="shared" si="77"/>
        <v>0</v>
      </c>
      <c r="U687" s="51"/>
      <c r="V687" s="2119"/>
      <c r="W687" s="2116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75"/>
        <v>7282</v>
      </c>
      <c r="O688" s="575">
        <v>0</v>
      </c>
      <c r="P688" s="582">
        <v>0</v>
      </c>
      <c r="Q688" s="589"/>
      <c r="R688" s="576"/>
      <c r="S688" s="583">
        <f t="shared" si="76"/>
        <v>0</v>
      </c>
      <c r="T688" s="580">
        <f t="shared" si="77"/>
        <v>0</v>
      </c>
      <c r="U688" s="51"/>
      <c r="V688" s="2119"/>
      <c r="W688" s="2116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75"/>
        <v>7289</v>
      </c>
      <c r="O689" s="575">
        <v>0</v>
      </c>
      <c r="P689" s="582">
        <v>0</v>
      </c>
      <c r="Q689" s="589"/>
      <c r="R689" s="576"/>
      <c r="S689" s="583">
        <f t="shared" si="76"/>
        <v>0</v>
      </c>
      <c r="T689" s="580">
        <f t="shared" si="77"/>
        <v>0</v>
      </c>
      <c r="U689" s="51"/>
      <c r="V689" s="2119"/>
      <c r="W689" s="2116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75"/>
        <v>7291</v>
      </c>
      <c r="O690" s="575">
        <v>0</v>
      </c>
      <c r="P690" s="582">
        <v>0</v>
      </c>
      <c r="Q690" s="589"/>
      <c r="R690" s="576"/>
      <c r="S690" s="583">
        <f t="shared" si="76"/>
        <v>0</v>
      </c>
      <c r="T690" s="580">
        <f t="shared" si="77"/>
        <v>0</v>
      </c>
      <c r="U690" s="51"/>
      <c r="V690" s="2119"/>
      <c r="W690" s="2116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75"/>
        <v>7292</v>
      </c>
      <c r="O691" s="575">
        <v>0</v>
      </c>
      <c r="P691" s="582">
        <v>0</v>
      </c>
      <c r="Q691" s="589"/>
      <c r="R691" s="576"/>
      <c r="S691" s="583">
        <f t="shared" si="76"/>
        <v>0</v>
      </c>
      <c r="T691" s="580">
        <f t="shared" si="77"/>
        <v>0</v>
      </c>
      <c r="U691" s="51"/>
      <c r="V691" s="2119"/>
      <c r="W691" s="2116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75"/>
        <v>7298</v>
      </c>
      <c r="O692" s="575">
        <v>0</v>
      </c>
      <c r="P692" s="582">
        <v>0</v>
      </c>
      <c r="Q692" s="589"/>
      <c r="R692" s="576"/>
      <c r="S692" s="583">
        <f t="shared" si="76"/>
        <v>0</v>
      </c>
      <c r="T692" s="580">
        <f t="shared" si="77"/>
        <v>0</v>
      </c>
      <c r="U692" s="51"/>
      <c r="V692" s="2119"/>
      <c r="W692" s="2116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75"/>
        <v>7311</v>
      </c>
      <c r="O693" s="575">
        <v>0</v>
      </c>
      <c r="P693" s="582">
        <v>0</v>
      </c>
      <c r="Q693" s="589"/>
      <c r="R693" s="576"/>
      <c r="S693" s="583">
        <f t="shared" si="76"/>
        <v>0</v>
      </c>
      <c r="T693" s="580">
        <f t="shared" si="77"/>
        <v>0</v>
      </c>
      <c r="U693" s="51"/>
      <c r="V693" s="2119"/>
      <c r="W693" s="2116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75"/>
        <v>7313</v>
      </c>
      <c r="O694" s="575">
        <v>0</v>
      </c>
      <c r="P694" s="582">
        <v>0</v>
      </c>
      <c r="Q694" s="589"/>
      <c r="R694" s="576"/>
      <c r="S694" s="583">
        <f t="shared" si="76"/>
        <v>0</v>
      </c>
      <c r="T694" s="580">
        <f t="shared" si="77"/>
        <v>0</v>
      </c>
      <c r="U694" s="51"/>
      <c r="V694" s="2119"/>
      <c r="W694" s="2116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75"/>
        <v>7319</v>
      </c>
      <c r="O695" s="575">
        <v>0</v>
      </c>
      <c r="P695" s="582">
        <v>0</v>
      </c>
      <c r="Q695" s="589"/>
      <c r="R695" s="576"/>
      <c r="S695" s="583">
        <f t="shared" si="76"/>
        <v>0</v>
      </c>
      <c r="T695" s="580">
        <f t="shared" si="77"/>
        <v>0</v>
      </c>
      <c r="U695" s="51"/>
      <c r="V695" s="2119"/>
      <c r="W695" s="2116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75"/>
        <v>7381</v>
      </c>
      <c r="O696" s="575">
        <v>0</v>
      </c>
      <c r="P696" s="582">
        <v>0</v>
      </c>
      <c r="Q696" s="589"/>
      <c r="R696" s="576"/>
      <c r="S696" s="583">
        <f t="shared" si="76"/>
        <v>0</v>
      </c>
      <c r="T696" s="580">
        <f t="shared" si="77"/>
        <v>0</v>
      </c>
      <c r="U696" s="51"/>
      <c r="V696" s="2119"/>
      <c r="W696" s="2116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75"/>
        <v>7382</v>
      </c>
      <c r="O697" s="575">
        <v>0</v>
      </c>
      <c r="P697" s="582">
        <v>0</v>
      </c>
      <c r="Q697" s="589"/>
      <c r="R697" s="576"/>
      <c r="S697" s="583">
        <f t="shared" ref="S697:S705" si="78">+IF(ABS(+O697+Q697)&gt;=ABS(P697+R697),+O697-P697+Q697-R697,0)</f>
        <v>0</v>
      </c>
      <c r="T697" s="580">
        <f t="shared" si="77"/>
        <v>0</v>
      </c>
      <c r="U697" s="51"/>
      <c r="V697" s="2119"/>
      <c r="W697" s="2116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75"/>
        <v>7383</v>
      </c>
      <c r="O698" s="575">
        <v>0</v>
      </c>
      <c r="P698" s="582">
        <v>0</v>
      </c>
      <c r="Q698" s="589"/>
      <c r="R698" s="576"/>
      <c r="S698" s="583">
        <f t="shared" si="78"/>
        <v>0</v>
      </c>
      <c r="T698" s="580">
        <f t="shared" ref="T698:T705" si="79">+IF(ABS(+O698+Q698)&lt;=ABS(P698+R698),-O698+P698-Q698+R698,0)</f>
        <v>0</v>
      </c>
      <c r="U698" s="51"/>
      <c r="V698" s="2119"/>
      <c r="W698" s="2116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75"/>
        <v>7384</v>
      </c>
      <c r="O699" s="575">
        <v>0</v>
      </c>
      <c r="P699" s="582">
        <v>0</v>
      </c>
      <c r="Q699" s="589"/>
      <c r="R699" s="576"/>
      <c r="S699" s="583">
        <f t="shared" si="78"/>
        <v>0</v>
      </c>
      <c r="T699" s="580">
        <f t="shared" si="79"/>
        <v>0</v>
      </c>
      <c r="U699" s="51"/>
      <c r="V699" s="2119"/>
      <c r="W699" s="2116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75"/>
        <v>7385</v>
      </c>
      <c r="O700" s="575">
        <v>0</v>
      </c>
      <c r="P700" s="582">
        <v>0</v>
      </c>
      <c r="Q700" s="589"/>
      <c r="R700" s="576"/>
      <c r="S700" s="583">
        <f t="shared" si="78"/>
        <v>0</v>
      </c>
      <c r="T700" s="580">
        <f t="shared" si="79"/>
        <v>0</v>
      </c>
      <c r="U700" s="51"/>
      <c r="V700" s="2119"/>
      <c r="W700" s="2116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75"/>
        <v>7386</v>
      </c>
      <c r="O701" s="575">
        <v>0</v>
      </c>
      <c r="P701" s="582">
        <v>0</v>
      </c>
      <c r="Q701" s="589"/>
      <c r="R701" s="576"/>
      <c r="S701" s="583">
        <f t="shared" si="78"/>
        <v>0</v>
      </c>
      <c r="T701" s="580">
        <f t="shared" si="79"/>
        <v>0</v>
      </c>
      <c r="U701" s="51"/>
      <c r="V701" s="2119"/>
      <c r="W701" s="2116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75"/>
        <v>7387</v>
      </c>
      <c r="O702" s="575">
        <v>0</v>
      </c>
      <c r="P702" s="582">
        <v>0</v>
      </c>
      <c r="Q702" s="589"/>
      <c r="R702" s="576"/>
      <c r="S702" s="583">
        <f t="shared" si="78"/>
        <v>0</v>
      </c>
      <c r="T702" s="580">
        <f t="shared" si="79"/>
        <v>0</v>
      </c>
      <c r="U702" s="51"/>
      <c r="V702" s="2119"/>
      <c r="W702" s="2116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75"/>
        <v>7388</v>
      </c>
      <c r="O703" s="575">
        <v>0</v>
      </c>
      <c r="P703" s="582">
        <v>0</v>
      </c>
      <c r="Q703" s="589"/>
      <c r="R703" s="576"/>
      <c r="S703" s="583">
        <f t="shared" si="78"/>
        <v>0</v>
      </c>
      <c r="T703" s="580">
        <f t="shared" si="79"/>
        <v>0</v>
      </c>
      <c r="U703" s="51"/>
      <c r="V703" s="2119"/>
      <c r="W703" s="2116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75"/>
        <v>7391</v>
      </c>
      <c r="O704" s="575">
        <v>0</v>
      </c>
      <c r="P704" s="582">
        <v>0</v>
      </c>
      <c r="Q704" s="589"/>
      <c r="R704" s="576"/>
      <c r="S704" s="583">
        <f t="shared" si="78"/>
        <v>0</v>
      </c>
      <c r="T704" s="580">
        <f t="shared" si="79"/>
        <v>0</v>
      </c>
      <c r="U704" s="51"/>
      <c r="V704" s="2119"/>
      <c r="W704" s="2116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75"/>
        <v>7392</v>
      </c>
      <c r="O705" s="575">
        <v>0</v>
      </c>
      <c r="P705" s="582">
        <v>0</v>
      </c>
      <c r="Q705" s="589"/>
      <c r="R705" s="576"/>
      <c r="S705" s="583">
        <f t="shared" si="78"/>
        <v>0</v>
      </c>
      <c r="T705" s="580">
        <f t="shared" si="79"/>
        <v>0</v>
      </c>
      <c r="U705" s="51"/>
      <c r="V705" s="2119"/>
      <c r="W705" s="2116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75"/>
        <v>7400</v>
      </c>
      <c r="O706" s="575">
        <v>0</v>
      </c>
      <c r="P706" s="582">
        <v>0</v>
      </c>
      <c r="Q706" s="589"/>
      <c r="R706" s="576"/>
      <c r="S706" s="583">
        <f t="shared" ref="S706:S736" si="80">+IF(ABS(+O706+Q706)&gt;=ABS(P706+R706),+O706-P706+Q706-R706,0)</f>
        <v>0</v>
      </c>
      <c r="T706" s="580">
        <f t="shared" ref="T706:T737" si="81">+IF(ABS(+O706+Q706)&lt;=ABS(P706+R706),-O706+P706-Q706+R706,0)</f>
        <v>0</v>
      </c>
      <c r="U706" s="51"/>
      <c r="V706" s="2119"/>
      <c r="W706" s="2116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75"/>
        <v>7401</v>
      </c>
      <c r="O707" s="575">
        <v>0</v>
      </c>
      <c r="P707" s="582">
        <v>0</v>
      </c>
      <c r="Q707" s="589"/>
      <c r="R707" s="576"/>
      <c r="S707" s="583">
        <f t="shared" si="80"/>
        <v>0</v>
      </c>
      <c r="T707" s="580">
        <f t="shared" si="81"/>
        <v>0</v>
      </c>
      <c r="U707" s="51"/>
      <c r="V707" s="2119"/>
      <c r="W707" s="2116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75"/>
        <v>7402</v>
      </c>
      <c r="O708" s="575">
        <v>0</v>
      </c>
      <c r="P708" s="582">
        <v>0</v>
      </c>
      <c r="Q708" s="589"/>
      <c r="R708" s="576"/>
      <c r="S708" s="583">
        <f t="shared" si="80"/>
        <v>0</v>
      </c>
      <c r="T708" s="580">
        <f t="shared" si="81"/>
        <v>0</v>
      </c>
      <c r="U708" s="51"/>
      <c r="V708" s="2119"/>
      <c r="W708" s="2116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75"/>
        <v>7403</v>
      </c>
      <c r="O709" s="575">
        <v>0</v>
      </c>
      <c r="P709" s="582">
        <v>0</v>
      </c>
      <c r="Q709" s="589"/>
      <c r="R709" s="576"/>
      <c r="S709" s="583">
        <f t="shared" si="80"/>
        <v>0</v>
      </c>
      <c r="T709" s="580">
        <f t="shared" si="81"/>
        <v>0</v>
      </c>
      <c r="U709" s="51"/>
      <c r="V709" s="2119"/>
      <c r="W709" s="2116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75"/>
        <v>7404</v>
      </c>
      <c r="O710" s="575">
        <v>0</v>
      </c>
      <c r="P710" s="582">
        <v>0</v>
      </c>
      <c r="Q710" s="589"/>
      <c r="R710" s="576"/>
      <c r="S710" s="583">
        <f t="shared" si="80"/>
        <v>0</v>
      </c>
      <c r="T710" s="580">
        <f t="shared" si="81"/>
        <v>0</v>
      </c>
      <c r="U710" s="51"/>
      <c r="V710" s="2119"/>
      <c r="W710" s="2116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75"/>
        <v>7405</v>
      </c>
      <c r="O711" s="575">
        <v>0</v>
      </c>
      <c r="P711" s="582">
        <v>0</v>
      </c>
      <c r="Q711" s="589"/>
      <c r="R711" s="576"/>
      <c r="S711" s="583">
        <f t="shared" si="80"/>
        <v>0</v>
      </c>
      <c r="T711" s="580">
        <f t="shared" si="81"/>
        <v>0</v>
      </c>
      <c r="U711" s="51"/>
      <c r="V711" s="2119"/>
      <c r="W711" s="2116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75"/>
        <v>7406</v>
      </c>
      <c r="O712" s="575">
        <v>0</v>
      </c>
      <c r="P712" s="582">
        <v>0</v>
      </c>
      <c r="Q712" s="589"/>
      <c r="R712" s="576"/>
      <c r="S712" s="583">
        <f t="shared" si="80"/>
        <v>0</v>
      </c>
      <c r="T712" s="580">
        <f t="shared" si="81"/>
        <v>0</v>
      </c>
      <c r="U712" s="51"/>
      <c r="V712" s="2119"/>
      <c r="W712" s="2116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75"/>
        <v>7407</v>
      </c>
      <c r="O713" s="575">
        <v>0</v>
      </c>
      <c r="P713" s="582">
        <v>0</v>
      </c>
      <c r="Q713" s="589"/>
      <c r="R713" s="576"/>
      <c r="S713" s="583">
        <f t="shared" si="80"/>
        <v>0</v>
      </c>
      <c r="T713" s="580">
        <f t="shared" si="81"/>
        <v>0</v>
      </c>
      <c r="U713" s="51"/>
      <c r="V713" s="2119"/>
      <c r="W713" s="2116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75"/>
        <v>7408</v>
      </c>
      <c r="O714" s="575">
        <v>0</v>
      </c>
      <c r="P714" s="582">
        <v>0</v>
      </c>
      <c r="Q714" s="589"/>
      <c r="R714" s="576"/>
      <c r="S714" s="583">
        <f t="shared" si="80"/>
        <v>0</v>
      </c>
      <c r="T714" s="580">
        <f t="shared" si="81"/>
        <v>0</v>
      </c>
      <c r="U714" s="51"/>
      <c r="V714" s="2119"/>
      <c r="W714" s="2116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75"/>
        <v>7409</v>
      </c>
      <c r="O715" s="575">
        <v>0</v>
      </c>
      <c r="P715" s="582">
        <v>0</v>
      </c>
      <c r="Q715" s="589"/>
      <c r="R715" s="576"/>
      <c r="S715" s="583">
        <f t="shared" si="80"/>
        <v>0</v>
      </c>
      <c r="T715" s="580">
        <f t="shared" si="81"/>
        <v>0</v>
      </c>
      <c r="U715" s="51"/>
      <c r="V715" s="2119"/>
      <c r="W715" s="2116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75"/>
        <v>7411</v>
      </c>
      <c r="O716" s="575">
        <v>0</v>
      </c>
      <c r="P716" s="582">
        <v>0</v>
      </c>
      <c r="Q716" s="589"/>
      <c r="R716" s="576"/>
      <c r="S716" s="583">
        <f t="shared" si="80"/>
        <v>0</v>
      </c>
      <c r="T716" s="580">
        <f t="shared" si="81"/>
        <v>0</v>
      </c>
      <c r="U716" s="51"/>
      <c r="V716" s="2119"/>
      <c r="W716" s="2116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75"/>
        <v>7412</v>
      </c>
      <c r="O717" s="575">
        <v>0</v>
      </c>
      <c r="P717" s="582">
        <v>0</v>
      </c>
      <c r="Q717" s="589"/>
      <c r="R717" s="576"/>
      <c r="S717" s="583">
        <f t="shared" si="80"/>
        <v>0</v>
      </c>
      <c r="T717" s="580">
        <f t="shared" si="81"/>
        <v>0</v>
      </c>
      <c r="U717" s="51"/>
      <c r="V717" s="2119"/>
      <c r="W717" s="2116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75"/>
        <v>7413</v>
      </c>
      <c r="O718" s="575">
        <v>0</v>
      </c>
      <c r="P718" s="582">
        <v>0</v>
      </c>
      <c r="Q718" s="589"/>
      <c r="R718" s="576"/>
      <c r="S718" s="583">
        <f t="shared" si="80"/>
        <v>0</v>
      </c>
      <c r="T718" s="580">
        <f t="shared" si="81"/>
        <v>0</v>
      </c>
      <c r="U718" s="51"/>
      <c r="V718" s="2119"/>
      <c r="W718" s="2116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75"/>
        <v>7414</v>
      </c>
      <c r="O719" s="575">
        <v>0</v>
      </c>
      <c r="P719" s="582">
        <v>0</v>
      </c>
      <c r="Q719" s="589"/>
      <c r="R719" s="576"/>
      <c r="S719" s="583">
        <f t="shared" si="80"/>
        <v>0</v>
      </c>
      <c r="T719" s="580">
        <f t="shared" si="81"/>
        <v>0</v>
      </c>
      <c r="U719" s="51"/>
      <c r="V719" s="2119"/>
      <c r="W719" s="2116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75"/>
        <v>7419</v>
      </c>
      <c r="O720" s="575">
        <v>0</v>
      </c>
      <c r="P720" s="582">
        <v>0</v>
      </c>
      <c r="Q720" s="589"/>
      <c r="R720" s="576"/>
      <c r="S720" s="583">
        <f t="shared" si="80"/>
        <v>0</v>
      </c>
      <c r="T720" s="580">
        <f t="shared" si="81"/>
        <v>0</v>
      </c>
      <c r="U720" s="51"/>
      <c r="V720" s="2119"/>
      <c r="W720" s="2116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75"/>
        <v>7450</v>
      </c>
      <c r="O721" s="575">
        <v>0</v>
      </c>
      <c r="P721" s="582">
        <v>0</v>
      </c>
      <c r="Q721" s="589"/>
      <c r="R721" s="576"/>
      <c r="S721" s="583">
        <f t="shared" si="80"/>
        <v>0</v>
      </c>
      <c r="T721" s="580">
        <f t="shared" si="81"/>
        <v>0</v>
      </c>
      <c r="U721" s="51"/>
      <c r="V721" s="2119"/>
      <c r="W721" s="2116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75"/>
        <v>7471</v>
      </c>
      <c r="O722" s="575">
        <v>0</v>
      </c>
      <c r="P722" s="582">
        <v>0</v>
      </c>
      <c r="Q722" s="589"/>
      <c r="R722" s="576"/>
      <c r="S722" s="583">
        <f t="shared" si="80"/>
        <v>0</v>
      </c>
      <c r="T722" s="580">
        <f t="shared" si="81"/>
        <v>0</v>
      </c>
      <c r="U722" s="51"/>
      <c r="V722" s="2119"/>
      <c r="W722" s="2116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75"/>
        <v>7472</v>
      </c>
      <c r="O723" s="575">
        <v>0</v>
      </c>
      <c r="P723" s="582">
        <v>0</v>
      </c>
      <c r="Q723" s="589"/>
      <c r="R723" s="576"/>
      <c r="S723" s="583">
        <f t="shared" si="80"/>
        <v>0</v>
      </c>
      <c r="T723" s="580">
        <f t="shared" si="81"/>
        <v>0</v>
      </c>
      <c r="U723" s="51"/>
      <c r="V723" s="2119"/>
      <c r="W723" s="2116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75"/>
        <v>7473</v>
      </c>
      <c r="O724" s="575">
        <v>0</v>
      </c>
      <c r="P724" s="582">
        <v>0</v>
      </c>
      <c r="Q724" s="589"/>
      <c r="R724" s="576"/>
      <c r="S724" s="583">
        <f t="shared" si="80"/>
        <v>0</v>
      </c>
      <c r="T724" s="580">
        <f t="shared" si="81"/>
        <v>0</v>
      </c>
      <c r="U724" s="51"/>
      <c r="V724" s="2119"/>
      <c r="W724" s="2116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75"/>
        <v>7474</v>
      </c>
      <c r="O725" s="575">
        <v>0</v>
      </c>
      <c r="P725" s="582">
        <v>0</v>
      </c>
      <c r="Q725" s="589"/>
      <c r="R725" s="576"/>
      <c r="S725" s="583">
        <f t="shared" si="80"/>
        <v>0</v>
      </c>
      <c r="T725" s="580">
        <f t="shared" si="81"/>
        <v>0</v>
      </c>
      <c r="U725" s="51"/>
      <c r="V725" s="2119"/>
      <c r="W725" s="2116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75"/>
        <v>7481</v>
      </c>
      <c r="O726" s="575">
        <v>0</v>
      </c>
      <c r="P726" s="582">
        <v>0</v>
      </c>
      <c r="Q726" s="589"/>
      <c r="R726" s="576"/>
      <c r="S726" s="583">
        <f t="shared" si="80"/>
        <v>0</v>
      </c>
      <c r="T726" s="580">
        <f t="shared" si="81"/>
        <v>0</v>
      </c>
      <c r="U726" s="51"/>
      <c r="V726" s="2119"/>
      <c r="W726" s="2116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75"/>
        <v>7482</v>
      </c>
      <c r="O727" s="575">
        <v>0</v>
      </c>
      <c r="P727" s="582">
        <v>0</v>
      </c>
      <c r="Q727" s="589"/>
      <c r="R727" s="576"/>
      <c r="S727" s="583">
        <f t="shared" si="80"/>
        <v>0</v>
      </c>
      <c r="T727" s="580">
        <f t="shared" si="81"/>
        <v>0</v>
      </c>
      <c r="U727" s="51"/>
      <c r="V727" s="2119"/>
      <c r="W727" s="2116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75"/>
        <v>7483</v>
      </c>
      <c r="O728" s="575">
        <v>0</v>
      </c>
      <c r="P728" s="582">
        <v>0</v>
      </c>
      <c r="Q728" s="589"/>
      <c r="R728" s="576"/>
      <c r="S728" s="583">
        <f t="shared" si="80"/>
        <v>0</v>
      </c>
      <c r="T728" s="580">
        <f t="shared" si="81"/>
        <v>0</v>
      </c>
      <c r="U728" s="51"/>
      <c r="V728" s="2119"/>
      <c r="W728" s="2116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75"/>
        <v>7484</v>
      </c>
      <c r="O729" s="575">
        <v>0</v>
      </c>
      <c r="P729" s="582">
        <v>0</v>
      </c>
      <c r="Q729" s="589"/>
      <c r="R729" s="576"/>
      <c r="S729" s="583">
        <f t="shared" si="80"/>
        <v>0</v>
      </c>
      <c r="T729" s="580">
        <f t="shared" si="81"/>
        <v>0</v>
      </c>
      <c r="U729" s="51"/>
      <c r="V729" s="2119"/>
      <c r="W729" s="2116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82">+A730</f>
        <v>7485</v>
      </c>
      <c r="O730" s="575">
        <v>0</v>
      </c>
      <c r="P730" s="582">
        <v>0</v>
      </c>
      <c r="Q730" s="589"/>
      <c r="R730" s="576"/>
      <c r="S730" s="583">
        <f t="shared" si="80"/>
        <v>0</v>
      </c>
      <c r="T730" s="580">
        <f t="shared" si="81"/>
        <v>0</v>
      </c>
      <c r="U730" s="51"/>
      <c r="V730" s="2119"/>
      <c r="W730" s="2116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82"/>
        <v>7486</v>
      </c>
      <c r="O731" s="575">
        <v>0</v>
      </c>
      <c r="P731" s="582">
        <v>0</v>
      </c>
      <c r="Q731" s="589"/>
      <c r="R731" s="576"/>
      <c r="S731" s="583">
        <f t="shared" si="80"/>
        <v>0</v>
      </c>
      <c r="T731" s="580">
        <f t="shared" si="81"/>
        <v>0</v>
      </c>
      <c r="U731" s="51"/>
      <c r="V731" s="2119"/>
      <c r="W731" s="2116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82"/>
        <v>7487</v>
      </c>
      <c r="O732" s="575">
        <v>0</v>
      </c>
      <c r="P732" s="582">
        <v>0</v>
      </c>
      <c r="Q732" s="589"/>
      <c r="R732" s="576"/>
      <c r="S732" s="583">
        <f t="shared" si="80"/>
        <v>0</v>
      </c>
      <c r="T732" s="580">
        <f t="shared" si="81"/>
        <v>0</v>
      </c>
      <c r="U732" s="51"/>
      <c r="V732" s="2119"/>
      <c r="W732" s="2116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82"/>
        <v>7488</v>
      </c>
      <c r="O733" s="575">
        <v>0</v>
      </c>
      <c r="P733" s="582">
        <v>0</v>
      </c>
      <c r="Q733" s="589"/>
      <c r="R733" s="576"/>
      <c r="S733" s="583">
        <f t="shared" si="80"/>
        <v>0</v>
      </c>
      <c r="T733" s="580">
        <f t="shared" si="81"/>
        <v>0</v>
      </c>
      <c r="U733" s="51"/>
      <c r="V733" s="2119"/>
      <c r="W733" s="2116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82"/>
        <v>7491</v>
      </c>
      <c r="O734" s="575">
        <v>0</v>
      </c>
      <c r="P734" s="582">
        <v>0</v>
      </c>
      <c r="Q734" s="589"/>
      <c r="R734" s="576"/>
      <c r="S734" s="583">
        <f t="shared" si="80"/>
        <v>0</v>
      </c>
      <c r="T734" s="580">
        <f t="shared" si="81"/>
        <v>0</v>
      </c>
      <c r="U734" s="51"/>
      <c r="V734" s="2119"/>
      <c r="W734" s="2116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82"/>
        <v>7492</v>
      </c>
      <c r="O735" s="575">
        <v>0</v>
      </c>
      <c r="P735" s="582">
        <v>0</v>
      </c>
      <c r="Q735" s="589"/>
      <c r="R735" s="576"/>
      <c r="S735" s="583">
        <f t="shared" si="80"/>
        <v>0</v>
      </c>
      <c r="T735" s="580">
        <f t="shared" si="81"/>
        <v>0</v>
      </c>
      <c r="U735" s="51"/>
      <c r="V735" s="2119"/>
      <c r="W735" s="2116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82"/>
        <v>7493</v>
      </c>
      <c r="O736" s="575">
        <v>0</v>
      </c>
      <c r="P736" s="582">
        <v>0</v>
      </c>
      <c r="Q736" s="589"/>
      <c r="R736" s="576"/>
      <c r="S736" s="583">
        <f t="shared" si="80"/>
        <v>0</v>
      </c>
      <c r="T736" s="580">
        <f t="shared" si="81"/>
        <v>0</v>
      </c>
      <c r="U736" s="51"/>
      <c r="V736" s="2119"/>
      <c r="W736" s="2116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82"/>
        <v>7494</v>
      </c>
      <c r="O737" s="575">
        <v>0</v>
      </c>
      <c r="P737" s="582">
        <v>0</v>
      </c>
      <c r="Q737" s="589"/>
      <c r="R737" s="576"/>
      <c r="S737" s="583">
        <f t="shared" ref="S737:S764" si="83">+IF(ABS(+O737+Q737)&gt;=ABS(P737+R737),+O737-P737+Q737-R737,0)</f>
        <v>0</v>
      </c>
      <c r="T737" s="580">
        <f t="shared" si="81"/>
        <v>0</v>
      </c>
      <c r="U737" s="51"/>
      <c r="V737" s="2119"/>
      <c r="W737" s="2116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82"/>
        <v>7499</v>
      </c>
      <c r="O738" s="575">
        <v>0</v>
      </c>
      <c r="P738" s="582">
        <v>0</v>
      </c>
      <c r="Q738" s="589"/>
      <c r="R738" s="576"/>
      <c r="S738" s="583">
        <f t="shared" si="83"/>
        <v>0</v>
      </c>
      <c r="T738" s="580">
        <f t="shared" ref="T738:T769" si="84">+IF(ABS(+O738+Q738)&lt;=ABS(P738+R738),-O738+P738-Q738+R738,0)</f>
        <v>0</v>
      </c>
      <c r="U738" s="51"/>
      <c r="V738" s="2119"/>
      <c r="W738" s="2116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82"/>
        <v>7500</v>
      </c>
      <c r="O739" s="575">
        <v>0</v>
      </c>
      <c r="P739" s="582">
        <v>0</v>
      </c>
      <c r="Q739" s="589"/>
      <c r="R739" s="576"/>
      <c r="S739" s="583">
        <f t="shared" si="83"/>
        <v>0</v>
      </c>
      <c r="T739" s="580">
        <f t="shared" si="84"/>
        <v>0</v>
      </c>
      <c r="U739" s="51"/>
      <c r="V739" s="2119"/>
      <c r="W739" s="2116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82"/>
        <v>7501</v>
      </c>
      <c r="O740" s="575">
        <v>0</v>
      </c>
      <c r="P740" s="582">
        <v>0</v>
      </c>
      <c r="Q740" s="589"/>
      <c r="R740" s="576"/>
      <c r="S740" s="583">
        <f t="shared" si="83"/>
        <v>0</v>
      </c>
      <c r="T740" s="580">
        <f t="shared" si="84"/>
        <v>0</v>
      </c>
      <c r="U740" s="51"/>
      <c r="V740" s="2119"/>
      <c r="W740" s="2116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82"/>
        <v>7502</v>
      </c>
      <c r="O741" s="575">
        <v>0</v>
      </c>
      <c r="P741" s="582">
        <v>0</v>
      </c>
      <c r="Q741" s="589"/>
      <c r="R741" s="576"/>
      <c r="S741" s="583">
        <f t="shared" si="83"/>
        <v>0</v>
      </c>
      <c r="T741" s="580">
        <f t="shared" si="84"/>
        <v>0</v>
      </c>
      <c r="U741" s="51"/>
      <c r="V741" s="2119"/>
      <c r="W741" s="2116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82"/>
        <v>7511</v>
      </c>
      <c r="O742" s="575">
        <v>0</v>
      </c>
      <c r="P742" s="582">
        <v>0</v>
      </c>
      <c r="Q742" s="589"/>
      <c r="R742" s="576"/>
      <c r="S742" s="583">
        <f t="shared" si="83"/>
        <v>0</v>
      </c>
      <c r="T742" s="580">
        <f t="shared" si="84"/>
        <v>0</v>
      </c>
      <c r="U742" s="51"/>
      <c r="V742" s="2119"/>
      <c r="W742" s="2116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82"/>
        <v>7519</v>
      </c>
      <c r="O743" s="575">
        <v>0</v>
      </c>
      <c r="P743" s="582">
        <v>0</v>
      </c>
      <c r="Q743" s="589"/>
      <c r="R743" s="576"/>
      <c r="S743" s="583">
        <f t="shared" si="83"/>
        <v>0</v>
      </c>
      <c r="T743" s="580">
        <f t="shared" si="84"/>
        <v>0</v>
      </c>
      <c r="U743" s="51"/>
      <c r="V743" s="2119"/>
      <c r="W743" s="2116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82"/>
        <v>7522</v>
      </c>
      <c r="O744" s="575">
        <v>0</v>
      </c>
      <c r="P744" s="582">
        <v>0</v>
      </c>
      <c r="Q744" s="589"/>
      <c r="R744" s="576"/>
      <c r="S744" s="583">
        <f t="shared" si="83"/>
        <v>0</v>
      </c>
      <c r="T744" s="580">
        <f t="shared" si="84"/>
        <v>0</v>
      </c>
      <c r="U744" s="51"/>
      <c r="V744" s="2119"/>
      <c r="W744" s="2116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82"/>
        <v>7524</v>
      </c>
      <c r="O745" s="575">
        <v>0</v>
      </c>
      <c r="P745" s="582">
        <v>0</v>
      </c>
      <c r="Q745" s="589"/>
      <c r="R745" s="576"/>
      <c r="S745" s="583">
        <f t="shared" si="83"/>
        <v>0</v>
      </c>
      <c r="T745" s="580">
        <f t="shared" si="84"/>
        <v>0</v>
      </c>
      <c r="U745" s="51"/>
      <c r="V745" s="2119"/>
      <c r="W745" s="2116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82"/>
        <v>7525</v>
      </c>
      <c r="O746" s="575">
        <v>0</v>
      </c>
      <c r="P746" s="582">
        <v>0</v>
      </c>
      <c r="Q746" s="589"/>
      <c r="R746" s="576"/>
      <c r="S746" s="583">
        <f t="shared" si="83"/>
        <v>0</v>
      </c>
      <c r="T746" s="580">
        <f t="shared" si="84"/>
        <v>0</v>
      </c>
      <c r="U746" s="51"/>
      <c r="V746" s="2119"/>
      <c r="W746" s="2116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82"/>
        <v>7532</v>
      </c>
      <c r="O747" s="575">
        <v>0</v>
      </c>
      <c r="P747" s="582">
        <v>0</v>
      </c>
      <c r="Q747" s="589"/>
      <c r="R747" s="576"/>
      <c r="S747" s="583">
        <f t="shared" si="83"/>
        <v>0</v>
      </c>
      <c r="T747" s="580">
        <f t="shared" si="84"/>
        <v>0</v>
      </c>
      <c r="U747" s="51"/>
      <c r="V747" s="2119"/>
      <c r="W747" s="2116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82"/>
        <v>7534</v>
      </c>
      <c r="O748" s="575">
        <v>0</v>
      </c>
      <c r="P748" s="582">
        <v>0</v>
      </c>
      <c r="Q748" s="589"/>
      <c r="R748" s="576"/>
      <c r="S748" s="583">
        <f t="shared" si="83"/>
        <v>0</v>
      </c>
      <c r="T748" s="580">
        <f t="shared" si="84"/>
        <v>0</v>
      </c>
      <c r="U748" s="51"/>
      <c r="V748" s="2119"/>
      <c r="W748" s="2116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82"/>
        <v>7535</v>
      </c>
      <c r="O749" s="575">
        <v>0</v>
      </c>
      <c r="P749" s="582">
        <v>0</v>
      </c>
      <c r="Q749" s="589"/>
      <c r="R749" s="576"/>
      <c r="S749" s="583">
        <f t="shared" si="83"/>
        <v>0</v>
      </c>
      <c r="T749" s="580">
        <f t="shared" si="84"/>
        <v>0</v>
      </c>
      <c r="U749" s="51"/>
      <c r="V749" s="2119"/>
      <c r="W749" s="2116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82"/>
        <v>7582</v>
      </c>
      <c r="O750" s="575">
        <v>0</v>
      </c>
      <c r="P750" s="582">
        <v>0</v>
      </c>
      <c r="Q750" s="589"/>
      <c r="R750" s="576"/>
      <c r="S750" s="583">
        <f t="shared" si="83"/>
        <v>0</v>
      </c>
      <c r="T750" s="580">
        <f t="shared" si="84"/>
        <v>0</v>
      </c>
      <c r="U750" s="51"/>
      <c r="V750" s="2119"/>
      <c r="W750" s="2116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82"/>
        <v>7584</v>
      </c>
      <c r="O751" s="575">
        <v>0</v>
      </c>
      <c r="P751" s="582">
        <v>0</v>
      </c>
      <c r="Q751" s="589"/>
      <c r="R751" s="576"/>
      <c r="S751" s="583">
        <f t="shared" si="83"/>
        <v>0</v>
      </c>
      <c r="T751" s="580">
        <f t="shared" si="84"/>
        <v>0</v>
      </c>
      <c r="U751" s="51"/>
      <c r="V751" s="2119"/>
      <c r="W751" s="2116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82"/>
        <v>7585</v>
      </c>
      <c r="O752" s="575">
        <v>0</v>
      </c>
      <c r="P752" s="582">
        <v>0</v>
      </c>
      <c r="Q752" s="589"/>
      <c r="R752" s="576"/>
      <c r="S752" s="583">
        <f t="shared" si="83"/>
        <v>0</v>
      </c>
      <c r="T752" s="580">
        <f t="shared" si="84"/>
        <v>0</v>
      </c>
      <c r="U752" s="51"/>
      <c r="V752" s="2119"/>
      <c r="W752" s="2116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82"/>
        <v>7591</v>
      </c>
      <c r="O753" s="575">
        <v>0</v>
      </c>
      <c r="P753" s="582">
        <v>0</v>
      </c>
      <c r="Q753" s="589"/>
      <c r="R753" s="576"/>
      <c r="S753" s="583">
        <f t="shared" si="83"/>
        <v>0</v>
      </c>
      <c r="T753" s="580">
        <f t="shared" si="84"/>
        <v>0</v>
      </c>
      <c r="U753" s="51"/>
      <c r="V753" s="2119"/>
      <c r="W753" s="2116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82"/>
        <v>7595</v>
      </c>
      <c r="O754" s="575">
        <v>0</v>
      </c>
      <c r="P754" s="582">
        <v>0</v>
      </c>
      <c r="Q754" s="589"/>
      <c r="R754" s="576"/>
      <c r="S754" s="583">
        <f t="shared" si="83"/>
        <v>0</v>
      </c>
      <c r="T754" s="580">
        <f t="shared" si="84"/>
        <v>0</v>
      </c>
      <c r="U754" s="51"/>
      <c r="V754" s="2119"/>
      <c r="W754" s="2116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82"/>
        <v>7596</v>
      </c>
      <c r="O755" s="575">
        <v>0</v>
      </c>
      <c r="P755" s="582">
        <v>0</v>
      </c>
      <c r="Q755" s="589"/>
      <c r="R755" s="576"/>
      <c r="S755" s="583">
        <f t="shared" si="83"/>
        <v>0</v>
      </c>
      <c r="T755" s="580">
        <f t="shared" si="84"/>
        <v>0</v>
      </c>
      <c r="U755" s="51"/>
      <c r="V755" s="2119"/>
      <c r="W755" s="2116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82"/>
        <v>7597</v>
      </c>
      <c r="O756" s="575">
        <v>0</v>
      </c>
      <c r="P756" s="582">
        <v>0</v>
      </c>
      <c r="Q756" s="589"/>
      <c r="R756" s="576"/>
      <c r="S756" s="583">
        <f t="shared" si="83"/>
        <v>0</v>
      </c>
      <c r="T756" s="580">
        <f t="shared" si="84"/>
        <v>0</v>
      </c>
      <c r="U756" s="51"/>
      <c r="V756" s="2119"/>
      <c r="W756" s="2116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82"/>
        <v>7598</v>
      </c>
      <c r="O757" s="575">
        <v>0</v>
      </c>
      <c r="P757" s="582">
        <v>0</v>
      </c>
      <c r="Q757" s="589"/>
      <c r="R757" s="576"/>
      <c r="S757" s="583">
        <f t="shared" si="83"/>
        <v>0</v>
      </c>
      <c r="T757" s="580">
        <f t="shared" si="84"/>
        <v>0</v>
      </c>
      <c r="U757" s="51"/>
      <c r="V757" s="2119"/>
      <c r="W757" s="2116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82"/>
        <v>7599</v>
      </c>
      <c r="O758" s="575">
        <v>0</v>
      </c>
      <c r="P758" s="582">
        <v>0</v>
      </c>
      <c r="Q758" s="589"/>
      <c r="R758" s="576"/>
      <c r="S758" s="583">
        <f t="shared" si="83"/>
        <v>0</v>
      </c>
      <c r="T758" s="580">
        <f t="shared" si="84"/>
        <v>0</v>
      </c>
      <c r="U758" s="51"/>
      <c r="V758" s="2119"/>
      <c r="W758" s="2116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82"/>
        <v>7600</v>
      </c>
      <c r="O759" s="575">
        <v>0</v>
      </c>
      <c r="P759" s="582">
        <v>0</v>
      </c>
      <c r="Q759" s="589"/>
      <c r="R759" s="576"/>
      <c r="S759" s="583">
        <f t="shared" si="83"/>
        <v>0</v>
      </c>
      <c r="T759" s="580">
        <f t="shared" si="84"/>
        <v>0</v>
      </c>
      <c r="U759" s="51"/>
      <c r="V759" s="2119"/>
      <c r="W759" s="2116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82"/>
        <v>7601</v>
      </c>
      <c r="O760" s="575">
        <v>0</v>
      </c>
      <c r="P760" s="582">
        <v>0</v>
      </c>
      <c r="Q760" s="589"/>
      <c r="R760" s="576"/>
      <c r="S760" s="583">
        <f t="shared" si="83"/>
        <v>0</v>
      </c>
      <c r="T760" s="580">
        <f t="shared" si="84"/>
        <v>0</v>
      </c>
      <c r="U760" s="51"/>
      <c r="V760" s="2119"/>
      <c r="W760" s="2116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82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83"/>
        <v>0</v>
      </c>
      <c r="T761" s="580">
        <f t="shared" si="84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2116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82"/>
        <v>7603</v>
      </c>
      <c r="O762" s="575">
        <v>0</v>
      </c>
      <c r="P762" s="582">
        <v>0</v>
      </c>
      <c r="Q762" s="589"/>
      <c r="R762" s="576"/>
      <c r="S762" s="583">
        <f t="shared" si="83"/>
        <v>0</v>
      </c>
      <c r="T762" s="580">
        <f t="shared" si="84"/>
        <v>0</v>
      </c>
      <c r="U762" s="51"/>
      <c r="V762" s="2119"/>
      <c r="W762" s="2116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82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83"/>
        <v>0</v>
      </c>
      <c r="T763" s="580">
        <f t="shared" si="84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2116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82"/>
        <v>7612</v>
      </c>
      <c r="O764" s="575">
        <v>0</v>
      </c>
      <c r="P764" s="582">
        <v>0</v>
      </c>
      <c r="Q764" s="589"/>
      <c r="R764" s="576"/>
      <c r="S764" s="583">
        <f t="shared" si="83"/>
        <v>0</v>
      </c>
      <c r="T764" s="580">
        <f t="shared" si="84"/>
        <v>0</v>
      </c>
      <c r="U764" s="51"/>
      <c r="V764" s="2119"/>
      <c r="W764" s="2116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82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84"/>
        <v>0</v>
      </c>
      <c r="U765" s="51"/>
      <c r="V765" s="2119"/>
      <c r="W765" s="2116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82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84"/>
        <v>0</v>
      </c>
      <c r="U766" s="51"/>
      <c r="V766" s="2119"/>
      <c r="W766" s="2116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82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84"/>
        <v>0</v>
      </c>
      <c r="U767" s="51"/>
      <c r="V767" s="2119"/>
      <c r="W767" s="2116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82"/>
        <v>7617</v>
      </c>
      <c r="O768" s="575">
        <v>0</v>
      </c>
      <c r="P768" s="582">
        <v>0</v>
      </c>
      <c r="Q768" s="589"/>
      <c r="R768" s="576"/>
      <c r="S768" s="583">
        <f t="shared" ref="S768:S791" si="85">+IF(ABS(+O768+Q768)&gt;=ABS(P768+R768),+O768-P768+Q768-R768,0)</f>
        <v>0</v>
      </c>
      <c r="T768" s="580">
        <f t="shared" si="84"/>
        <v>0</v>
      </c>
      <c r="U768" s="51"/>
      <c r="V768" s="2119"/>
      <c r="W768" s="2116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82"/>
        <v>7618</v>
      </c>
      <c r="O769" s="575">
        <v>0</v>
      </c>
      <c r="P769" s="582">
        <v>0</v>
      </c>
      <c r="Q769" s="589"/>
      <c r="R769" s="576"/>
      <c r="S769" s="583">
        <f t="shared" si="85"/>
        <v>0</v>
      </c>
      <c r="T769" s="580">
        <f t="shared" si="84"/>
        <v>0</v>
      </c>
      <c r="U769" s="51"/>
      <c r="V769" s="2119"/>
      <c r="W769" s="2116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82"/>
        <v>7642</v>
      </c>
      <c r="O770" s="575">
        <v>0</v>
      </c>
      <c r="P770" s="582">
        <v>0</v>
      </c>
      <c r="Q770" s="589"/>
      <c r="R770" s="576"/>
      <c r="S770" s="583">
        <f t="shared" si="85"/>
        <v>0</v>
      </c>
      <c r="T770" s="580">
        <f t="shared" ref="T770:T797" si="86">+IF(ABS(+O770+Q770)&lt;=ABS(P770+R770),-O770+P770-Q770+R770,0)</f>
        <v>0</v>
      </c>
      <c r="U770" s="51"/>
      <c r="V770" s="2119"/>
      <c r="W770" s="2116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82"/>
        <v>7643</v>
      </c>
      <c r="O771" s="575">
        <v>0</v>
      </c>
      <c r="P771" s="582">
        <v>0</v>
      </c>
      <c r="Q771" s="589"/>
      <c r="R771" s="576"/>
      <c r="S771" s="583">
        <f t="shared" si="85"/>
        <v>0</v>
      </c>
      <c r="T771" s="580">
        <f t="shared" si="86"/>
        <v>0</v>
      </c>
      <c r="U771" s="51"/>
      <c r="V771" s="2119"/>
      <c r="W771" s="2116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82"/>
        <v>7644</v>
      </c>
      <c r="O772" s="575">
        <v>0</v>
      </c>
      <c r="P772" s="582">
        <v>0</v>
      </c>
      <c r="Q772" s="589"/>
      <c r="R772" s="576"/>
      <c r="S772" s="583">
        <f t="shared" si="85"/>
        <v>0</v>
      </c>
      <c r="T772" s="580">
        <f t="shared" si="86"/>
        <v>0</v>
      </c>
      <c r="U772" s="51"/>
      <c r="V772" s="2119"/>
      <c r="W772" s="2116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82"/>
        <v>7645</v>
      </c>
      <c r="O773" s="575">
        <v>0</v>
      </c>
      <c r="P773" s="582">
        <v>0</v>
      </c>
      <c r="Q773" s="589"/>
      <c r="R773" s="576"/>
      <c r="S773" s="583">
        <f t="shared" si="85"/>
        <v>0</v>
      </c>
      <c r="T773" s="580">
        <f t="shared" si="86"/>
        <v>0</v>
      </c>
      <c r="U773" s="51"/>
      <c r="V773" s="2119"/>
      <c r="W773" s="2116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82"/>
        <v>7647</v>
      </c>
      <c r="O774" s="575">
        <v>0</v>
      </c>
      <c r="P774" s="582">
        <v>0</v>
      </c>
      <c r="Q774" s="589"/>
      <c r="R774" s="576"/>
      <c r="S774" s="583">
        <f t="shared" si="85"/>
        <v>0</v>
      </c>
      <c r="T774" s="580">
        <f t="shared" si="86"/>
        <v>0</v>
      </c>
      <c r="U774" s="51"/>
      <c r="V774" s="2119"/>
      <c r="W774" s="2116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82"/>
        <v>7648</v>
      </c>
      <c r="O775" s="575">
        <v>0</v>
      </c>
      <c r="P775" s="582">
        <v>0</v>
      </c>
      <c r="Q775" s="589"/>
      <c r="R775" s="576"/>
      <c r="S775" s="583">
        <f t="shared" si="85"/>
        <v>0</v>
      </c>
      <c r="T775" s="580">
        <f t="shared" si="86"/>
        <v>0</v>
      </c>
      <c r="U775" s="51"/>
      <c r="V775" s="2119"/>
      <c r="W775" s="2116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82"/>
        <v>7652</v>
      </c>
      <c r="O776" s="575">
        <v>0</v>
      </c>
      <c r="P776" s="582">
        <v>0</v>
      </c>
      <c r="Q776" s="589"/>
      <c r="R776" s="576"/>
      <c r="S776" s="583">
        <f t="shared" si="85"/>
        <v>0</v>
      </c>
      <c r="T776" s="580">
        <f t="shared" si="86"/>
        <v>0</v>
      </c>
      <c r="U776" s="51"/>
      <c r="V776" s="2119"/>
      <c r="W776" s="2116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82"/>
        <v>7653</v>
      </c>
      <c r="O777" s="575">
        <v>0</v>
      </c>
      <c r="P777" s="582">
        <v>0</v>
      </c>
      <c r="Q777" s="589"/>
      <c r="R777" s="576"/>
      <c r="S777" s="583">
        <f t="shared" si="85"/>
        <v>0</v>
      </c>
      <c r="T777" s="580">
        <f t="shared" si="86"/>
        <v>0</v>
      </c>
      <c r="U777" s="51"/>
      <c r="V777" s="2119"/>
      <c r="W777" s="2116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82"/>
        <v>7654</v>
      </c>
      <c r="O778" s="575">
        <v>0</v>
      </c>
      <c r="P778" s="582">
        <v>0</v>
      </c>
      <c r="Q778" s="589"/>
      <c r="R778" s="576"/>
      <c r="S778" s="583">
        <f t="shared" si="85"/>
        <v>0</v>
      </c>
      <c r="T778" s="580">
        <f t="shared" si="86"/>
        <v>0</v>
      </c>
      <c r="U778" s="51"/>
      <c r="V778" s="2119"/>
      <c r="W778" s="2116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82"/>
        <v>7655</v>
      </c>
      <c r="O779" s="575">
        <v>0</v>
      </c>
      <c r="P779" s="582">
        <v>0</v>
      </c>
      <c r="Q779" s="589"/>
      <c r="R779" s="576"/>
      <c r="S779" s="583">
        <f t="shared" si="85"/>
        <v>0</v>
      </c>
      <c r="T779" s="580">
        <f t="shared" si="86"/>
        <v>0</v>
      </c>
      <c r="U779" s="51"/>
      <c r="V779" s="2119"/>
      <c r="W779" s="2116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82"/>
        <v>7657</v>
      </c>
      <c r="O780" s="575">
        <v>0</v>
      </c>
      <c r="P780" s="582">
        <v>0</v>
      </c>
      <c r="Q780" s="589"/>
      <c r="R780" s="576"/>
      <c r="S780" s="583">
        <f t="shared" si="85"/>
        <v>0</v>
      </c>
      <c r="T780" s="580">
        <f t="shared" si="86"/>
        <v>0</v>
      </c>
      <c r="U780" s="51"/>
      <c r="V780" s="2119"/>
      <c r="W780" s="2116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82"/>
        <v>7658</v>
      </c>
      <c r="O781" s="575">
        <v>0</v>
      </c>
      <c r="P781" s="582">
        <v>0</v>
      </c>
      <c r="Q781" s="589"/>
      <c r="R781" s="576"/>
      <c r="S781" s="583">
        <f t="shared" si="85"/>
        <v>0</v>
      </c>
      <c r="T781" s="580">
        <f t="shared" si="86"/>
        <v>0</v>
      </c>
      <c r="U781" s="51"/>
      <c r="V781" s="2119"/>
      <c r="W781" s="2116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82"/>
        <v>7672</v>
      </c>
      <c r="O782" s="575">
        <v>0</v>
      </c>
      <c r="P782" s="582">
        <v>0</v>
      </c>
      <c r="Q782" s="589"/>
      <c r="R782" s="576"/>
      <c r="S782" s="583">
        <f t="shared" si="85"/>
        <v>0</v>
      </c>
      <c r="T782" s="580">
        <f t="shared" si="86"/>
        <v>0</v>
      </c>
      <c r="U782" s="51"/>
      <c r="V782" s="2119"/>
      <c r="W782" s="2116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82"/>
        <v>7673</v>
      </c>
      <c r="O783" s="575">
        <v>0</v>
      </c>
      <c r="P783" s="582">
        <v>0</v>
      </c>
      <c r="Q783" s="589"/>
      <c r="R783" s="576"/>
      <c r="S783" s="583">
        <f t="shared" si="85"/>
        <v>0</v>
      </c>
      <c r="T783" s="580">
        <f t="shared" si="86"/>
        <v>0</v>
      </c>
      <c r="U783" s="51"/>
      <c r="V783" s="2119"/>
      <c r="W783" s="2116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82"/>
        <v>7674</v>
      </c>
      <c r="O784" s="575">
        <v>0</v>
      </c>
      <c r="P784" s="582">
        <v>0</v>
      </c>
      <c r="Q784" s="589"/>
      <c r="R784" s="576"/>
      <c r="S784" s="583">
        <f t="shared" si="85"/>
        <v>0</v>
      </c>
      <c r="T784" s="580">
        <f t="shared" si="86"/>
        <v>0</v>
      </c>
      <c r="U784" s="51"/>
      <c r="V784" s="2119"/>
      <c r="W784" s="2116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82"/>
        <v>7675</v>
      </c>
      <c r="O785" s="575">
        <v>0</v>
      </c>
      <c r="P785" s="582">
        <v>0</v>
      </c>
      <c r="Q785" s="589"/>
      <c r="R785" s="576"/>
      <c r="S785" s="583">
        <f t="shared" si="85"/>
        <v>0</v>
      </c>
      <c r="T785" s="580">
        <f t="shared" si="86"/>
        <v>0</v>
      </c>
      <c r="U785" s="51"/>
      <c r="V785" s="2119"/>
      <c r="W785" s="2116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82"/>
        <v>7677</v>
      </c>
      <c r="O786" s="575">
        <v>0</v>
      </c>
      <c r="P786" s="582">
        <v>0</v>
      </c>
      <c r="Q786" s="589"/>
      <c r="R786" s="576"/>
      <c r="S786" s="583">
        <f t="shared" si="85"/>
        <v>0</v>
      </c>
      <c r="T786" s="580">
        <f t="shared" si="86"/>
        <v>0</v>
      </c>
      <c r="U786" s="51"/>
      <c r="V786" s="2119"/>
      <c r="W786" s="2116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82"/>
        <v>7678</v>
      </c>
      <c r="O787" s="575">
        <v>0</v>
      </c>
      <c r="P787" s="582">
        <v>0</v>
      </c>
      <c r="Q787" s="589"/>
      <c r="R787" s="576"/>
      <c r="S787" s="583">
        <f t="shared" si="85"/>
        <v>0</v>
      </c>
      <c r="T787" s="580">
        <f t="shared" si="86"/>
        <v>0</v>
      </c>
      <c r="U787" s="51"/>
      <c r="V787" s="2119"/>
      <c r="W787" s="2116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82"/>
        <v>7682</v>
      </c>
      <c r="O788" s="575">
        <v>0</v>
      </c>
      <c r="P788" s="582">
        <v>0</v>
      </c>
      <c r="Q788" s="589"/>
      <c r="R788" s="576"/>
      <c r="S788" s="583">
        <f t="shared" si="85"/>
        <v>0</v>
      </c>
      <c r="T788" s="580">
        <f t="shared" si="86"/>
        <v>0</v>
      </c>
      <c r="U788" s="51"/>
      <c r="V788" s="2119"/>
      <c r="W788" s="2116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82"/>
        <v>7684</v>
      </c>
      <c r="O789" s="575">
        <v>0</v>
      </c>
      <c r="P789" s="582">
        <v>0</v>
      </c>
      <c r="Q789" s="589"/>
      <c r="R789" s="576"/>
      <c r="S789" s="583">
        <f t="shared" si="85"/>
        <v>0</v>
      </c>
      <c r="T789" s="580">
        <f t="shared" si="86"/>
        <v>0</v>
      </c>
      <c r="U789" s="51"/>
      <c r="V789" s="2119"/>
      <c r="W789" s="2116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82"/>
        <v>7685</v>
      </c>
      <c r="O790" s="575">
        <v>0</v>
      </c>
      <c r="P790" s="582">
        <v>0</v>
      </c>
      <c r="Q790" s="589"/>
      <c r="R790" s="576"/>
      <c r="S790" s="583">
        <f t="shared" si="85"/>
        <v>0</v>
      </c>
      <c r="T790" s="580">
        <f t="shared" si="86"/>
        <v>0</v>
      </c>
      <c r="U790" s="51"/>
      <c r="V790" s="2119"/>
      <c r="W790" s="2116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82"/>
        <v>7689</v>
      </c>
      <c r="O791" s="575">
        <v>0</v>
      </c>
      <c r="P791" s="582">
        <v>0</v>
      </c>
      <c r="Q791" s="589"/>
      <c r="R791" s="576"/>
      <c r="S791" s="583">
        <f t="shared" si="85"/>
        <v>0</v>
      </c>
      <c r="T791" s="580">
        <f t="shared" si="86"/>
        <v>0</v>
      </c>
      <c r="U791" s="51"/>
      <c r="V791" s="2119"/>
      <c r="W791" s="2116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82"/>
        <v>7692</v>
      </c>
      <c r="O792" s="575">
        <v>0</v>
      </c>
      <c r="P792" s="582">
        <v>0</v>
      </c>
      <c r="Q792" s="589"/>
      <c r="R792" s="576"/>
      <c r="S792" s="583">
        <f t="shared" ref="S792:S803" si="87">+IF(ABS(+O792+Q792)&gt;=ABS(P792+R792),+O792-P792+Q792-R792,0)</f>
        <v>0</v>
      </c>
      <c r="T792" s="580">
        <f t="shared" si="86"/>
        <v>0</v>
      </c>
      <c r="U792" s="51"/>
      <c r="V792" s="2119"/>
      <c r="W792" s="2116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82"/>
        <v>7693</v>
      </c>
      <c r="O793" s="575">
        <v>0</v>
      </c>
      <c r="P793" s="582">
        <v>0</v>
      </c>
      <c r="Q793" s="589"/>
      <c r="R793" s="576"/>
      <c r="S793" s="583">
        <f t="shared" si="87"/>
        <v>0</v>
      </c>
      <c r="T793" s="580">
        <f t="shared" si="86"/>
        <v>0</v>
      </c>
      <c r="U793" s="51"/>
      <c r="V793" s="2119"/>
      <c r="W793" s="2116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88">+A794</f>
        <v>7694</v>
      </c>
      <c r="O794" s="575">
        <v>0</v>
      </c>
      <c r="P794" s="582">
        <v>0</v>
      </c>
      <c r="Q794" s="589"/>
      <c r="R794" s="576"/>
      <c r="S794" s="583">
        <f t="shared" si="87"/>
        <v>0</v>
      </c>
      <c r="T794" s="580">
        <f t="shared" si="86"/>
        <v>0</v>
      </c>
      <c r="U794" s="51"/>
      <c r="V794" s="2119"/>
      <c r="W794" s="2116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88"/>
        <v>7695</v>
      </c>
      <c r="O795" s="575">
        <v>0</v>
      </c>
      <c r="P795" s="582">
        <v>0</v>
      </c>
      <c r="Q795" s="589"/>
      <c r="R795" s="576"/>
      <c r="S795" s="583">
        <f t="shared" si="87"/>
        <v>0</v>
      </c>
      <c r="T795" s="580">
        <f t="shared" si="86"/>
        <v>0</v>
      </c>
      <c r="U795" s="51"/>
      <c r="V795" s="2119"/>
      <c r="W795" s="2116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88"/>
        <v>7697</v>
      </c>
      <c r="O796" s="575">
        <v>0</v>
      </c>
      <c r="P796" s="582">
        <v>0</v>
      </c>
      <c r="Q796" s="589"/>
      <c r="R796" s="576"/>
      <c r="S796" s="583">
        <f t="shared" si="87"/>
        <v>0</v>
      </c>
      <c r="T796" s="580">
        <f t="shared" si="86"/>
        <v>0</v>
      </c>
      <c r="U796" s="51"/>
      <c r="V796" s="2119"/>
      <c r="W796" s="2116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88"/>
        <v>7698</v>
      </c>
      <c r="O797" s="575">
        <v>0</v>
      </c>
      <c r="P797" s="582">
        <v>0</v>
      </c>
      <c r="Q797" s="589"/>
      <c r="R797" s="576"/>
      <c r="S797" s="583">
        <f t="shared" si="87"/>
        <v>0</v>
      </c>
      <c r="T797" s="580">
        <f t="shared" si="86"/>
        <v>0</v>
      </c>
      <c r="U797" s="51"/>
      <c r="V797" s="2119"/>
      <c r="W797" s="2116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88"/>
        <v>7699</v>
      </c>
      <c r="O798" s="575">
        <v>0</v>
      </c>
      <c r="P798" s="582">
        <v>0</v>
      </c>
      <c r="Q798" s="589"/>
      <c r="R798" s="576"/>
      <c r="S798" s="583">
        <f t="shared" si="87"/>
        <v>0</v>
      </c>
      <c r="T798" s="580">
        <f t="shared" ref="T798:T804" si="89">+IF(ABS(+O798+Q798)&lt;=ABS(P798+R798),-O798+P798-Q798+R798,0)</f>
        <v>0</v>
      </c>
      <c r="U798" s="51"/>
      <c r="V798" s="2119"/>
      <c r="W798" s="2116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88"/>
        <v>7801</v>
      </c>
      <c r="O799" s="575">
        <v>0</v>
      </c>
      <c r="P799" s="582">
        <v>0</v>
      </c>
      <c r="Q799" s="589"/>
      <c r="R799" s="576"/>
      <c r="S799" s="583">
        <f t="shared" si="87"/>
        <v>0</v>
      </c>
      <c r="T799" s="580">
        <f t="shared" si="89"/>
        <v>0</v>
      </c>
      <c r="U799" s="51"/>
      <c r="V799" s="2119"/>
      <c r="W799" s="2116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88"/>
        <v>7802</v>
      </c>
      <c r="O800" s="575">
        <v>0</v>
      </c>
      <c r="P800" s="582">
        <v>0</v>
      </c>
      <c r="Q800" s="589"/>
      <c r="R800" s="576"/>
      <c r="S800" s="583">
        <f t="shared" si="87"/>
        <v>0</v>
      </c>
      <c r="T800" s="580">
        <f t="shared" si="89"/>
        <v>0</v>
      </c>
      <c r="U800" s="51"/>
      <c r="V800" s="2119"/>
      <c r="W800" s="2116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88"/>
        <v>7803</v>
      </c>
      <c r="O801" s="575">
        <v>0</v>
      </c>
      <c r="P801" s="582">
        <v>0</v>
      </c>
      <c r="Q801" s="589"/>
      <c r="R801" s="576"/>
      <c r="S801" s="583">
        <f t="shared" si="87"/>
        <v>0</v>
      </c>
      <c r="T801" s="580">
        <f t="shared" si="89"/>
        <v>0</v>
      </c>
      <c r="U801" s="51"/>
      <c r="V801" s="2119"/>
      <c r="W801" s="2116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88"/>
        <v>7804</v>
      </c>
      <c r="O802" s="575">
        <v>0</v>
      </c>
      <c r="P802" s="582">
        <v>0</v>
      </c>
      <c r="Q802" s="589"/>
      <c r="R802" s="576"/>
      <c r="S802" s="583">
        <f t="shared" si="87"/>
        <v>0</v>
      </c>
      <c r="T802" s="580">
        <f t="shared" si="89"/>
        <v>0</v>
      </c>
      <c r="U802" s="51"/>
      <c r="V802" s="2119"/>
      <c r="W802" s="2116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88"/>
        <v>7807</v>
      </c>
      <c r="O803" s="575">
        <v>0</v>
      </c>
      <c r="P803" s="582">
        <v>0</v>
      </c>
      <c r="Q803" s="589"/>
      <c r="R803" s="576"/>
      <c r="S803" s="583">
        <f t="shared" si="87"/>
        <v>0</v>
      </c>
      <c r="T803" s="580">
        <f t="shared" si="89"/>
        <v>0</v>
      </c>
      <c r="U803" s="51"/>
      <c r="V803" s="2119"/>
      <c r="W803" s="2116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88"/>
        <v>7808</v>
      </c>
      <c r="O804" s="575">
        <v>0</v>
      </c>
      <c r="P804" s="582">
        <v>0</v>
      </c>
      <c r="Q804" s="589"/>
      <c r="R804" s="576"/>
      <c r="S804" s="583">
        <f t="shared" ref="S804:S828" si="90">+IF(ABS(+O804+Q804)&gt;=ABS(P804+R804),+O804-P804+Q804-R804,0)</f>
        <v>0</v>
      </c>
      <c r="T804" s="580">
        <f t="shared" si="89"/>
        <v>0</v>
      </c>
      <c r="U804" s="51"/>
      <c r="V804" s="2119"/>
      <c r="W804" s="2116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88"/>
        <v>7901</v>
      </c>
      <c r="O805" s="575">
        <v>0</v>
      </c>
      <c r="P805" s="582">
        <v>0</v>
      </c>
      <c r="Q805" s="589"/>
      <c r="R805" s="576"/>
      <c r="S805" s="583">
        <f t="shared" si="90"/>
        <v>0</v>
      </c>
      <c r="T805" s="580">
        <f t="shared" ref="T805:T828" si="91">+IF(ABS(+O805+Q805)&lt;=ABS(P805+R805),-O805+P805-Q805+R805,0)</f>
        <v>0</v>
      </c>
      <c r="U805" s="51"/>
      <c r="V805" s="2119"/>
      <c r="W805" s="2116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88"/>
        <v>7902</v>
      </c>
      <c r="O806" s="575">
        <v>0</v>
      </c>
      <c r="P806" s="582">
        <v>0</v>
      </c>
      <c r="Q806" s="589"/>
      <c r="R806" s="576"/>
      <c r="S806" s="583">
        <f t="shared" si="90"/>
        <v>0</v>
      </c>
      <c r="T806" s="580">
        <f t="shared" si="91"/>
        <v>0</v>
      </c>
      <c r="U806" s="51"/>
      <c r="V806" s="2119"/>
      <c r="W806" s="2116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88"/>
        <v>7903</v>
      </c>
      <c r="O807" s="575">
        <v>0</v>
      </c>
      <c r="P807" s="582">
        <v>0</v>
      </c>
      <c r="Q807" s="589"/>
      <c r="R807" s="576"/>
      <c r="S807" s="583">
        <f t="shared" si="90"/>
        <v>0</v>
      </c>
      <c r="T807" s="580">
        <f t="shared" si="91"/>
        <v>0</v>
      </c>
      <c r="U807" s="51"/>
      <c r="V807" s="2119"/>
      <c r="W807" s="2116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88"/>
        <v>7904</v>
      </c>
      <c r="O808" s="575">
        <v>0</v>
      </c>
      <c r="P808" s="582">
        <v>0</v>
      </c>
      <c r="Q808" s="589"/>
      <c r="R808" s="576"/>
      <c r="S808" s="583">
        <f t="shared" si="90"/>
        <v>0</v>
      </c>
      <c r="T808" s="580">
        <f t="shared" si="91"/>
        <v>0</v>
      </c>
      <c r="U808" s="51"/>
      <c r="V808" s="2119"/>
      <c r="W808" s="2116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88"/>
        <v>7905</v>
      </c>
      <c r="O809" s="575">
        <v>0</v>
      </c>
      <c r="P809" s="582">
        <v>0</v>
      </c>
      <c r="Q809" s="589"/>
      <c r="R809" s="576"/>
      <c r="S809" s="583">
        <f t="shared" si="90"/>
        <v>0</v>
      </c>
      <c r="T809" s="580">
        <f t="shared" si="91"/>
        <v>0</v>
      </c>
      <c r="U809" s="51"/>
      <c r="V809" s="2119"/>
      <c r="W809" s="2116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88"/>
        <v>7906</v>
      </c>
      <c r="O810" s="575">
        <v>0</v>
      </c>
      <c r="P810" s="582">
        <v>0</v>
      </c>
      <c r="Q810" s="589"/>
      <c r="R810" s="576"/>
      <c r="S810" s="583">
        <f t="shared" si="90"/>
        <v>0</v>
      </c>
      <c r="T810" s="580">
        <f t="shared" si="91"/>
        <v>0</v>
      </c>
      <c r="U810" s="51"/>
      <c r="V810" s="2119"/>
      <c r="W810" s="2116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88"/>
        <v>7911</v>
      </c>
      <c r="O811" s="575">
        <v>0</v>
      </c>
      <c r="P811" s="582">
        <v>0</v>
      </c>
      <c r="Q811" s="589"/>
      <c r="R811" s="576"/>
      <c r="S811" s="583">
        <f t="shared" si="90"/>
        <v>0</v>
      </c>
      <c r="T811" s="580">
        <f t="shared" si="91"/>
        <v>0</v>
      </c>
      <c r="U811" s="51"/>
      <c r="V811" s="2119"/>
      <c r="W811" s="2116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88"/>
        <v>7912</v>
      </c>
      <c r="O812" s="575">
        <v>0</v>
      </c>
      <c r="P812" s="582">
        <v>0</v>
      </c>
      <c r="Q812" s="589"/>
      <c r="R812" s="576"/>
      <c r="S812" s="583">
        <f t="shared" si="90"/>
        <v>0</v>
      </c>
      <c r="T812" s="580">
        <f t="shared" si="91"/>
        <v>0</v>
      </c>
      <c r="U812" s="51"/>
      <c r="V812" s="2119"/>
      <c r="W812" s="2116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88"/>
        <v>7915</v>
      </c>
      <c r="O813" s="575">
        <v>0</v>
      </c>
      <c r="P813" s="582">
        <v>0</v>
      </c>
      <c r="Q813" s="589"/>
      <c r="R813" s="576"/>
      <c r="S813" s="583">
        <f t="shared" si="90"/>
        <v>0</v>
      </c>
      <c r="T813" s="580">
        <f t="shared" si="91"/>
        <v>0</v>
      </c>
      <c r="U813" s="51"/>
      <c r="V813" s="2119"/>
      <c r="W813" s="2116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88"/>
        <v>7916</v>
      </c>
      <c r="O814" s="575">
        <v>0</v>
      </c>
      <c r="P814" s="582">
        <v>0</v>
      </c>
      <c r="Q814" s="589"/>
      <c r="R814" s="576"/>
      <c r="S814" s="583">
        <f t="shared" si="90"/>
        <v>0</v>
      </c>
      <c r="T814" s="580">
        <f t="shared" si="91"/>
        <v>0</v>
      </c>
      <c r="U814" s="51"/>
      <c r="V814" s="2119"/>
      <c r="W814" s="2116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88"/>
        <v>7917</v>
      </c>
      <c r="O815" s="575">
        <v>0</v>
      </c>
      <c r="P815" s="582">
        <v>0</v>
      </c>
      <c r="Q815" s="589"/>
      <c r="R815" s="576"/>
      <c r="S815" s="583">
        <f t="shared" si="90"/>
        <v>0</v>
      </c>
      <c r="T815" s="580">
        <f t="shared" si="91"/>
        <v>0</v>
      </c>
      <c r="U815" s="51"/>
      <c r="V815" s="2119"/>
      <c r="W815" s="2116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88"/>
        <v>7918</v>
      </c>
      <c r="O816" s="575">
        <v>0</v>
      </c>
      <c r="P816" s="582">
        <v>0</v>
      </c>
      <c r="Q816" s="589"/>
      <c r="R816" s="576"/>
      <c r="S816" s="583">
        <f t="shared" si="90"/>
        <v>0</v>
      </c>
      <c r="T816" s="580">
        <f t="shared" si="91"/>
        <v>0</v>
      </c>
      <c r="U816" s="51"/>
      <c r="V816" s="2119"/>
      <c r="W816" s="2116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88"/>
        <v>7922</v>
      </c>
      <c r="O817" s="575">
        <v>0</v>
      </c>
      <c r="P817" s="582">
        <v>0</v>
      </c>
      <c r="Q817" s="589"/>
      <c r="R817" s="576"/>
      <c r="S817" s="583">
        <f t="shared" si="90"/>
        <v>0</v>
      </c>
      <c r="T817" s="580">
        <f t="shared" si="91"/>
        <v>0</v>
      </c>
      <c r="U817" s="51"/>
      <c r="V817" s="2119"/>
      <c r="W817" s="2116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88"/>
        <v>7923</v>
      </c>
      <c r="O818" s="575">
        <v>0</v>
      </c>
      <c r="P818" s="582">
        <v>0</v>
      </c>
      <c r="Q818" s="589"/>
      <c r="R818" s="576"/>
      <c r="S818" s="583">
        <f t="shared" si="90"/>
        <v>0</v>
      </c>
      <c r="T818" s="580">
        <f t="shared" si="91"/>
        <v>0</v>
      </c>
      <c r="U818" s="51"/>
      <c r="V818" s="2119"/>
      <c r="W818" s="2116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88"/>
        <v>7924</v>
      </c>
      <c r="O819" s="575">
        <v>0</v>
      </c>
      <c r="P819" s="582">
        <v>0</v>
      </c>
      <c r="Q819" s="589"/>
      <c r="R819" s="576"/>
      <c r="S819" s="583">
        <f t="shared" si="90"/>
        <v>0</v>
      </c>
      <c r="T819" s="580">
        <f t="shared" si="91"/>
        <v>0</v>
      </c>
      <c r="U819" s="51"/>
      <c r="V819" s="2119"/>
      <c r="W819" s="2116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88"/>
        <v>7925</v>
      </c>
      <c r="O820" s="575">
        <v>0</v>
      </c>
      <c r="P820" s="582">
        <v>0</v>
      </c>
      <c r="Q820" s="589"/>
      <c r="R820" s="576"/>
      <c r="S820" s="583">
        <f t="shared" si="90"/>
        <v>0</v>
      </c>
      <c r="T820" s="580">
        <f t="shared" si="91"/>
        <v>0</v>
      </c>
      <c r="U820" s="51"/>
      <c r="V820" s="2119"/>
      <c r="W820" s="2116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88"/>
        <v>7926</v>
      </c>
      <c r="O821" s="575">
        <v>0</v>
      </c>
      <c r="P821" s="582">
        <v>0</v>
      </c>
      <c r="Q821" s="589"/>
      <c r="R821" s="576"/>
      <c r="S821" s="583">
        <f t="shared" si="90"/>
        <v>0</v>
      </c>
      <c r="T821" s="580">
        <f t="shared" si="91"/>
        <v>0</v>
      </c>
      <c r="U821" s="51"/>
      <c r="V821" s="2119"/>
      <c r="W821" s="2116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88"/>
        <v>7992</v>
      </c>
      <c r="O822" s="575">
        <v>0</v>
      </c>
      <c r="P822" s="582">
        <v>0</v>
      </c>
      <c r="Q822" s="589"/>
      <c r="R822" s="576"/>
      <c r="S822" s="583">
        <f t="shared" si="90"/>
        <v>0</v>
      </c>
      <c r="T822" s="580">
        <f t="shared" si="91"/>
        <v>0</v>
      </c>
      <c r="U822" s="51"/>
      <c r="V822" s="2119"/>
      <c r="W822" s="2116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88"/>
        <v>7993</v>
      </c>
      <c r="O823" s="575">
        <v>0</v>
      </c>
      <c r="P823" s="582">
        <v>0</v>
      </c>
      <c r="Q823" s="589"/>
      <c r="R823" s="576"/>
      <c r="S823" s="583">
        <f t="shared" si="90"/>
        <v>0</v>
      </c>
      <c r="T823" s="580">
        <f t="shared" si="91"/>
        <v>0</v>
      </c>
      <c r="U823" s="51"/>
      <c r="V823" s="2119"/>
      <c r="W823" s="2116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88"/>
        <v>7994</v>
      </c>
      <c r="O824" s="575">
        <v>0</v>
      </c>
      <c r="P824" s="582">
        <v>0</v>
      </c>
      <c r="Q824" s="589"/>
      <c r="R824" s="576"/>
      <c r="S824" s="583">
        <f t="shared" si="90"/>
        <v>0</v>
      </c>
      <c r="T824" s="580">
        <f t="shared" si="91"/>
        <v>0</v>
      </c>
      <c r="U824" s="51"/>
      <c r="V824" s="2119"/>
      <c r="W824" s="2116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88"/>
        <v>7995</v>
      </c>
      <c r="O825" s="575">
        <v>0</v>
      </c>
      <c r="P825" s="582">
        <v>0</v>
      </c>
      <c r="Q825" s="589"/>
      <c r="R825" s="576"/>
      <c r="S825" s="583">
        <f t="shared" si="90"/>
        <v>0</v>
      </c>
      <c r="T825" s="580">
        <f t="shared" si="91"/>
        <v>0</v>
      </c>
      <c r="U825" s="51"/>
      <c r="V825" s="2119"/>
      <c r="W825" s="2116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88"/>
        <v>7996</v>
      </c>
      <c r="O826" s="575">
        <v>0</v>
      </c>
      <c r="P826" s="582">
        <v>0</v>
      </c>
      <c r="Q826" s="589"/>
      <c r="R826" s="576"/>
      <c r="S826" s="583">
        <f t="shared" si="90"/>
        <v>0</v>
      </c>
      <c r="T826" s="580">
        <f t="shared" si="91"/>
        <v>0</v>
      </c>
      <c r="U826" s="51"/>
      <c r="V826" s="2119"/>
      <c r="W826" s="2116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88"/>
        <v>7997</v>
      </c>
      <c r="O827" s="575">
        <v>0</v>
      </c>
      <c r="P827" s="582">
        <v>0</v>
      </c>
      <c r="Q827" s="589"/>
      <c r="R827" s="576"/>
      <c r="S827" s="583">
        <f t="shared" si="90"/>
        <v>0</v>
      </c>
      <c r="T827" s="580">
        <f t="shared" si="91"/>
        <v>0</v>
      </c>
      <c r="U827" s="51"/>
      <c r="V827" s="2119"/>
      <c r="W827" s="2116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88"/>
        <v>7998</v>
      </c>
      <c r="O828" s="575">
        <v>0</v>
      </c>
      <c r="P828" s="582">
        <v>0</v>
      </c>
      <c r="Q828" s="589"/>
      <c r="R828" s="576"/>
      <c r="S828" s="583">
        <f t="shared" si="90"/>
        <v>0</v>
      </c>
      <c r="T828" s="580">
        <f t="shared" si="91"/>
        <v>0</v>
      </c>
      <c r="U828" s="51"/>
      <c r="V828" s="2119"/>
      <c r="W828" s="2116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8" t="str">
        <f>+E12</f>
        <v>D M P</v>
      </c>
      <c r="J829" s="2648"/>
      <c r="K829" s="2648"/>
      <c r="L829" s="96"/>
      <c r="M829" s="51"/>
      <c r="N829" s="128" t="s">
        <v>666</v>
      </c>
      <c r="O829" s="867">
        <f t="shared" ref="O829:T829" si="92">+ROUND(+SUM(O14:O828),2)</f>
        <v>0</v>
      </c>
      <c r="P829" s="868">
        <f t="shared" si="92"/>
        <v>0</v>
      </c>
      <c r="Q829" s="869">
        <f t="shared" si="92"/>
        <v>0</v>
      </c>
      <c r="R829" s="870">
        <f t="shared" si="92"/>
        <v>0</v>
      </c>
      <c r="S829" s="871">
        <f t="shared" si="92"/>
        <v>0</v>
      </c>
      <c r="T829" s="872">
        <f t="shared" si="92"/>
        <v>0</v>
      </c>
      <c r="U829" s="51"/>
      <c r="V829" s="2119"/>
      <c r="W829" s="2116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2116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9" t="str">
        <f>+I829</f>
        <v>D M P</v>
      </c>
      <c r="J831" s="2649"/>
      <c r="K831" s="264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2116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35"/>
      <c r="P832" s="836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2116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93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2116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93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2116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93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2116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93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2116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93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2116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93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2116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93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2116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93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2116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93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2116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93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2116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93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2116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93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2116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93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2116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93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2116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93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2116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93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94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2116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93"/>
        <v>9800</v>
      </c>
      <c r="O849" s="575">
        <v>0</v>
      </c>
      <c r="P849" s="582">
        <v>0</v>
      </c>
      <c r="Q849" s="589"/>
      <c r="R849" s="576"/>
      <c r="S849" s="583">
        <f t="shared" ref="S849:S867" si="95">+IF(ABS(+O849+Q849)&gt;=ABS(P849+R849),+O849-P849+Q849-R849,0)</f>
        <v>0</v>
      </c>
      <c r="T849" s="580">
        <f t="shared" si="94"/>
        <v>0</v>
      </c>
      <c r="U849" s="51"/>
      <c r="V849" s="2119"/>
      <c r="W849" s="2116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93"/>
        <v>9801</v>
      </c>
      <c r="O850" s="575">
        <v>0</v>
      </c>
      <c r="P850" s="582">
        <v>0</v>
      </c>
      <c r="Q850" s="589"/>
      <c r="R850" s="576"/>
      <c r="S850" s="583">
        <f t="shared" si="95"/>
        <v>0</v>
      </c>
      <c r="T850" s="580">
        <f t="shared" si="94"/>
        <v>0</v>
      </c>
      <c r="U850" s="51"/>
      <c r="V850" s="2119"/>
      <c r="W850" s="2116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93"/>
        <v>9803</v>
      </c>
      <c r="O851" s="575">
        <v>0</v>
      </c>
      <c r="P851" s="582">
        <v>0</v>
      </c>
      <c r="Q851" s="589"/>
      <c r="R851" s="576"/>
      <c r="S851" s="583">
        <f t="shared" si="95"/>
        <v>0</v>
      </c>
      <c r="T851" s="580">
        <f t="shared" si="94"/>
        <v>0</v>
      </c>
      <c r="U851" s="51"/>
      <c r="V851" s="2119"/>
      <c r="W851" s="2116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93"/>
        <v>9804</v>
      </c>
      <c r="O852" s="575">
        <v>0</v>
      </c>
      <c r="P852" s="582">
        <v>0</v>
      </c>
      <c r="Q852" s="589"/>
      <c r="R852" s="576"/>
      <c r="S852" s="583">
        <f t="shared" si="95"/>
        <v>0</v>
      </c>
      <c r="T852" s="580">
        <f t="shared" si="94"/>
        <v>0</v>
      </c>
      <c r="U852" s="51"/>
      <c r="V852" s="2119"/>
      <c r="W852" s="2116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93"/>
        <v>9805</v>
      </c>
      <c r="O853" s="575">
        <v>0</v>
      </c>
      <c r="P853" s="582">
        <v>0</v>
      </c>
      <c r="Q853" s="589"/>
      <c r="R853" s="576"/>
      <c r="S853" s="583">
        <f t="shared" si="95"/>
        <v>0</v>
      </c>
      <c r="T853" s="580">
        <f t="shared" si="94"/>
        <v>0</v>
      </c>
      <c r="U853" s="51"/>
      <c r="V853" s="2119"/>
      <c r="W853" s="2116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93"/>
        <v>9806</v>
      </c>
      <c r="O854" s="575">
        <v>0</v>
      </c>
      <c r="P854" s="582">
        <v>0</v>
      </c>
      <c r="Q854" s="589"/>
      <c r="R854" s="576"/>
      <c r="S854" s="583">
        <f t="shared" si="95"/>
        <v>0</v>
      </c>
      <c r="T854" s="580">
        <f t="shared" si="94"/>
        <v>0</v>
      </c>
      <c r="U854" s="51"/>
      <c r="V854" s="2119"/>
      <c r="W854" s="2116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93"/>
        <v>9808</v>
      </c>
      <c r="O855" s="575">
        <v>0</v>
      </c>
      <c r="P855" s="582">
        <v>0</v>
      </c>
      <c r="Q855" s="589"/>
      <c r="R855" s="576"/>
      <c r="S855" s="583">
        <f t="shared" si="95"/>
        <v>0</v>
      </c>
      <c r="T855" s="580">
        <f t="shared" si="94"/>
        <v>0</v>
      </c>
      <c r="U855" s="51"/>
      <c r="V855" s="2119"/>
      <c r="W855" s="2116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93"/>
        <v>9809</v>
      </c>
      <c r="O856" s="575">
        <v>0</v>
      </c>
      <c r="P856" s="582">
        <v>0</v>
      </c>
      <c r="Q856" s="589"/>
      <c r="R856" s="576"/>
      <c r="S856" s="583">
        <f t="shared" si="95"/>
        <v>0</v>
      </c>
      <c r="T856" s="580">
        <f t="shared" si="94"/>
        <v>0</v>
      </c>
      <c r="U856" s="51"/>
      <c r="V856" s="2119"/>
      <c r="W856" s="2116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93"/>
        <v>9860</v>
      </c>
      <c r="O857" s="575">
        <v>0</v>
      </c>
      <c r="P857" s="582">
        <v>0</v>
      </c>
      <c r="Q857" s="589"/>
      <c r="R857" s="576"/>
      <c r="S857" s="583">
        <f t="shared" si="95"/>
        <v>0</v>
      </c>
      <c r="T857" s="580">
        <f t="shared" si="94"/>
        <v>0</v>
      </c>
      <c r="U857" s="51"/>
      <c r="V857" s="2119"/>
      <c r="W857" s="2116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96">+A858</f>
        <v>9909</v>
      </c>
      <c r="O858" s="581"/>
      <c r="P858" s="582">
        <v>0</v>
      </c>
      <c r="Q858" s="589"/>
      <c r="R858" s="576"/>
      <c r="S858" s="583">
        <f t="shared" si="95"/>
        <v>0</v>
      </c>
      <c r="T858" s="584">
        <v>0</v>
      </c>
      <c r="U858" s="51"/>
      <c r="V858" s="2120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116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96"/>
        <v>9911</v>
      </c>
      <c r="O859" s="581"/>
      <c r="P859" s="582">
        <v>0</v>
      </c>
      <c r="Q859" s="589"/>
      <c r="R859" s="576"/>
      <c r="S859" s="583">
        <f t="shared" si="95"/>
        <v>0</v>
      </c>
      <c r="T859" s="584">
        <v>0</v>
      </c>
      <c r="U859" s="51"/>
      <c r="V859" s="2120">
        <f t="shared" si="97"/>
        <v>0</v>
      </c>
      <c r="W859" s="2116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96"/>
        <v>9912</v>
      </c>
      <c r="O860" s="581"/>
      <c r="P860" s="582">
        <v>0</v>
      </c>
      <c r="Q860" s="589"/>
      <c r="R860" s="576"/>
      <c r="S860" s="583">
        <f t="shared" si="95"/>
        <v>0</v>
      </c>
      <c r="T860" s="584">
        <v>0</v>
      </c>
      <c r="U860" s="51"/>
      <c r="V860" s="2120">
        <f t="shared" si="97"/>
        <v>0</v>
      </c>
      <c r="W860" s="2116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96"/>
        <v>9913</v>
      </c>
      <c r="O861" s="581"/>
      <c r="P861" s="582">
        <v>0</v>
      </c>
      <c r="Q861" s="589"/>
      <c r="R861" s="576"/>
      <c r="S861" s="583">
        <f t="shared" si="95"/>
        <v>0</v>
      </c>
      <c r="T861" s="584">
        <v>0</v>
      </c>
      <c r="U861" s="51"/>
      <c r="V861" s="2120">
        <f t="shared" si="97"/>
        <v>0</v>
      </c>
      <c r="W861" s="2116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96"/>
        <v>9914</v>
      </c>
      <c r="O862" s="581"/>
      <c r="P862" s="582">
        <v>0</v>
      </c>
      <c r="Q862" s="589"/>
      <c r="R862" s="576"/>
      <c r="S862" s="583">
        <f t="shared" si="95"/>
        <v>0</v>
      </c>
      <c r="T862" s="584">
        <v>0</v>
      </c>
      <c r="U862" s="51"/>
      <c r="V862" s="2120">
        <f t="shared" si="97"/>
        <v>0</v>
      </c>
      <c r="W862" s="2116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96"/>
        <v>9915</v>
      </c>
      <c r="O863" s="581"/>
      <c r="P863" s="582">
        <v>0</v>
      </c>
      <c r="Q863" s="589"/>
      <c r="R863" s="576"/>
      <c r="S863" s="583">
        <f t="shared" si="95"/>
        <v>0</v>
      </c>
      <c r="T863" s="584">
        <v>0</v>
      </c>
      <c r="U863" s="51"/>
      <c r="V863" s="2120">
        <f t="shared" si="97"/>
        <v>0</v>
      </c>
      <c r="W863" s="2116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96"/>
        <v>9916</v>
      </c>
      <c r="O864" s="581"/>
      <c r="P864" s="582">
        <v>0</v>
      </c>
      <c r="Q864" s="589"/>
      <c r="R864" s="576"/>
      <c r="S864" s="583">
        <f t="shared" si="95"/>
        <v>0</v>
      </c>
      <c r="T864" s="584">
        <v>0</v>
      </c>
      <c r="U864" s="51"/>
      <c r="V864" s="2120">
        <f t="shared" si="97"/>
        <v>0</v>
      </c>
      <c r="W864" s="2116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96"/>
        <v>9917</v>
      </c>
      <c r="O865" s="581"/>
      <c r="P865" s="582">
        <v>0</v>
      </c>
      <c r="Q865" s="589"/>
      <c r="R865" s="576"/>
      <c r="S865" s="583">
        <f t="shared" si="95"/>
        <v>0</v>
      </c>
      <c r="T865" s="584">
        <v>0</v>
      </c>
      <c r="U865" s="51"/>
      <c r="V865" s="2120">
        <f t="shared" si="97"/>
        <v>0</v>
      </c>
      <c r="W865" s="2116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96"/>
        <v>9918</v>
      </c>
      <c r="O866" s="581"/>
      <c r="P866" s="582">
        <v>0</v>
      </c>
      <c r="Q866" s="589"/>
      <c r="R866" s="576"/>
      <c r="S866" s="583">
        <f t="shared" si="95"/>
        <v>0</v>
      </c>
      <c r="T866" s="584">
        <v>0</v>
      </c>
      <c r="U866" s="51"/>
      <c r="V866" s="2120">
        <f t="shared" si="97"/>
        <v>0</v>
      </c>
      <c r="W866" s="2116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96"/>
        <v>9919</v>
      </c>
      <c r="O867" s="581"/>
      <c r="P867" s="582">
        <v>0</v>
      </c>
      <c r="Q867" s="589"/>
      <c r="R867" s="576"/>
      <c r="S867" s="583">
        <f t="shared" si="95"/>
        <v>0</v>
      </c>
      <c r="T867" s="584">
        <v>0</v>
      </c>
      <c r="U867" s="51"/>
      <c r="V867" s="2120">
        <f t="shared" si="97"/>
        <v>0</v>
      </c>
      <c r="W867" s="2116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96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98">+IF(ABS(+O868+Q868)&lt;=ABS(P868+R868),-O868+P868-Q868+R868,0)</f>
        <v>0</v>
      </c>
      <c r="U868" s="51"/>
      <c r="V868" s="2119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116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96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98"/>
        <v>0</v>
      </c>
      <c r="U869" s="51"/>
      <c r="V869" s="2119">
        <f t="shared" si="99"/>
        <v>0</v>
      </c>
      <c r="W869" s="2116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96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98"/>
        <v>0</v>
      </c>
      <c r="U870" s="51"/>
      <c r="V870" s="2119">
        <f t="shared" si="99"/>
        <v>0</v>
      </c>
      <c r="W870" s="2116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96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98"/>
        <v>0</v>
      </c>
      <c r="U871" s="51"/>
      <c r="V871" s="2119">
        <f t="shared" si="99"/>
        <v>0</v>
      </c>
      <c r="W871" s="2116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96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98"/>
        <v>0</v>
      </c>
      <c r="U872" s="51"/>
      <c r="V872" s="2119">
        <f t="shared" si="99"/>
        <v>0</v>
      </c>
      <c r="W872" s="2116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96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98"/>
        <v>0</v>
      </c>
      <c r="U873" s="51"/>
      <c r="V873" s="2119">
        <f t="shared" si="99"/>
        <v>0</v>
      </c>
      <c r="W873" s="2116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96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98"/>
        <v>0</v>
      </c>
      <c r="U874" s="51"/>
      <c r="V874" s="2119">
        <f t="shared" si="99"/>
        <v>0</v>
      </c>
      <c r="W874" s="2116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96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98"/>
        <v>0</v>
      </c>
      <c r="U875" s="51"/>
      <c r="V875" s="2119">
        <f t="shared" si="99"/>
        <v>0</v>
      </c>
      <c r="W875" s="2116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96"/>
        <v>9940</v>
      </c>
      <c r="O876" s="575">
        <v>0</v>
      </c>
      <c r="P876" s="582">
        <v>0</v>
      </c>
      <c r="Q876" s="589"/>
      <c r="R876" s="576"/>
      <c r="S876" s="583">
        <f t="shared" ref="S876:S884" si="100">+IF(ABS(+O876+Q876)&gt;=ABS(P876+R876),+O876-P876+Q876-R876,0)</f>
        <v>0</v>
      </c>
      <c r="T876" s="580">
        <f t="shared" si="98"/>
        <v>0</v>
      </c>
      <c r="U876" s="51"/>
      <c r="V876" s="2119"/>
      <c r="W876" s="2116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96"/>
        <v>9941</v>
      </c>
      <c r="O877" s="575">
        <v>0</v>
      </c>
      <c r="P877" s="582">
        <v>0</v>
      </c>
      <c r="Q877" s="589"/>
      <c r="R877" s="576"/>
      <c r="S877" s="583">
        <f t="shared" si="100"/>
        <v>0</v>
      </c>
      <c r="T877" s="580">
        <f t="shared" si="98"/>
        <v>0</v>
      </c>
      <c r="U877" s="51"/>
      <c r="V877" s="2119"/>
      <c r="W877" s="2116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96"/>
        <v>9944</v>
      </c>
      <c r="O878" s="575">
        <v>0</v>
      </c>
      <c r="P878" s="582">
        <v>0</v>
      </c>
      <c r="Q878" s="589"/>
      <c r="R878" s="576"/>
      <c r="S878" s="583">
        <f t="shared" si="100"/>
        <v>0</v>
      </c>
      <c r="T878" s="580">
        <f t="shared" si="98"/>
        <v>0</v>
      </c>
      <c r="U878" s="51"/>
      <c r="V878" s="2119"/>
      <c r="W878" s="2116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96"/>
        <v>9945</v>
      </c>
      <c r="O879" s="575">
        <v>0</v>
      </c>
      <c r="P879" s="582">
        <v>0</v>
      </c>
      <c r="Q879" s="589"/>
      <c r="R879" s="576"/>
      <c r="S879" s="583">
        <f t="shared" si="100"/>
        <v>0</v>
      </c>
      <c r="T879" s="580">
        <f t="shared" si="98"/>
        <v>0</v>
      </c>
      <c r="U879" s="51"/>
      <c r="V879" s="2119"/>
      <c r="W879" s="2116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96"/>
        <v>9946</v>
      </c>
      <c r="O880" s="575">
        <v>0</v>
      </c>
      <c r="P880" s="582">
        <v>0</v>
      </c>
      <c r="Q880" s="589"/>
      <c r="R880" s="576"/>
      <c r="S880" s="583">
        <f t="shared" si="100"/>
        <v>0</v>
      </c>
      <c r="T880" s="580">
        <f t="shared" si="98"/>
        <v>0</v>
      </c>
      <c r="U880" s="51"/>
      <c r="V880" s="2119"/>
      <c r="W880" s="2116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96"/>
        <v>9947</v>
      </c>
      <c r="O881" s="575">
        <v>0</v>
      </c>
      <c r="P881" s="582">
        <v>0</v>
      </c>
      <c r="Q881" s="589"/>
      <c r="R881" s="576"/>
      <c r="S881" s="583">
        <f t="shared" si="100"/>
        <v>0</v>
      </c>
      <c r="T881" s="580">
        <f t="shared" si="98"/>
        <v>0</v>
      </c>
      <c r="U881" s="51"/>
      <c r="V881" s="2119"/>
      <c r="W881" s="2116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96"/>
        <v>9948</v>
      </c>
      <c r="O882" s="575">
        <v>0</v>
      </c>
      <c r="P882" s="582">
        <v>0</v>
      </c>
      <c r="Q882" s="589"/>
      <c r="R882" s="576"/>
      <c r="S882" s="583">
        <f t="shared" si="100"/>
        <v>0</v>
      </c>
      <c r="T882" s="580">
        <f t="shared" si="98"/>
        <v>0</v>
      </c>
      <c r="U882" s="51"/>
      <c r="V882" s="2119"/>
      <c r="W882" s="2116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96"/>
        <v>9949</v>
      </c>
      <c r="O883" s="575">
        <v>0</v>
      </c>
      <c r="P883" s="582">
        <v>0</v>
      </c>
      <c r="Q883" s="589"/>
      <c r="R883" s="576"/>
      <c r="S883" s="583">
        <f t="shared" si="100"/>
        <v>0</v>
      </c>
      <c r="T883" s="580">
        <f t="shared" si="98"/>
        <v>0</v>
      </c>
      <c r="U883" s="51"/>
      <c r="V883" s="2119"/>
      <c r="W883" s="2116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96"/>
        <v>9978</v>
      </c>
      <c r="O884" s="581"/>
      <c r="P884" s="582">
        <v>0</v>
      </c>
      <c r="Q884" s="589"/>
      <c r="R884" s="576"/>
      <c r="S884" s="583">
        <f t="shared" si="100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2116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96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2116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96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2116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38"/>
      <c r="P887" s="839">
        <v>0</v>
      </c>
      <c r="Q887" s="598"/>
      <c r="R887" s="597"/>
      <c r="S887" s="56">
        <f>+IF(ABS(+O887+Q887)&gt;=ABS(P887+R887),+O887-P887+Q887-R887,0)</f>
        <v>0</v>
      </c>
      <c r="T887" s="60">
        <v>0</v>
      </c>
      <c r="U887" s="51"/>
      <c r="V887" s="2119"/>
      <c r="W887" s="2116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51" t="str">
        <f>+I831</f>
        <v>D M P</v>
      </c>
      <c r="J888" s="2651"/>
      <c r="K888" s="2651"/>
      <c r="L888" s="105"/>
      <c r="M888" s="51"/>
      <c r="N888" s="117">
        <v>9</v>
      </c>
      <c r="O888" s="873">
        <f t="shared" ref="O888:T888" si="101">+ROUND(SUM(O831:O887),2)</f>
        <v>0</v>
      </c>
      <c r="P888" s="874">
        <f t="shared" si="101"/>
        <v>0</v>
      </c>
      <c r="Q888" s="875">
        <f t="shared" si="101"/>
        <v>0</v>
      </c>
      <c r="R888" s="874">
        <f t="shared" si="101"/>
        <v>0</v>
      </c>
      <c r="S888" s="876">
        <f t="shared" si="101"/>
        <v>0</v>
      </c>
      <c r="T888" s="877">
        <f t="shared" si="101"/>
        <v>0</v>
      </c>
      <c r="U888" s="51"/>
      <c r="V888" s="2119"/>
      <c r="W888" s="2116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2116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7" t="str">
        <f>+I888</f>
        <v>D M P</v>
      </c>
      <c r="J890" s="2647"/>
      <c r="K890" s="2647"/>
      <c r="L890" s="287"/>
      <c r="M890" s="51"/>
      <c r="N890" s="288" t="s">
        <v>665</v>
      </c>
      <c r="O890" s="878">
        <f t="shared" ref="O890:T890" si="102">+ROUND(+O829+O888,2)</f>
        <v>0</v>
      </c>
      <c r="P890" s="879">
        <f t="shared" si="102"/>
        <v>0</v>
      </c>
      <c r="Q890" s="880">
        <f t="shared" si="102"/>
        <v>0</v>
      </c>
      <c r="R890" s="879">
        <f t="shared" si="102"/>
        <v>0</v>
      </c>
      <c r="S890" s="880">
        <f t="shared" si="102"/>
        <v>0</v>
      </c>
      <c r="T890" s="881">
        <f t="shared" si="102"/>
        <v>0</v>
      </c>
      <c r="U890" s="51"/>
      <c r="V890" s="2119"/>
      <c r="W890" s="2116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2116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2116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2116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2116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2116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2116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116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116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116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116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116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116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116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116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116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116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116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116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116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MP-TRIAL-BAL-2021'!O149+'DMP-TRIAL-BAL-2021'!O154+'DMP-TRIAL-BAL-2021'!O155+'DMP-TRIAL-BAL-2021'!O229+'DMP-TRIAL-BAL-2021'!O230+'DMP-TRIAL-BAL-2021'!O231+'DMP-TRIAL-BAL-2021'!O249+'DMP-TRIAL-BAL-2021'!O250++'DMP-TRIAL-BAL-2021'!O306+'DMP-TRIAL-BAL-2021'!O307+'DMP-TRIAL-BAL-2021'!O308+SUM('DMP-TRIAL-BAL-2021'!O331:O335)+'DMP-TRIAL-BAL-2021'!O346+'DMP-TRIAL-BAL-2021'!O347+SUM('DMP-TRIAL-BAL-2021'!O360:'DMP-TRIAL-BAL-2021'!O363)+SUM('DMP-TRIAL-BAL-2021'!O377:'DMP-TRIAL-BAL-2021'!O379)</f>
        <v>0</v>
      </c>
      <c r="Q910" s="263">
        <v>0</v>
      </c>
      <c r="R910" s="264">
        <v>0</v>
      </c>
      <c r="S910" s="563" t="s">
        <v>148</v>
      </c>
      <c r="T910" s="465">
        <f>+'DMP-TRIAL-BAL-2021'!S149+'DMP-TRIAL-BAL-2021'!S154+'DMP-TRIAL-BAL-2021'!S155+'DMP-TRIAL-BAL-2021'!S229+'DMP-TRIAL-BAL-2021'!S230+'DMP-TRIAL-BAL-2021'!S231+'DMP-TRIAL-BAL-2021'!S249+'DMP-TRIAL-BAL-2021'!S250++'DMP-TRIAL-BAL-2021'!S306+'DMP-TRIAL-BAL-2021'!S307+'DMP-TRIAL-BAL-2021'!S308+SUM('DMP-TRIAL-BAL-2021'!S331:S335)+'DMP-TRIAL-BAL-2021'!S346+'DMP-TRIAL-BAL-2021'!S347+SUM('DMP-TRIAL-BAL-2021'!S360:'DMP-TRIAL-BAL-2021'!S363)+SUM('DMP-TRIAL-BAL-2021'!S377:'DMP-TRIAL-BAL-2021'!S379)</f>
        <v>0</v>
      </c>
      <c r="U910" s="51"/>
      <c r="V910" s="2119"/>
      <c r="W910" s="2116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+P22-O23+SUM('DMP-TRIAL-BAL-2021'!P41:P45)+SUM(P48:P49)+P65+P69+P151+P232+P233+P234+P251+P252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+T22-S23+SUM('DMP-TRIAL-BAL-2021'!T41:T45)+SUM(T48:T49)+T65+T69+T151+T232+T233+T234+T251+T252</f>
        <v>0</v>
      </c>
      <c r="U911" s="51"/>
      <c r="V911" s="2119"/>
      <c r="W911" s="2116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2116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2116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2116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2116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2116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2116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2116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2116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2116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2116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2116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2116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2116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2116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2116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2116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2116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2116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2116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2116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2116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2116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2116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2116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2116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2116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2116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2116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2116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2116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2116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2116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2116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2116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2116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2116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2116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2116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0" priority="1745" stopIfTrue="1" operator="lessThan">
      <formula>0</formula>
    </cfRule>
  </conditionalFormatting>
  <conditionalFormatting sqref="P898:P899 T898:T899 P904:P905 T904:T905 P907:P908 T907:T908 T910:T911 P910:P911">
    <cfRule type="cellIs" dxfId="299" priority="1746" stopIfTrue="1" operator="equal">
      <formula>0</formula>
    </cfRule>
  </conditionalFormatting>
  <conditionalFormatting sqref="M890 O890:U890 O829:U829 M888:U888">
    <cfRule type="cellIs" dxfId="298" priority="1747" stopIfTrue="1" operator="lessThan">
      <formula>0</formula>
    </cfRule>
  </conditionalFormatting>
  <conditionalFormatting sqref="O2 Q2 S2">
    <cfRule type="cellIs" dxfId="297" priority="1748" stopIfTrue="1" operator="equal">
      <formula>"""O K"""</formula>
    </cfRule>
  </conditionalFormatting>
  <conditionalFormatting sqref="T2 T4 R2 R4 P2 P4">
    <cfRule type="cellIs" dxfId="296" priority="1749" stopIfTrue="1" operator="equal">
      <formula>"O K"</formula>
    </cfRule>
    <cfRule type="cellIs" dxfId="295" priority="1750" stopIfTrue="1" operator="notEqual">
      <formula>"O K"</formula>
    </cfRule>
  </conditionalFormatting>
  <conditionalFormatting sqref="E12:F12">
    <cfRule type="cellIs" dxfId="294" priority="1751" stopIfTrue="1" operator="equal">
      <formula>0</formula>
    </cfRule>
  </conditionalFormatting>
  <conditionalFormatting sqref="E2:L2 C6:E6 G6:L6 C8">
    <cfRule type="cellIs" dxfId="293" priority="1753" stopIfTrue="1" operator="equal">
      <formula>0</formula>
    </cfRule>
  </conditionalFormatting>
  <conditionalFormatting sqref="Q763:R763">
    <cfRule type="cellIs" dxfId="292" priority="1735" stopIfTrue="1" operator="lessThan">
      <formula>0</formula>
    </cfRule>
  </conditionalFormatting>
  <conditionalFormatting sqref="G8:H8">
    <cfRule type="cellIs" dxfId="291" priority="1734" stopIfTrue="1" operator="equal">
      <formula>0</formula>
    </cfRule>
  </conditionalFormatting>
  <conditionalFormatting sqref="J8:L8">
    <cfRule type="cellIs" dxfId="290" priority="1733" stopIfTrue="1" operator="equal">
      <formula>0</formula>
    </cfRule>
  </conditionalFormatting>
  <conditionalFormatting sqref="P901:P902">
    <cfRule type="cellIs" dxfId="289" priority="1732" stopIfTrue="1" operator="equal">
      <formula>0</formula>
    </cfRule>
  </conditionalFormatting>
  <conditionalFormatting sqref="T901:T902">
    <cfRule type="cellIs" dxfId="288" priority="1731" stopIfTrue="1" operator="equal">
      <formula>0</formula>
    </cfRule>
  </conditionalFormatting>
  <conditionalFormatting sqref="N10">
    <cfRule type="cellIs" dxfId="287" priority="1730" stopIfTrue="1" operator="equal">
      <formula>0</formula>
    </cfRule>
  </conditionalFormatting>
  <conditionalFormatting sqref="O336:P337">
    <cfRule type="cellIs" dxfId="286" priority="1729" stopIfTrue="1" operator="lessThan">
      <formula>0</formula>
    </cfRule>
  </conditionalFormatting>
  <conditionalFormatting sqref="Q336:Q337">
    <cfRule type="cellIs" dxfId="285" priority="1728" stopIfTrue="1" operator="lessThan">
      <formula>0</formula>
    </cfRule>
  </conditionalFormatting>
  <conditionalFormatting sqref="E2:L2 C8">
    <cfRule type="cellIs" dxfId="284" priority="1727" stopIfTrue="1" operator="equal">
      <formula>0</formula>
    </cfRule>
  </conditionalFormatting>
  <conditionalFormatting sqref="K10:L10">
    <cfRule type="cellIs" dxfId="283" priority="1725" stopIfTrue="1" operator="equal">
      <formula>0</formula>
    </cfRule>
  </conditionalFormatting>
  <conditionalFormatting sqref="D4">
    <cfRule type="cellIs" dxfId="282" priority="1715" stopIfTrue="1" operator="between">
      <formula>1000000000000</formula>
      <formula>9999999999999990</formula>
    </cfRule>
    <cfRule type="cellIs" dxfId="281" priority="1716" stopIfTrue="1" operator="between">
      <formula>1000000000</formula>
      <formula>999999999999</formula>
    </cfRule>
    <cfRule type="cellIs" dxfId="280" priority="1717" stopIfTrue="1" operator="between">
      <formula>10000</formula>
      <formula>99999999</formula>
    </cfRule>
    <cfRule type="cellIs" dxfId="279" priority="1718" stopIfTrue="1" operator="between">
      <formula>10</formula>
      <formula>9999</formula>
    </cfRule>
  </conditionalFormatting>
  <conditionalFormatting sqref="D4">
    <cfRule type="cellIs" dxfId="278" priority="1714" operator="equal">
      <formula>0</formula>
    </cfRule>
  </conditionalFormatting>
  <conditionalFormatting sqref="A3:C5">
    <cfRule type="cellIs" dxfId="277" priority="1713" operator="equal">
      <formula>"Код на общински разпоредител с бюджет"</formula>
    </cfRule>
  </conditionalFormatting>
  <conditionalFormatting sqref="G4:L4">
    <cfRule type="cellIs" dxfId="276" priority="1707" operator="equal">
      <formula>0</formula>
    </cfRule>
  </conditionalFormatting>
  <conditionalFormatting sqref="R26:R52">
    <cfRule type="cellIs" dxfId="275" priority="1668" stopIfTrue="1" operator="lessThan">
      <formula>0</formula>
    </cfRule>
  </conditionalFormatting>
  <conditionalFormatting sqref="R71:R89">
    <cfRule type="cellIs" dxfId="274" priority="1667" stopIfTrue="1" operator="lessThan">
      <formula>0</formula>
    </cfRule>
  </conditionalFormatting>
  <conditionalFormatting sqref="R103:R112">
    <cfRule type="cellIs" dxfId="273" priority="1662" stopIfTrue="1" operator="lessThan">
      <formula>0</formula>
    </cfRule>
  </conditionalFormatting>
  <conditionalFormatting sqref="R123">
    <cfRule type="cellIs" dxfId="272" priority="1507" stopIfTrue="1" operator="lessThan">
      <formula>0</formula>
    </cfRule>
  </conditionalFormatting>
  <conditionalFormatting sqref="R124">
    <cfRule type="cellIs" dxfId="271" priority="1502" stopIfTrue="1" operator="lessThan">
      <formula>0</formula>
    </cfRule>
  </conditionalFormatting>
  <conditionalFormatting sqref="R126">
    <cfRule type="cellIs" dxfId="270" priority="1497" stopIfTrue="1" operator="lessThan">
      <formula>0</formula>
    </cfRule>
  </conditionalFormatting>
  <conditionalFormatting sqref="R129">
    <cfRule type="cellIs" dxfId="269" priority="1492" stopIfTrue="1" operator="lessThan">
      <formula>0</formula>
    </cfRule>
  </conditionalFormatting>
  <conditionalFormatting sqref="R131">
    <cfRule type="cellIs" dxfId="268" priority="1487" stopIfTrue="1" operator="lessThan">
      <formula>0</formula>
    </cfRule>
  </conditionalFormatting>
  <conditionalFormatting sqref="R134">
    <cfRule type="cellIs" dxfId="267" priority="1482" stopIfTrue="1" operator="lessThan">
      <formula>0</formula>
    </cfRule>
  </conditionalFormatting>
  <conditionalFormatting sqref="R136:R138">
    <cfRule type="cellIs" dxfId="266" priority="1477" stopIfTrue="1" operator="lessThan">
      <formula>0</formula>
    </cfRule>
  </conditionalFormatting>
  <conditionalFormatting sqref="R141">
    <cfRule type="cellIs" dxfId="265" priority="1472" stopIfTrue="1" operator="lessThan">
      <formula>0</formula>
    </cfRule>
  </conditionalFormatting>
  <conditionalFormatting sqref="R144:R145">
    <cfRule type="cellIs" dxfId="264" priority="1467" stopIfTrue="1" operator="lessThan">
      <formula>0</formula>
    </cfRule>
  </conditionalFormatting>
  <conditionalFormatting sqref="R147:R149">
    <cfRule type="cellIs" dxfId="263" priority="1462" stopIfTrue="1" operator="lessThan">
      <formula>0</formula>
    </cfRule>
  </conditionalFormatting>
  <conditionalFormatting sqref="R153">
    <cfRule type="cellIs" dxfId="262" priority="1389" stopIfTrue="1" operator="lessThan">
      <formula>0</formula>
    </cfRule>
  </conditionalFormatting>
  <conditionalFormatting sqref="R152">
    <cfRule type="cellIs" dxfId="261" priority="1394" stopIfTrue="1" operator="lessThan">
      <formula>0</formula>
    </cfRule>
  </conditionalFormatting>
  <conditionalFormatting sqref="R154:R159">
    <cfRule type="cellIs" dxfId="260" priority="1384" stopIfTrue="1" operator="lessThan">
      <formula>0</formula>
    </cfRule>
  </conditionalFormatting>
  <conditionalFormatting sqref="R161:R172">
    <cfRule type="cellIs" dxfId="259" priority="1379" stopIfTrue="1" operator="lessThan">
      <formula>0</formula>
    </cfRule>
  </conditionalFormatting>
  <conditionalFormatting sqref="R188:R189">
    <cfRule type="cellIs" dxfId="258" priority="1323" stopIfTrue="1" operator="lessThan">
      <formula>0</formula>
    </cfRule>
  </conditionalFormatting>
  <conditionalFormatting sqref="R185">
    <cfRule type="cellIs" dxfId="257" priority="1328" stopIfTrue="1" operator="lessThan">
      <formula>0</formula>
    </cfRule>
  </conditionalFormatting>
  <conditionalFormatting sqref="R196">
    <cfRule type="cellIs" dxfId="256" priority="1318" stopIfTrue="1" operator="lessThan">
      <formula>0</formula>
    </cfRule>
  </conditionalFormatting>
  <conditionalFormatting sqref="R221">
    <cfRule type="cellIs" dxfId="255" priority="1263" stopIfTrue="1" operator="lessThan">
      <formula>0</formula>
    </cfRule>
  </conditionalFormatting>
  <conditionalFormatting sqref="R219">
    <cfRule type="cellIs" dxfId="254" priority="1268" stopIfTrue="1" operator="lessThan">
      <formula>0</formula>
    </cfRule>
  </conditionalFormatting>
  <conditionalFormatting sqref="R223">
    <cfRule type="cellIs" dxfId="253" priority="1258" stopIfTrue="1" operator="lessThan">
      <formula>0</formula>
    </cfRule>
  </conditionalFormatting>
  <conditionalFormatting sqref="R229:R231">
    <cfRule type="cellIs" dxfId="252" priority="1253" stopIfTrue="1" operator="lessThan">
      <formula>0</formula>
    </cfRule>
  </conditionalFormatting>
  <conditionalFormatting sqref="R239:R240">
    <cfRule type="cellIs" dxfId="251" priority="1189" stopIfTrue="1" operator="lessThan">
      <formula>0</formula>
    </cfRule>
  </conditionalFormatting>
  <conditionalFormatting sqref="R236">
    <cfRule type="cellIs" dxfId="250" priority="1194" stopIfTrue="1" operator="lessThan">
      <formula>0</formula>
    </cfRule>
  </conditionalFormatting>
  <conditionalFormatting sqref="R245:R250">
    <cfRule type="cellIs" dxfId="249" priority="1184" stopIfTrue="1" operator="lessThan">
      <formula>0</formula>
    </cfRule>
  </conditionalFormatting>
  <conditionalFormatting sqref="R253:R256">
    <cfRule type="cellIs" dxfId="248" priority="1179" stopIfTrue="1" operator="lessThan">
      <formula>0</formula>
    </cfRule>
  </conditionalFormatting>
  <conditionalFormatting sqref="R283">
    <cfRule type="cellIs" dxfId="247" priority="1174" stopIfTrue="1" operator="lessThan">
      <formula>0</formula>
    </cfRule>
  </conditionalFormatting>
  <conditionalFormatting sqref="R287:R288">
    <cfRule type="cellIs" dxfId="246" priority="1157" stopIfTrue="1" operator="lessThan">
      <formula>0</formula>
    </cfRule>
  </conditionalFormatting>
  <conditionalFormatting sqref="R291:R292">
    <cfRule type="cellIs" dxfId="245" priority="1152" stopIfTrue="1" operator="lessThan">
      <formula>0</formula>
    </cfRule>
  </conditionalFormatting>
  <conditionalFormatting sqref="R289:R290">
    <cfRule type="cellIs" dxfId="244" priority="1147" stopIfTrue="1" operator="lessThan">
      <formula>0</formula>
    </cfRule>
  </conditionalFormatting>
  <conditionalFormatting sqref="R293">
    <cfRule type="cellIs" dxfId="243" priority="1141" stopIfTrue="1" operator="lessThan">
      <formula>0</formula>
    </cfRule>
  </conditionalFormatting>
  <conditionalFormatting sqref="R294:R321">
    <cfRule type="cellIs" dxfId="242" priority="1135" stopIfTrue="1" operator="lessThan">
      <formula>0</formula>
    </cfRule>
  </conditionalFormatting>
  <conditionalFormatting sqref="R323:R326">
    <cfRule type="cellIs" dxfId="241" priority="1130" stopIfTrue="1" operator="lessThan">
      <formula>0</formula>
    </cfRule>
  </conditionalFormatting>
  <conditionalFormatting sqref="R331:R336">
    <cfRule type="cellIs" dxfId="240" priority="1125" stopIfTrue="1" operator="lessThan">
      <formula>0</formula>
    </cfRule>
  </conditionalFormatting>
  <conditionalFormatting sqref="R338:R343">
    <cfRule type="cellIs" dxfId="239" priority="1120" stopIfTrue="1" operator="lessThan">
      <formula>0</formula>
    </cfRule>
  </conditionalFormatting>
  <conditionalFormatting sqref="R346:R363">
    <cfRule type="cellIs" dxfId="238" priority="1115" stopIfTrue="1" operator="lessThan">
      <formula>0</formula>
    </cfRule>
  </conditionalFormatting>
  <conditionalFormatting sqref="R368:R379">
    <cfRule type="cellIs" dxfId="237" priority="1110" stopIfTrue="1" operator="lessThan">
      <formula>0</formula>
    </cfRule>
  </conditionalFormatting>
  <conditionalFormatting sqref="R415">
    <cfRule type="cellIs" dxfId="236" priority="1078" stopIfTrue="1" operator="lessThan">
      <formula>0</formula>
    </cfRule>
  </conditionalFormatting>
  <conditionalFormatting sqref="R579">
    <cfRule type="cellIs" dxfId="235" priority="1010" stopIfTrue="1" operator="lessThan">
      <formula>0</formula>
    </cfRule>
  </conditionalFormatting>
  <conditionalFormatting sqref="R573:R575">
    <cfRule type="cellIs" dxfId="234" priority="1015" stopIfTrue="1" operator="lessThan">
      <formula>0</formula>
    </cfRule>
  </conditionalFormatting>
  <conditionalFormatting sqref="R604">
    <cfRule type="cellIs" dxfId="233" priority="1005" stopIfTrue="1" operator="lessThan">
      <formula>0</formula>
    </cfRule>
  </conditionalFormatting>
  <conditionalFormatting sqref="R608">
    <cfRule type="cellIs" dxfId="232" priority="1000" stopIfTrue="1" operator="lessThan">
      <formula>0</formula>
    </cfRule>
  </conditionalFormatting>
  <conditionalFormatting sqref="R832:R834">
    <cfRule type="cellIs" dxfId="231" priority="995" stopIfTrue="1" operator="lessThan">
      <formula>0</formula>
    </cfRule>
  </conditionalFormatting>
  <conditionalFormatting sqref="R837:R841">
    <cfRule type="cellIs" dxfId="230" priority="990" stopIfTrue="1" operator="lessThan">
      <formula>0</formula>
    </cfRule>
  </conditionalFormatting>
  <conditionalFormatting sqref="R846">
    <cfRule type="cellIs" dxfId="229" priority="985" stopIfTrue="1" operator="lessThan">
      <formula>0</formula>
    </cfRule>
  </conditionalFormatting>
  <conditionalFormatting sqref="R858:R867">
    <cfRule type="cellIs" dxfId="228" priority="980" stopIfTrue="1" operator="lessThan">
      <formula>0</formula>
    </cfRule>
  </conditionalFormatting>
  <conditionalFormatting sqref="R884">
    <cfRule type="cellIs" dxfId="227" priority="975" stopIfTrue="1" operator="lessThan">
      <formula>0</formula>
    </cfRule>
  </conditionalFormatting>
  <conditionalFormatting sqref="R887">
    <cfRule type="cellIs" dxfId="226" priority="970" stopIfTrue="1" operator="lessThan">
      <formula>0</formula>
    </cfRule>
  </conditionalFormatting>
  <conditionalFormatting sqref="R53">
    <cfRule type="cellIs" dxfId="225" priority="883" stopIfTrue="1" operator="lessThan">
      <formula>0</formula>
    </cfRule>
  </conditionalFormatting>
  <conditionalFormatting sqref="V53">
    <cfRule type="cellIs" dxfId="224" priority="881" operator="notEqual">
      <formula>0</formula>
    </cfRule>
  </conditionalFormatting>
  <conditionalFormatting sqref="V54">
    <cfRule type="cellIs" dxfId="223" priority="880" operator="notEqual">
      <formula>0</formula>
    </cfRule>
  </conditionalFormatting>
  <conditionalFormatting sqref="V13">
    <cfRule type="cellIs" dxfId="222" priority="878" operator="notEqual">
      <formula>0</formula>
    </cfRule>
  </conditionalFormatting>
  <conditionalFormatting sqref="V12">
    <cfRule type="cellIs" dxfId="221" priority="877" operator="notEqual">
      <formula>0</formula>
    </cfRule>
  </conditionalFormatting>
  <conditionalFormatting sqref="V10">
    <cfRule type="cellIs" dxfId="220" priority="876" operator="notEqual">
      <formula>0</formula>
    </cfRule>
  </conditionalFormatting>
  <conditionalFormatting sqref="V14:V15">
    <cfRule type="cellIs" dxfId="219" priority="675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8" priority="674" operator="notEqual">
      <formula>0</formula>
    </cfRule>
  </conditionalFormatting>
  <conditionalFormatting sqref="V60:V61">
    <cfRule type="cellIs" dxfId="217" priority="672" operator="notEqual">
      <formula>0</formula>
    </cfRule>
  </conditionalFormatting>
  <conditionalFormatting sqref="V26">
    <cfRule type="cellIs" dxfId="216" priority="668" operator="notEqual">
      <formula>0</formula>
    </cfRule>
  </conditionalFormatting>
  <conditionalFormatting sqref="V27:V52">
    <cfRule type="cellIs" dxfId="215" priority="667" operator="notEqual">
      <formula>0</formula>
    </cfRule>
  </conditionalFormatting>
  <conditionalFormatting sqref="V56:V59">
    <cfRule type="cellIs" dxfId="214" priority="666" operator="notEqual">
      <formula>0</formula>
    </cfRule>
  </conditionalFormatting>
  <conditionalFormatting sqref="V62:V69">
    <cfRule type="cellIs" dxfId="213" priority="665" operator="notEqual">
      <formula>0</formula>
    </cfRule>
  </conditionalFormatting>
  <conditionalFormatting sqref="V94:V101">
    <cfRule type="cellIs" dxfId="212" priority="664" operator="notEqual">
      <formula>0</formula>
    </cfRule>
  </conditionalFormatting>
  <conditionalFormatting sqref="V114">
    <cfRule type="cellIs" dxfId="211" priority="663" operator="notEqual">
      <formula>0</formula>
    </cfRule>
  </conditionalFormatting>
  <conditionalFormatting sqref="V116">
    <cfRule type="cellIs" dxfId="210" priority="662" operator="notEqual">
      <formula>0</formula>
    </cfRule>
  </conditionalFormatting>
  <conditionalFormatting sqref="V118">
    <cfRule type="cellIs" dxfId="209" priority="661" operator="notEqual">
      <formula>0</formula>
    </cfRule>
  </conditionalFormatting>
  <conditionalFormatting sqref="V122">
    <cfRule type="cellIs" dxfId="208" priority="660" operator="notEqual">
      <formula>0</formula>
    </cfRule>
  </conditionalFormatting>
  <conditionalFormatting sqref="V125">
    <cfRule type="cellIs" dxfId="207" priority="659" operator="notEqual">
      <formula>0</formula>
    </cfRule>
  </conditionalFormatting>
  <conditionalFormatting sqref="V127:V128">
    <cfRule type="cellIs" dxfId="206" priority="658" operator="notEqual">
      <formula>0</formula>
    </cfRule>
  </conditionalFormatting>
  <conditionalFormatting sqref="V130">
    <cfRule type="cellIs" dxfId="205" priority="657" operator="notEqual">
      <formula>0</formula>
    </cfRule>
  </conditionalFormatting>
  <conditionalFormatting sqref="V132:V133">
    <cfRule type="cellIs" dxfId="204" priority="656" operator="notEqual">
      <formula>0</formula>
    </cfRule>
  </conditionalFormatting>
  <conditionalFormatting sqref="V135">
    <cfRule type="cellIs" dxfId="203" priority="655" operator="notEqual">
      <formula>0</formula>
    </cfRule>
  </conditionalFormatting>
  <conditionalFormatting sqref="V139:V140">
    <cfRule type="cellIs" dxfId="202" priority="654" operator="notEqual">
      <formula>0</formula>
    </cfRule>
  </conditionalFormatting>
  <conditionalFormatting sqref="V142:V143">
    <cfRule type="cellIs" dxfId="201" priority="653" operator="notEqual">
      <formula>0</formula>
    </cfRule>
  </conditionalFormatting>
  <conditionalFormatting sqref="V146">
    <cfRule type="cellIs" dxfId="200" priority="652" operator="notEqual">
      <formula>0</formula>
    </cfRule>
  </conditionalFormatting>
  <conditionalFormatting sqref="V150:V151">
    <cfRule type="cellIs" dxfId="199" priority="651" operator="notEqual">
      <formula>0</formula>
    </cfRule>
  </conditionalFormatting>
  <conditionalFormatting sqref="V173:V175">
    <cfRule type="cellIs" dxfId="198" priority="650" operator="notEqual">
      <formula>0</formula>
    </cfRule>
  </conditionalFormatting>
  <conditionalFormatting sqref="V184">
    <cfRule type="cellIs" dxfId="197" priority="649" operator="notEqual">
      <formula>0</formula>
    </cfRule>
  </conditionalFormatting>
  <conditionalFormatting sqref="V186:V187">
    <cfRule type="cellIs" dxfId="196" priority="648" operator="notEqual">
      <formula>0</formula>
    </cfRule>
  </conditionalFormatting>
  <conditionalFormatting sqref="V190">
    <cfRule type="cellIs" dxfId="195" priority="647" operator="notEqual">
      <formula>0</formula>
    </cfRule>
  </conditionalFormatting>
  <conditionalFormatting sqref="V195">
    <cfRule type="cellIs" dxfId="194" priority="646" operator="notEqual">
      <formula>0</formula>
    </cfRule>
  </conditionalFormatting>
  <conditionalFormatting sqref="V197:V198">
    <cfRule type="cellIs" dxfId="193" priority="645" operator="notEqual">
      <formula>0</formula>
    </cfRule>
  </conditionalFormatting>
  <conditionalFormatting sqref="V220">
    <cfRule type="cellIs" dxfId="192" priority="644" operator="notEqual">
      <formula>0</formula>
    </cfRule>
  </conditionalFormatting>
  <conditionalFormatting sqref="V222">
    <cfRule type="cellIs" dxfId="191" priority="643" operator="notEqual">
      <formula>0</formula>
    </cfRule>
  </conditionalFormatting>
  <conditionalFormatting sqref="V224:V228">
    <cfRule type="cellIs" dxfId="190" priority="642" operator="notEqual">
      <formula>0</formula>
    </cfRule>
  </conditionalFormatting>
  <conditionalFormatting sqref="V232:V235">
    <cfRule type="cellIs" dxfId="189" priority="641" operator="notEqual">
      <formula>0</formula>
    </cfRule>
  </conditionalFormatting>
  <conditionalFormatting sqref="V237:V238">
    <cfRule type="cellIs" dxfId="188" priority="640" operator="notEqual">
      <formula>0</formula>
    </cfRule>
  </conditionalFormatting>
  <conditionalFormatting sqref="V241:V244">
    <cfRule type="cellIs" dxfId="187" priority="639" operator="notEqual">
      <formula>0</formula>
    </cfRule>
  </conditionalFormatting>
  <conditionalFormatting sqref="V251:V252">
    <cfRule type="cellIs" dxfId="186" priority="638" operator="notEqual">
      <formula>0</formula>
    </cfRule>
  </conditionalFormatting>
  <conditionalFormatting sqref="V257:V270">
    <cfRule type="cellIs" dxfId="185" priority="637" operator="notEqual">
      <formula>0</formula>
    </cfRule>
  </conditionalFormatting>
  <conditionalFormatting sqref="V284">
    <cfRule type="cellIs" dxfId="184" priority="636" operator="notEqual">
      <formula>0</formula>
    </cfRule>
  </conditionalFormatting>
  <conditionalFormatting sqref="V337">
    <cfRule type="cellIs" dxfId="183" priority="635" operator="notEqual">
      <formula>0</formula>
    </cfRule>
  </conditionalFormatting>
  <conditionalFormatting sqref="V364:V367">
    <cfRule type="cellIs" dxfId="182" priority="634" operator="notEqual">
      <formula>0</formula>
    </cfRule>
  </conditionalFormatting>
  <conditionalFormatting sqref="V380:V382">
    <cfRule type="cellIs" dxfId="181" priority="633" operator="notEqual">
      <formula>0</formula>
    </cfRule>
  </conditionalFormatting>
  <conditionalFormatting sqref="V416">
    <cfRule type="cellIs" dxfId="180" priority="632" operator="notEqual">
      <formula>0</formula>
    </cfRule>
  </conditionalFormatting>
  <conditionalFormatting sqref="V566:V569">
    <cfRule type="cellIs" dxfId="179" priority="631" operator="notEqual">
      <formula>0</formula>
    </cfRule>
  </conditionalFormatting>
  <conditionalFormatting sqref="V571:V572">
    <cfRule type="cellIs" dxfId="178" priority="630" operator="notEqual">
      <formula>0</formula>
    </cfRule>
  </conditionalFormatting>
  <conditionalFormatting sqref="V576:V578">
    <cfRule type="cellIs" dxfId="177" priority="629" operator="notEqual">
      <formula>0</formula>
    </cfRule>
  </conditionalFormatting>
  <conditionalFormatting sqref="V580">
    <cfRule type="cellIs" dxfId="176" priority="628" operator="notEqual">
      <formula>0</formula>
    </cfRule>
  </conditionalFormatting>
  <conditionalFormatting sqref="V835:V836">
    <cfRule type="cellIs" dxfId="175" priority="627" operator="notEqual">
      <formula>0</formula>
    </cfRule>
  </conditionalFormatting>
  <conditionalFormatting sqref="V842:V845">
    <cfRule type="cellIs" dxfId="174" priority="626" operator="notEqual">
      <formula>0</formula>
    </cfRule>
  </conditionalFormatting>
  <conditionalFormatting sqref="V848">
    <cfRule type="cellIs" dxfId="173" priority="625" operator="notEqual">
      <formula>0</formula>
    </cfRule>
  </conditionalFormatting>
  <conditionalFormatting sqref="V868:V875">
    <cfRule type="cellIs" dxfId="172" priority="624" operator="notEqual">
      <formula>0</formula>
    </cfRule>
  </conditionalFormatting>
  <conditionalFormatting sqref="V885:V886">
    <cfRule type="cellIs" dxfId="171" priority="623" operator="notEqual">
      <formula>0</formula>
    </cfRule>
  </conditionalFormatting>
  <conditionalFormatting sqref="V55">
    <cfRule type="cellIs" dxfId="170" priority="621" operator="notEqual">
      <formula>0</formula>
    </cfRule>
  </conditionalFormatting>
  <conditionalFormatting sqref="V71:V89">
    <cfRule type="cellIs" dxfId="169" priority="620" operator="notEqual">
      <formula>0</formula>
    </cfRule>
  </conditionalFormatting>
  <conditionalFormatting sqref="V103:V112">
    <cfRule type="cellIs" dxfId="168" priority="619" operator="notEqual">
      <formula>0</formula>
    </cfRule>
  </conditionalFormatting>
  <conditionalFormatting sqref="V115">
    <cfRule type="cellIs" dxfId="167" priority="618" operator="notEqual">
      <formula>0</formula>
    </cfRule>
  </conditionalFormatting>
  <conditionalFormatting sqref="V119">
    <cfRule type="cellIs" dxfId="166" priority="616" operator="notEqual">
      <formula>0</formula>
    </cfRule>
  </conditionalFormatting>
  <conditionalFormatting sqref="V123:V124">
    <cfRule type="cellIs" dxfId="165" priority="615" operator="notEqual">
      <formula>0</formula>
    </cfRule>
  </conditionalFormatting>
  <conditionalFormatting sqref="V126">
    <cfRule type="cellIs" dxfId="164" priority="614" operator="notEqual">
      <formula>0</formula>
    </cfRule>
  </conditionalFormatting>
  <conditionalFormatting sqref="V129">
    <cfRule type="cellIs" dxfId="163" priority="613" operator="notEqual">
      <formula>0</formula>
    </cfRule>
  </conditionalFormatting>
  <conditionalFormatting sqref="V131">
    <cfRule type="cellIs" dxfId="162" priority="612" operator="notEqual">
      <formula>0</formula>
    </cfRule>
  </conditionalFormatting>
  <conditionalFormatting sqref="V134">
    <cfRule type="cellIs" dxfId="161" priority="611" operator="notEqual">
      <formula>0</formula>
    </cfRule>
  </conditionalFormatting>
  <conditionalFormatting sqref="V136:V138">
    <cfRule type="cellIs" dxfId="160" priority="610" operator="notEqual">
      <formula>0</formula>
    </cfRule>
  </conditionalFormatting>
  <conditionalFormatting sqref="V141">
    <cfRule type="cellIs" dxfId="159" priority="609" operator="notEqual">
      <formula>0</formula>
    </cfRule>
  </conditionalFormatting>
  <conditionalFormatting sqref="V144:V145">
    <cfRule type="cellIs" dxfId="158" priority="608" operator="notEqual">
      <formula>0</formula>
    </cfRule>
  </conditionalFormatting>
  <conditionalFormatting sqref="V147:V149">
    <cfRule type="cellIs" dxfId="157" priority="607" operator="notEqual">
      <formula>0</formula>
    </cfRule>
  </conditionalFormatting>
  <conditionalFormatting sqref="V152:V159">
    <cfRule type="cellIs" dxfId="156" priority="606" operator="notEqual">
      <formula>0</formula>
    </cfRule>
  </conditionalFormatting>
  <conditionalFormatting sqref="V161:V172">
    <cfRule type="cellIs" dxfId="155" priority="605" operator="notEqual">
      <formula>0</formula>
    </cfRule>
  </conditionalFormatting>
  <conditionalFormatting sqref="V185">
    <cfRule type="cellIs" dxfId="154" priority="604" operator="notEqual">
      <formula>0</formula>
    </cfRule>
  </conditionalFormatting>
  <conditionalFormatting sqref="V188:V189">
    <cfRule type="cellIs" dxfId="153" priority="603" operator="notEqual">
      <formula>0</formula>
    </cfRule>
  </conditionalFormatting>
  <conditionalFormatting sqref="V196">
    <cfRule type="cellIs" dxfId="152" priority="602" operator="notEqual">
      <formula>0</formula>
    </cfRule>
  </conditionalFormatting>
  <conditionalFormatting sqref="V219">
    <cfRule type="cellIs" dxfId="151" priority="601" operator="notEqual">
      <formula>0</formula>
    </cfRule>
  </conditionalFormatting>
  <conditionalFormatting sqref="V221">
    <cfRule type="cellIs" dxfId="150" priority="600" operator="notEqual">
      <formula>0</formula>
    </cfRule>
  </conditionalFormatting>
  <conditionalFormatting sqref="V223">
    <cfRule type="cellIs" dxfId="149" priority="599" operator="notEqual">
      <formula>0</formula>
    </cfRule>
  </conditionalFormatting>
  <conditionalFormatting sqref="V229:V231">
    <cfRule type="cellIs" dxfId="148" priority="598" operator="notEqual">
      <formula>0</formula>
    </cfRule>
  </conditionalFormatting>
  <conditionalFormatting sqref="V236">
    <cfRule type="cellIs" dxfId="147" priority="597" operator="notEqual">
      <formula>0</formula>
    </cfRule>
  </conditionalFormatting>
  <conditionalFormatting sqref="V239:V240">
    <cfRule type="cellIs" dxfId="146" priority="596" operator="notEqual">
      <formula>0</formula>
    </cfRule>
  </conditionalFormatting>
  <conditionalFormatting sqref="V245:V250">
    <cfRule type="cellIs" dxfId="145" priority="595" operator="notEqual">
      <formula>0</formula>
    </cfRule>
  </conditionalFormatting>
  <conditionalFormatting sqref="V253:V256">
    <cfRule type="cellIs" dxfId="144" priority="594" operator="notEqual">
      <formula>0</formula>
    </cfRule>
  </conditionalFormatting>
  <conditionalFormatting sqref="V283">
    <cfRule type="cellIs" dxfId="143" priority="593" operator="notEqual">
      <formula>0</formula>
    </cfRule>
  </conditionalFormatting>
  <conditionalFormatting sqref="V286:V288">
    <cfRule type="cellIs" dxfId="142" priority="592" operator="notEqual">
      <formula>0</formula>
    </cfRule>
  </conditionalFormatting>
  <conditionalFormatting sqref="V289:V321">
    <cfRule type="cellIs" dxfId="141" priority="591" operator="notEqual">
      <formula>0</formula>
    </cfRule>
  </conditionalFormatting>
  <conditionalFormatting sqref="V323:V326">
    <cfRule type="cellIs" dxfId="140" priority="590" operator="notEqual">
      <formula>0</formula>
    </cfRule>
  </conditionalFormatting>
  <conditionalFormatting sqref="V331:V336">
    <cfRule type="cellIs" dxfId="139" priority="589" operator="notEqual">
      <formula>0</formula>
    </cfRule>
  </conditionalFormatting>
  <conditionalFormatting sqref="V338:V343">
    <cfRule type="cellIs" dxfId="138" priority="588" operator="notEqual">
      <formula>0</formula>
    </cfRule>
  </conditionalFormatting>
  <conditionalFormatting sqref="V346:V363">
    <cfRule type="cellIs" dxfId="137" priority="587" operator="notEqual">
      <formula>0</formula>
    </cfRule>
  </conditionalFormatting>
  <conditionalFormatting sqref="V368:V379">
    <cfRule type="cellIs" dxfId="136" priority="586" operator="notEqual">
      <formula>0</formula>
    </cfRule>
  </conditionalFormatting>
  <conditionalFormatting sqref="V415">
    <cfRule type="cellIs" dxfId="135" priority="585" operator="notEqual">
      <formula>0</formula>
    </cfRule>
  </conditionalFormatting>
  <conditionalFormatting sqref="V573:V575">
    <cfRule type="cellIs" dxfId="134" priority="584" operator="notEqual">
      <formula>0</formula>
    </cfRule>
  </conditionalFormatting>
  <conditionalFormatting sqref="V579">
    <cfRule type="cellIs" dxfId="133" priority="583" operator="notEqual">
      <formula>0</formula>
    </cfRule>
  </conditionalFormatting>
  <conditionalFormatting sqref="V604">
    <cfRule type="cellIs" dxfId="132" priority="582" operator="notEqual">
      <formula>0</formula>
    </cfRule>
  </conditionalFormatting>
  <conditionalFormatting sqref="V608">
    <cfRule type="cellIs" dxfId="131" priority="581" operator="notEqual">
      <formula>0</formula>
    </cfRule>
  </conditionalFormatting>
  <conditionalFormatting sqref="V832:V834">
    <cfRule type="cellIs" dxfId="130" priority="580" operator="notEqual">
      <formula>0</formula>
    </cfRule>
  </conditionalFormatting>
  <conditionalFormatting sqref="V837:V841">
    <cfRule type="cellIs" dxfId="129" priority="579" operator="notEqual">
      <formula>0</formula>
    </cfRule>
  </conditionalFormatting>
  <conditionalFormatting sqref="V846">
    <cfRule type="cellIs" dxfId="128" priority="578" operator="notEqual">
      <formula>0</formula>
    </cfRule>
  </conditionalFormatting>
  <conditionalFormatting sqref="V858:V867">
    <cfRule type="cellIs" dxfId="127" priority="577" operator="notEqual">
      <formula>0</formula>
    </cfRule>
  </conditionalFormatting>
  <conditionalFormatting sqref="V884">
    <cfRule type="cellIs" dxfId="126" priority="576" operator="notEqual">
      <formula>0</formula>
    </cfRule>
  </conditionalFormatting>
  <conditionalFormatting sqref="V117">
    <cfRule type="cellIs" dxfId="125" priority="542" operator="notEqual">
      <formula>0</formula>
    </cfRule>
  </conditionalFormatting>
  <conditionalFormatting sqref="V847">
    <cfRule type="cellIs" dxfId="124" priority="530" operator="equal">
      <formula>1</formula>
    </cfRule>
    <cfRule type="cellIs" dxfId="123" priority="531" operator="notEqual">
      <formula>0</formula>
    </cfRule>
  </conditionalFormatting>
  <conditionalFormatting sqref="V178">
    <cfRule type="cellIs" dxfId="122" priority="528" operator="equal">
      <formula>1</formula>
    </cfRule>
    <cfRule type="cellIs" dxfId="121" priority="529" operator="notEqual">
      <formula>0</formula>
    </cfRule>
  </conditionalFormatting>
  <conditionalFormatting sqref="V90:V93">
    <cfRule type="cellIs" dxfId="120" priority="526" operator="equal">
      <formula>1</formula>
    </cfRule>
    <cfRule type="cellIs" dxfId="119" priority="527" operator="notEqual">
      <formula>0</formula>
    </cfRule>
  </conditionalFormatting>
  <conditionalFormatting sqref="V16:V25">
    <cfRule type="cellIs" dxfId="118" priority="524" operator="equal">
      <formula>1</formula>
    </cfRule>
    <cfRule type="cellIs" dxfId="117" priority="525" operator="notEqual">
      <formula>0</formula>
    </cfRule>
  </conditionalFormatting>
  <conditionalFormatting sqref="R62:R69">
    <cfRule type="cellIs" dxfId="116" priority="500" stopIfTrue="1" operator="lessThan">
      <formula>0</formula>
    </cfRule>
  </conditionalFormatting>
  <conditionalFormatting sqref="R122">
    <cfRule type="cellIs" dxfId="115" priority="490" stopIfTrue="1" operator="lessThan">
      <formula>0</formula>
    </cfRule>
  </conditionalFormatting>
  <conditionalFormatting sqref="R56:R59">
    <cfRule type="cellIs" dxfId="114" priority="505" stopIfTrue="1" operator="lessThan">
      <formula>0</formula>
    </cfRule>
  </conditionalFormatting>
  <conditionalFormatting sqref="R118">
    <cfRule type="cellIs" dxfId="113" priority="495" stopIfTrue="1" operator="lessThan">
      <formula>0</formula>
    </cfRule>
  </conditionalFormatting>
  <conditionalFormatting sqref="R125">
    <cfRule type="cellIs" dxfId="112" priority="485" stopIfTrue="1" operator="lessThan">
      <formula>0</formula>
    </cfRule>
  </conditionalFormatting>
  <conditionalFormatting sqref="R127:R128">
    <cfRule type="cellIs" dxfId="111" priority="480" stopIfTrue="1" operator="lessThan">
      <formula>0</formula>
    </cfRule>
  </conditionalFormatting>
  <conditionalFormatting sqref="R130">
    <cfRule type="cellIs" dxfId="110" priority="475" stopIfTrue="1" operator="lessThan">
      <formula>0</formula>
    </cfRule>
  </conditionalFormatting>
  <conditionalFormatting sqref="R132:R133">
    <cfRule type="cellIs" dxfId="109" priority="470" stopIfTrue="1" operator="lessThan">
      <formula>0</formula>
    </cfRule>
  </conditionalFormatting>
  <conditionalFormatting sqref="R135">
    <cfRule type="cellIs" dxfId="108" priority="465" stopIfTrue="1" operator="lessThan">
      <formula>0</formula>
    </cfRule>
  </conditionalFormatting>
  <conditionalFormatting sqref="R139:R140">
    <cfRule type="cellIs" dxfId="107" priority="460" stopIfTrue="1" operator="lessThan">
      <formula>0</formula>
    </cfRule>
  </conditionalFormatting>
  <conditionalFormatting sqref="R142">
    <cfRule type="cellIs" dxfId="106" priority="455" stopIfTrue="1" operator="lessThan">
      <formula>0</formula>
    </cfRule>
  </conditionalFormatting>
  <conditionalFormatting sqref="R143">
    <cfRule type="cellIs" dxfId="105" priority="450" stopIfTrue="1" operator="lessThan">
      <formula>0</formula>
    </cfRule>
  </conditionalFormatting>
  <conditionalFormatting sqref="R146">
    <cfRule type="cellIs" dxfId="104" priority="445" stopIfTrue="1" operator="lessThan">
      <formula>0</formula>
    </cfRule>
  </conditionalFormatting>
  <conditionalFormatting sqref="R150:R151">
    <cfRule type="cellIs" dxfId="103" priority="440" stopIfTrue="1" operator="lessThan">
      <formula>0</formula>
    </cfRule>
  </conditionalFormatting>
  <conditionalFormatting sqref="R173:R175">
    <cfRule type="cellIs" dxfId="102" priority="435" stopIfTrue="1" operator="lessThan">
      <formula>0</formula>
    </cfRule>
  </conditionalFormatting>
  <conditionalFormatting sqref="R184">
    <cfRule type="cellIs" dxfId="101" priority="430" stopIfTrue="1" operator="lessThan">
      <formula>0</formula>
    </cfRule>
  </conditionalFormatting>
  <conditionalFormatting sqref="R186:R187">
    <cfRule type="cellIs" dxfId="100" priority="425" stopIfTrue="1" operator="lessThan">
      <formula>0</formula>
    </cfRule>
  </conditionalFormatting>
  <conditionalFormatting sqref="R190">
    <cfRule type="cellIs" dxfId="99" priority="420" stopIfTrue="1" operator="lessThan">
      <formula>0</formula>
    </cfRule>
  </conditionalFormatting>
  <conditionalFormatting sqref="R195">
    <cfRule type="cellIs" dxfId="98" priority="415" stopIfTrue="1" operator="lessThan">
      <formula>0</formula>
    </cfRule>
  </conditionalFormatting>
  <conditionalFormatting sqref="R197:R198">
    <cfRule type="cellIs" dxfId="97" priority="410" stopIfTrue="1" operator="lessThan">
      <formula>0</formula>
    </cfRule>
  </conditionalFormatting>
  <conditionalFormatting sqref="R220">
    <cfRule type="cellIs" dxfId="96" priority="405" stopIfTrue="1" operator="lessThan">
      <formula>0</formula>
    </cfRule>
  </conditionalFormatting>
  <conditionalFormatting sqref="R222">
    <cfRule type="cellIs" dxfId="95" priority="400" stopIfTrue="1" operator="lessThan">
      <formula>0</formula>
    </cfRule>
  </conditionalFormatting>
  <conditionalFormatting sqref="R224:R228">
    <cfRule type="cellIs" dxfId="94" priority="395" stopIfTrue="1" operator="lessThan">
      <formula>0</formula>
    </cfRule>
  </conditionalFormatting>
  <conditionalFormatting sqref="R232:R235">
    <cfRule type="cellIs" dxfId="93" priority="390" stopIfTrue="1" operator="lessThan">
      <formula>0</formula>
    </cfRule>
  </conditionalFormatting>
  <conditionalFormatting sqref="R237:R238">
    <cfRule type="cellIs" dxfId="92" priority="385" stopIfTrue="1" operator="lessThan">
      <formula>0</formula>
    </cfRule>
  </conditionalFormatting>
  <conditionalFormatting sqref="R241:R244">
    <cfRule type="cellIs" dxfId="91" priority="380" stopIfTrue="1" operator="lessThan">
      <formula>0</formula>
    </cfRule>
  </conditionalFormatting>
  <conditionalFormatting sqref="R251:R252">
    <cfRule type="cellIs" dxfId="90" priority="375" stopIfTrue="1" operator="lessThan">
      <formula>0</formula>
    </cfRule>
  </conditionalFormatting>
  <conditionalFormatting sqref="R257:R270">
    <cfRule type="cellIs" dxfId="89" priority="370" stopIfTrue="1" operator="lessThan">
      <formula>0</formula>
    </cfRule>
  </conditionalFormatting>
  <conditionalFormatting sqref="R284">
    <cfRule type="cellIs" dxfId="88" priority="365" stopIfTrue="1" operator="lessThan">
      <formula>0</formula>
    </cfRule>
  </conditionalFormatting>
  <conditionalFormatting sqref="R337">
    <cfRule type="cellIs" dxfId="87" priority="360" stopIfTrue="1" operator="lessThan">
      <formula>0</formula>
    </cfRule>
  </conditionalFormatting>
  <conditionalFormatting sqref="R364:R367">
    <cfRule type="cellIs" dxfId="86" priority="355" stopIfTrue="1" operator="lessThan">
      <formula>0</formula>
    </cfRule>
  </conditionalFormatting>
  <conditionalFormatting sqref="R380:R382">
    <cfRule type="cellIs" dxfId="85" priority="350" stopIfTrue="1" operator="lessThan">
      <formula>0</formula>
    </cfRule>
  </conditionalFormatting>
  <conditionalFormatting sqref="R416">
    <cfRule type="cellIs" dxfId="84" priority="345" stopIfTrue="1" operator="lessThan">
      <formula>0</formula>
    </cfRule>
  </conditionalFormatting>
  <conditionalFormatting sqref="R566:R569">
    <cfRule type="cellIs" dxfId="83" priority="340" stopIfTrue="1" operator="lessThan">
      <formula>0</formula>
    </cfRule>
  </conditionalFormatting>
  <conditionalFormatting sqref="R571:R572">
    <cfRule type="cellIs" dxfId="82" priority="335" stopIfTrue="1" operator="lessThan">
      <formula>0</formula>
    </cfRule>
  </conditionalFormatting>
  <conditionalFormatting sqref="R576:R578">
    <cfRule type="cellIs" dxfId="81" priority="330" stopIfTrue="1" operator="lessThan">
      <formula>0</formula>
    </cfRule>
  </conditionalFormatting>
  <conditionalFormatting sqref="R580">
    <cfRule type="cellIs" dxfId="80" priority="325" stopIfTrue="1" operator="lessThan">
      <formula>0</formula>
    </cfRule>
  </conditionalFormatting>
  <conditionalFormatting sqref="R835:R836">
    <cfRule type="cellIs" dxfId="79" priority="320" stopIfTrue="1" operator="lessThan">
      <formula>0</formula>
    </cfRule>
  </conditionalFormatting>
  <conditionalFormatting sqref="R842:R845">
    <cfRule type="cellIs" dxfId="78" priority="315" stopIfTrue="1" operator="lessThan">
      <formula>0</formula>
    </cfRule>
  </conditionalFormatting>
  <conditionalFormatting sqref="R848">
    <cfRule type="cellIs" dxfId="77" priority="310" stopIfTrue="1" operator="lessThan">
      <formula>0</formula>
    </cfRule>
  </conditionalFormatting>
  <conditionalFormatting sqref="R868:R875">
    <cfRule type="cellIs" dxfId="76" priority="305" stopIfTrue="1" operator="lessThan">
      <formula>0</formula>
    </cfRule>
  </conditionalFormatting>
  <conditionalFormatting sqref="R885:R886">
    <cfRule type="cellIs" dxfId="75" priority="300" stopIfTrue="1" operator="lessThan">
      <formula>0</formula>
    </cfRule>
  </conditionalFormatting>
  <conditionalFormatting sqref="T570">
    <cfRule type="cellIs" dxfId="74" priority="23" stopIfTrue="1" operator="lessThan">
      <formula>0</formula>
    </cfRule>
  </conditionalFormatting>
  <conditionalFormatting sqref="V402:V409">
    <cfRule type="cellIs" dxfId="73" priority="37" operator="equal">
      <formula>1</formula>
    </cfRule>
    <cfRule type="cellIs" dxfId="72" priority="38" operator="notEqual">
      <formula>0</formula>
    </cfRule>
  </conditionalFormatting>
  <conditionalFormatting sqref="V640">
    <cfRule type="cellIs" dxfId="71" priority="35" operator="equal">
      <formula>1</formula>
    </cfRule>
    <cfRule type="cellIs" dxfId="70" priority="36" operator="notEqual">
      <formula>0</formula>
    </cfRule>
  </conditionalFormatting>
  <conditionalFormatting sqref="V667">
    <cfRule type="cellIs" dxfId="69" priority="33" operator="equal">
      <formula>1</formula>
    </cfRule>
    <cfRule type="cellIs" dxfId="68" priority="34" operator="notEqual">
      <formula>0</formula>
    </cfRule>
  </conditionalFormatting>
  <conditionalFormatting sqref="V763">
    <cfRule type="cellIs" dxfId="67" priority="31" operator="equal">
      <formula>1</formula>
    </cfRule>
    <cfRule type="cellIs" dxfId="66" priority="32" operator="notEqual">
      <formula>0</formula>
    </cfRule>
  </conditionalFormatting>
  <conditionalFormatting sqref="Q761:R761">
    <cfRule type="cellIs" dxfId="65" priority="30" stopIfTrue="1" operator="lessThan">
      <formula>0</formula>
    </cfRule>
  </conditionalFormatting>
  <conditionalFormatting sqref="V761">
    <cfRule type="cellIs" dxfId="64" priority="28" operator="equal">
      <formula>1</formula>
    </cfRule>
    <cfRule type="cellIs" dxfId="63" priority="29" operator="notEqual">
      <formula>0</formula>
    </cfRule>
  </conditionalFormatting>
  <conditionalFormatting sqref="H13:L13">
    <cfRule type="cellIs" dxfId="62" priority="27" operator="notEqual">
      <formula>0</formula>
    </cfRule>
  </conditionalFormatting>
  <conditionalFormatting sqref="S115 S113:T113 S117 S383:T383">
    <cfRule type="cellIs" dxfId="61" priority="26" stopIfTrue="1" operator="lessThan">
      <formula>0</formula>
    </cfRule>
  </conditionalFormatting>
  <conditionalFormatting sqref="S570">
    <cfRule type="cellIs" dxfId="60" priority="25" stopIfTrue="1" operator="lessThan">
      <formula>0</formula>
    </cfRule>
  </conditionalFormatting>
  <conditionalFormatting sqref="S570">
    <cfRule type="expression" dxfId="59" priority="24">
      <formula>(#REF!+#REF!)&lt;&gt;(#REF!+#REF!)</formula>
    </cfRule>
  </conditionalFormatting>
  <conditionalFormatting sqref="T570">
    <cfRule type="expression" dxfId="58" priority="22">
      <formula>(#REF!+#REF!)&lt;&gt;(#REF!+#REF!)</formula>
    </cfRule>
  </conditionalFormatting>
  <conditionalFormatting sqref="T115">
    <cfRule type="cellIs" dxfId="57" priority="21" stopIfTrue="1" operator="lessThan">
      <formula>0</formula>
    </cfRule>
  </conditionalFormatting>
  <conditionalFormatting sqref="T115">
    <cfRule type="expression" dxfId="56" priority="18">
      <formula>#REF!&lt;0</formula>
    </cfRule>
    <cfRule type="expression" dxfId="55" priority="19">
      <formula>AND($N$4="12",ABS(#REF!+#REF!)&gt;ABS(#REF!+#REF!),#REF!+#REF!&lt;0)</formula>
    </cfRule>
    <cfRule type="expression" dxfId="54" priority="20">
      <formula>AND(ABS(#REF!+#REF!)&gt;ABS(#REF!+#REF!),#REF!+#REF!&gt;0)</formula>
    </cfRule>
  </conditionalFormatting>
  <conditionalFormatting sqref="T117">
    <cfRule type="cellIs" dxfId="53" priority="17" stopIfTrue="1" operator="lessThan">
      <formula>0</formula>
    </cfRule>
  </conditionalFormatting>
  <conditionalFormatting sqref="T117">
    <cfRule type="expression" dxfId="52" priority="14">
      <formula>#REF!&lt;0</formula>
    </cfRule>
    <cfRule type="expression" dxfId="51" priority="15">
      <formula>AND($N$4="12",ABS(#REF!+#REF!)&gt;ABS(#REF!+#REF!),#REF!+#REF!&lt;0)</formula>
    </cfRule>
    <cfRule type="expression" dxfId="50" priority="16">
      <formula>AND(ABS(#REF!+#REF!)&gt;ABS(#REF!+#REF!),#REF!+#REF!&gt;0)</formula>
    </cfRule>
  </conditionalFormatting>
  <conditionalFormatting sqref="S14:T112">
    <cfRule type="cellIs" dxfId="49" priority="13" stopIfTrue="1" operator="lessThan">
      <formula>0</formula>
    </cfRule>
  </conditionalFormatting>
  <conditionalFormatting sqref="S114:T114">
    <cfRule type="cellIs" dxfId="48" priority="12" stopIfTrue="1" operator="lessThan">
      <formula>0</formula>
    </cfRule>
  </conditionalFormatting>
  <conditionalFormatting sqref="S116:T116">
    <cfRule type="cellIs" dxfId="47" priority="11" stopIfTrue="1" operator="lessThan">
      <formula>0</formula>
    </cfRule>
  </conditionalFormatting>
  <conditionalFormatting sqref="S118:T335 S338:T382">
    <cfRule type="cellIs" dxfId="46" priority="10" stopIfTrue="1" operator="lessThan">
      <formula>0</formula>
    </cfRule>
  </conditionalFormatting>
  <conditionalFormatting sqref="S336:T337">
    <cfRule type="cellIs" dxfId="45" priority="9" stopIfTrue="1" operator="lessThan">
      <formula>0</formula>
    </cfRule>
  </conditionalFormatting>
  <conditionalFormatting sqref="S384:T565">
    <cfRule type="cellIs" dxfId="44" priority="8" stopIfTrue="1" operator="lessThan">
      <formula>0</formula>
    </cfRule>
  </conditionalFormatting>
  <conditionalFormatting sqref="S566:T569">
    <cfRule type="cellIs" dxfId="43" priority="7" stopIfTrue="1" operator="lessThan">
      <formula>0</formula>
    </cfRule>
  </conditionalFormatting>
  <conditionalFormatting sqref="S573:T828">
    <cfRule type="cellIs" dxfId="42" priority="6" stopIfTrue="1" operator="lessThan">
      <formula>0</formula>
    </cfRule>
  </conditionalFormatting>
  <conditionalFormatting sqref="S571:T572">
    <cfRule type="cellIs" dxfId="41" priority="5" stopIfTrue="1" operator="lessThan">
      <formula>0</formula>
    </cfRule>
  </conditionalFormatting>
  <conditionalFormatting sqref="S832:T887">
    <cfRule type="cellIs" dxfId="40" priority="4" stopIfTrue="1" operator="lessThan">
      <formula>0</formula>
    </cfRule>
  </conditionalFormatting>
  <conditionalFormatting sqref="R115 R117">
    <cfRule type="cellIs" dxfId="39" priority="3" stopIfTrue="1" operator="lessThan">
      <formula>0</formula>
    </cfRule>
  </conditionalFormatting>
  <conditionalFormatting sqref="R114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818" customWidth="1"/>
    <col min="2" max="2" width="67.28515625" style="1818" customWidth="1"/>
    <col min="3" max="3" width="18.42578125" style="1818" customWidth="1"/>
    <col min="4" max="4" width="4.140625" style="1818" customWidth="1"/>
    <col min="5" max="5" width="8" style="1875" customWidth="1"/>
    <col min="6" max="6" width="1.7109375" style="1818" customWidth="1"/>
    <col min="7" max="7" width="8" style="1875" hidden="1" customWidth="1"/>
    <col min="8" max="8" width="1.7109375" style="1818" hidden="1" customWidth="1"/>
    <col min="9" max="12" width="9.140625" style="1818"/>
    <col min="13" max="15" width="18" style="1818" customWidth="1"/>
    <col min="16" max="16384" width="9.140625" style="1818"/>
  </cols>
  <sheetData>
    <row r="1" spans="1:33" s="1817" customFormat="1" ht="20.25" thickTop="1" thickBot="1">
      <c r="A1" s="1812" t="s">
        <v>1510</v>
      </c>
      <c r="B1" s="1813"/>
      <c r="C1" s="1814"/>
      <c r="D1" s="1815"/>
      <c r="E1" s="1816"/>
      <c r="G1" s="1816"/>
      <c r="P1" s="1818"/>
      <c r="Q1" s="1818"/>
      <c r="R1" s="1818"/>
      <c r="S1" s="1818"/>
      <c r="T1" s="1818"/>
      <c r="U1" s="1818"/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</row>
    <row r="2" spans="1:33" s="1817" customFormat="1" ht="19.5" thickBot="1">
      <c r="A2" s="1819" t="s">
        <v>1511</v>
      </c>
      <c r="B2" s="1820"/>
      <c r="C2" s="1821"/>
      <c r="D2" s="1815"/>
      <c r="E2" s="1816"/>
      <c r="G2" s="1816"/>
      <c r="P2" s="1818"/>
      <c r="Q2" s="1818"/>
      <c r="R2" s="1818"/>
      <c r="S2" s="1818"/>
      <c r="T2" s="1818"/>
      <c r="U2" s="1818"/>
      <c r="V2" s="1818"/>
      <c r="W2" s="1818"/>
      <c r="X2" s="1818"/>
      <c r="Y2" s="1818"/>
      <c r="Z2" s="1818"/>
      <c r="AA2" s="1818"/>
      <c r="AB2" s="1818"/>
      <c r="AC2" s="1818"/>
      <c r="AD2" s="1818"/>
      <c r="AE2" s="1818"/>
      <c r="AF2" s="1818"/>
      <c r="AG2" s="1818"/>
    </row>
    <row r="3" spans="1:33" s="1817" customFormat="1" ht="15.75" customHeight="1" thickTop="1">
      <c r="A3" s="1822"/>
      <c r="B3" s="1823"/>
      <c r="C3" s="1822"/>
      <c r="D3" s="1815"/>
      <c r="E3" s="1816"/>
      <c r="G3" s="1816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</row>
    <row r="4" spans="1:33" s="1817" customFormat="1" ht="20.25" thickBot="1">
      <c r="A4" s="1824" t="s">
        <v>1512</v>
      </c>
      <c r="B4" s="1823"/>
      <c r="C4" s="1825"/>
      <c r="D4" s="1815"/>
      <c r="E4" s="1816"/>
      <c r="G4" s="1816"/>
      <c r="P4" s="1818"/>
      <c r="Q4" s="1818"/>
      <c r="R4" s="1818"/>
      <c r="S4" s="1818"/>
      <c r="T4" s="1818"/>
      <c r="U4" s="1818"/>
      <c r="V4" s="1818"/>
      <c r="W4" s="1818"/>
      <c r="X4" s="1818"/>
      <c r="Y4" s="1818"/>
      <c r="Z4" s="1818"/>
      <c r="AA4" s="1818"/>
      <c r="AB4" s="1818"/>
      <c r="AC4" s="1818"/>
      <c r="AD4" s="1818"/>
      <c r="AE4" s="1818"/>
      <c r="AF4" s="1818"/>
      <c r="AG4" s="1818"/>
    </row>
    <row r="5" spans="1:33" s="1817" customFormat="1" ht="63.75" customHeight="1" thickBot="1">
      <c r="A5" s="1826"/>
      <c r="B5" s="1827" t="s">
        <v>1513</v>
      </c>
      <c r="C5" s="1828" t="s">
        <v>1514</v>
      </c>
      <c r="D5" s="1815"/>
      <c r="E5" s="1816"/>
      <c r="G5" s="2216" t="s">
        <v>2134</v>
      </c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8"/>
      <c r="AA5" s="1818"/>
      <c r="AB5" s="1818"/>
      <c r="AC5" s="1818"/>
      <c r="AD5" s="1818"/>
      <c r="AE5" s="1818"/>
      <c r="AF5" s="1818"/>
      <c r="AG5" s="1818"/>
    </row>
    <row r="6" spans="1:33" s="1817" customFormat="1" ht="18.75" customHeight="1" thickBot="1">
      <c r="A6" s="1826"/>
      <c r="B6" s="1829" t="s">
        <v>1009</v>
      </c>
      <c r="C6" s="1829" t="s">
        <v>1010</v>
      </c>
      <c r="D6" s="1815"/>
      <c r="E6" s="1830">
        <f>SUM(E9:E352)</f>
        <v>0</v>
      </c>
      <c r="G6" s="1830">
        <f>SUM(G9:G352)</f>
        <v>0</v>
      </c>
      <c r="I6" s="1830">
        <f>+COUNTIF(I9:I352,2)</f>
        <v>0</v>
      </c>
      <c r="P6" s="1818"/>
      <c r="Q6" s="1818"/>
      <c r="R6" s="1818"/>
      <c r="S6" s="1818"/>
      <c r="T6" s="1818"/>
      <c r="U6" s="1818"/>
      <c r="V6" s="1818"/>
      <c r="W6" s="1818"/>
      <c r="X6" s="1818"/>
      <c r="Y6" s="1818"/>
      <c r="Z6" s="1818"/>
      <c r="AA6" s="1818"/>
      <c r="AB6" s="1818"/>
      <c r="AC6" s="1818"/>
      <c r="AD6" s="1818"/>
      <c r="AE6" s="1818"/>
      <c r="AF6" s="1818"/>
      <c r="AG6" s="1818"/>
    </row>
    <row r="7" spans="1:33" s="1817" customFormat="1" ht="15.75" customHeight="1" thickBot="1">
      <c r="A7" s="1831"/>
      <c r="B7" s="1832"/>
      <c r="C7" s="1833"/>
      <c r="D7" s="1815"/>
      <c r="E7" s="1816"/>
      <c r="G7" s="1816"/>
      <c r="P7" s="1818"/>
      <c r="Q7" s="1818"/>
      <c r="R7" s="1818"/>
      <c r="S7" s="1818"/>
      <c r="T7" s="1818"/>
      <c r="U7" s="1818"/>
      <c r="V7" s="1818"/>
      <c r="W7" s="1818"/>
      <c r="X7" s="1818"/>
      <c r="Y7" s="1818"/>
      <c r="Z7" s="1818"/>
      <c r="AA7" s="1818"/>
      <c r="AB7" s="1818"/>
      <c r="AC7" s="1818"/>
      <c r="AD7" s="1818"/>
      <c r="AE7" s="1818"/>
      <c r="AF7" s="1818"/>
      <c r="AG7" s="1818"/>
    </row>
    <row r="8" spans="1:33" s="1817" customFormat="1" ht="21" customHeight="1">
      <c r="A8" s="1834"/>
      <c r="B8" s="1835" t="s">
        <v>1515</v>
      </c>
      <c r="C8" s="1836" t="s">
        <v>1516</v>
      </c>
      <c r="D8" s="1815"/>
      <c r="E8" s="1816"/>
      <c r="G8" s="1816"/>
      <c r="P8" s="1818"/>
      <c r="Q8" s="1818"/>
      <c r="R8" s="1818"/>
      <c r="S8" s="1818"/>
      <c r="T8" s="1818"/>
      <c r="U8" s="1818"/>
      <c r="V8" s="1818"/>
      <c r="W8" s="1818"/>
      <c r="X8" s="1818"/>
      <c r="Y8" s="1818"/>
      <c r="Z8" s="1818"/>
      <c r="AA8" s="1818"/>
      <c r="AB8" s="1818"/>
      <c r="AC8" s="1818"/>
      <c r="AD8" s="1818"/>
      <c r="AE8" s="1818"/>
      <c r="AF8" s="1818"/>
      <c r="AG8" s="1818"/>
    </row>
    <row r="9" spans="1:33" s="1817" customFormat="1" ht="18.75">
      <c r="A9" s="1834"/>
      <c r="B9" s="1837" t="s">
        <v>1517</v>
      </c>
      <c r="C9" s="1838">
        <v>5101</v>
      </c>
      <c r="D9" s="1815"/>
      <c r="E9" s="1839">
        <f>+IF('TRIAL-BALANCE'!C$8=C9,1,0)</f>
        <v>0</v>
      </c>
      <c r="G9" s="1839">
        <v>0</v>
      </c>
      <c r="I9" s="2217">
        <f>+E9+G9</f>
        <v>0</v>
      </c>
      <c r="P9" s="1818"/>
      <c r="Q9" s="1818"/>
      <c r="R9" s="1818"/>
      <c r="S9" s="1818"/>
      <c r="T9" s="1818"/>
      <c r="U9" s="1818"/>
      <c r="V9" s="1818"/>
      <c r="W9" s="1818"/>
      <c r="X9" s="1818"/>
      <c r="Y9" s="1818"/>
      <c r="Z9" s="1818"/>
      <c r="AA9" s="1818"/>
      <c r="AB9" s="1818"/>
      <c r="AC9" s="1818"/>
      <c r="AD9" s="1818"/>
      <c r="AE9" s="1818"/>
      <c r="AF9" s="1818"/>
      <c r="AG9" s="1818"/>
    </row>
    <row r="10" spans="1:33" s="1817" customFormat="1" ht="18.75">
      <c r="A10" s="1834"/>
      <c r="B10" s="1840" t="s">
        <v>1518</v>
      </c>
      <c r="C10" s="1841">
        <v>5102</v>
      </c>
      <c r="D10" s="1815"/>
      <c r="E10" s="1842">
        <f>+IF('TRIAL-BALANCE'!C$8=C10,1,0)</f>
        <v>0</v>
      </c>
      <c r="G10" s="1842">
        <v>0</v>
      </c>
      <c r="I10" s="2217">
        <f t="shared" ref="I10:I22" si="0">+E10+G10</f>
        <v>0</v>
      </c>
      <c r="P10" s="1818"/>
      <c r="Q10" s="1818"/>
      <c r="R10" s="1818"/>
      <c r="S10" s="1818"/>
      <c r="T10" s="1818"/>
      <c r="U10" s="1818"/>
      <c r="V10" s="1818"/>
      <c r="W10" s="1818"/>
      <c r="X10" s="1818"/>
      <c r="Y10" s="1818"/>
      <c r="Z10" s="1818"/>
      <c r="AA10" s="1818"/>
      <c r="AB10" s="1818"/>
      <c r="AC10" s="1818"/>
      <c r="AD10" s="1818"/>
      <c r="AE10" s="1818"/>
      <c r="AF10" s="1818"/>
      <c r="AG10" s="1818"/>
    </row>
    <row r="11" spans="1:33" s="1817" customFormat="1" ht="19.5">
      <c r="A11" s="1834"/>
      <c r="B11" s="1843" t="s">
        <v>1519</v>
      </c>
      <c r="C11" s="1841">
        <v>5103</v>
      </c>
      <c r="D11" s="1815"/>
      <c r="E11" s="1842">
        <f>+IF('TRIAL-BALANCE'!C$8=C11,1,0)</f>
        <v>0</v>
      </c>
      <c r="G11" s="1842">
        <v>0</v>
      </c>
      <c r="I11" s="2217">
        <f t="shared" si="0"/>
        <v>0</v>
      </c>
      <c r="P11" s="1818"/>
      <c r="Q11" s="1818"/>
      <c r="R11" s="1818"/>
      <c r="S11" s="1818"/>
      <c r="T11" s="1818"/>
      <c r="U11" s="1818"/>
      <c r="V11" s="1818"/>
      <c r="W11" s="1818"/>
      <c r="X11" s="1818"/>
      <c r="Y11" s="1818"/>
      <c r="Z11" s="1818"/>
      <c r="AA11" s="1818"/>
      <c r="AB11" s="1818"/>
      <c r="AC11" s="1818"/>
      <c r="AD11" s="1818"/>
      <c r="AE11" s="1818"/>
      <c r="AF11" s="1818"/>
      <c r="AG11" s="1818"/>
    </row>
    <row r="12" spans="1:33" s="1817" customFormat="1" ht="18.75">
      <c r="A12" s="1834"/>
      <c r="B12" s="1840" t="s">
        <v>1520</v>
      </c>
      <c r="C12" s="1841">
        <v>5104</v>
      </c>
      <c r="D12" s="1815"/>
      <c r="E12" s="1842">
        <f>+IF('TRIAL-BALANCE'!C$8=C12,1,0)</f>
        <v>0</v>
      </c>
      <c r="G12" s="1842">
        <v>0</v>
      </c>
      <c r="I12" s="2217">
        <f t="shared" si="0"/>
        <v>0</v>
      </c>
      <c r="P12" s="1818"/>
      <c r="Q12" s="1818"/>
      <c r="R12" s="1818"/>
      <c r="S12" s="1818"/>
      <c r="T12" s="1818"/>
      <c r="U12" s="1818"/>
      <c r="V12" s="1818"/>
      <c r="W12" s="1818"/>
      <c r="X12" s="1818"/>
      <c r="Y12" s="1818"/>
      <c r="Z12" s="1818"/>
      <c r="AA12" s="1818"/>
      <c r="AB12" s="1818"/>
      <c r="AC12" s="1818"/>
      <c r="AD12" s="1818"/>
      <c r="AE12" s="1818"/>
      <c r="AF12" s="1818"/>
      <c r="AG12" s="1818"/>
    </row>
    <row r="13" spans="1:33" s="1817" customFormat="1" ht="18.75">
      <c r="A13" s="1834"/>
      <c r="B13" s="1840" t="s">
        <v>1521</v>
      </c>
      <c r="C13" s="1841">
        <v>5105</v>
      </c>
      <c r="D13" s="1815"/>
      <c r="E13" s="1842">
        <f>+IF('TRIAL-BALANCE'!C$8=C13,1,0)</f>
        <v>0</v>
      </c>
      <c r="G13" s="1842">
        <v>0</v>
      </c>
      <c r="I13" s="2217">
        <f t="shared" si="0"/>
        <v>0</v>
      </c>
      <c r="P13" s="1818"/>
      <c r="Q13" s="1818"/>
      <c r="R13" s="1818"/>
      <c r="S13" s="1818"/>
      <c r="T13" s="1818"/>
      <c r="U13" s="1818"/>
      <c r="V13" s="1818"/>
      <c r="W13" s="1818"/>
      <c r="X13" s="1818"/>
      <c r="Y13" s="1818"/>
      <c r="Z13" s="1818"/>
      <c r="AA13" s="1818"/>
      <c r="AB13" s="1818"/>
      <c r="AC13" s="1818"/>
      <c r="AD13" s="1818"/>
      <c r="AE13" s="1818"/>
      <c r="AF13" s="1818"/>
      <c r="AG13" s="1818"/>
    </row>
    <row r="14" spans="1:33" s="1817" customFormat="1" ht="18.75">
      <c r="A14" s="1834"/>
      <c r="B14" s="1844" t="s">
        <v>1522</v>
      </c>
      <c r="C14" s="1841">
        <v>5106</v>
      </c>
      <c r="D14" s="1815"/>
      <c r="E14" s="1842">
        <f>+IF('TRIAL-BALANCE'!C$8=C14,1,0)</f>
        <v>0</v>
      </c>
      <c r="G14" s="1842">
        <v>0</v>
      </c>
      <c r="I14" s="2217">
        <f t="shared" si="0"/>
        <v>0</v>
      </c>
      <c r="P14" s="1818"/>
      <c r="Q14" s="1818"/>
      <c r="R14" s="1818"/>
      <c r="S14" s="1818"/>
      <c r="T14" s="1818"/>
      <c r="U14" s="1818"/>
      <c r="V14" s="1818"/>
      <c r="W14" s="1818"/>
      <c r="X14" s="1818"/>
      <c r="Y14" s="1818"/>
      <c r="Z14" s="1818"/>
      <c r="AA14" s="1818"/>
      <c r="AB14" s="1818"/>
      <c r="AC14" s="1818"/>
      <c r="AD14" s="1818"/>
      <c r="AE14" s="1818"/>
      <c r="AF14" s="1818"/>
      <c r="AG14" s="1818"/>
    </row>
    <row r="15" spans="1:33" s="1817" customFormat="1" ht="18.75">
      <c r="A15" s="1834"/>
      <c r="B15" s="1844" t="s">
        <v>1523</v>
      </c>
      <c r="C15" s="1841">
        <v>5107</v>
      </c>
      <c r="D15" s="1815"/>
      <c r="E15" s="1842">
        <f>+IF('TRIAL-BALANCE'!C$8=C15,1,0)</f>
        <v>0</v>
      </c>
      <c r="G15" s="1842">
        <v>0</v>
      </c>
      <c r="I15" s="2217">
        <f t="shared" si="0"/>
        <v>0</v>
      </c>
      <c r="P15" s="1818"/>
      <c r="Q15" s="1818"/>
      <c r="R15" s="1818"/>
      <c r="S15" s="1818"/>
      <c r="T15" s="1818"/>
      <c r="U15" s="1818"/>
      <c r="V15" s="1818"/>
      <c r="W15" s="1818"/>
      <c r="X15" s="1818"/>
      <c r="Y15" s="1818"/>
      <c r="Z15" s="1818"/>
      <c r="AA15" s="1818"/>
      <c r="AB15" s="1818"/>
      <c r="AC15" s="1818"/>
      <c r="AD15" s="1818"/>
      <c r="AE15" s="1818"/>
      <c r="AF15" s="1818"/>
      <c r="AG15" s="1818"/>
    </row>
    <row r="16" spans="1:33" s="1817" customFormat="1" ht="18.75">
      <c r="A16" s="1834"/>
      <c r="B16" s="1845" t="s">
        <v>1524</v>
      </c>
      <c r="C16" s="1846">
        <v>5108</v>
      </c>
      <c r="D16" s="1815"/>
      <c r="E16" s="1842">
        <f>+IF('TRIAL-BALANCE'!C$8=C16,1,0)</f>
        <v>0</v>
      </c>
      <c r="G16" s="1842">
        <v>0</v>
      </c>
      <c r="I16" s="2217">
        <f t="shared" si="0"/>
        <v>0</v>
      </c>
      <c r="P16" s="1818"/>
      <c r="Q16" s="1818"/>
      <c r="R16" s="1818"/>
      <c r="S16" s="1818"/>
      <c r="T16" s="1818"/>
      <c r="U16" s="1818"/>
      <c r="V16" s="1818"/>
      <c r="W16" s="1818"/>
      <c r="X16" s="1818"/>
      <c r="Y16" s="1818"/>
      <c r="Z16" s="1818"/>
      <c r="AA16" s="1818"/>
      <c r="AB16" s="1818"/>
      <c r="AC16" s="1818"/>
      <c r="AD16" s="1818"/>
      <c r="AE16" s="1818"/>
      <c r="AF16" s="1818"/>
      <c r="AG16" s="1818"/>
    </row>
    <row r="17" spans="1:33" s="1817" customFormat="1" ht="18.75">
      <c r="A17" s="1834"/>
      <c r="B17" s="1845" t="s">
        <v>1525</v>
      </c>
      <c r="C17" s="1846">
        <v>5109</v>
      </c>
      <c r="D17" s="1815"/>
      <c r="E17" s="1842">
        <f>+IF('TRIAL-BALANCE'!C$8=C17,1,0)</f>
        <v>0</v>
      </c>
      <c r="G17" s="1842">
        <v>0</v>
      </c>
      <c r="I17" s="2217">
        <f t="shared" si="0"/>
        <v>0</v>
      </c>
      <c r="P17" s="1818"/>
      <c r="Q17" s="1818"/>
      <c r="R17" s="1818"/>
      <c r="S17" s="1818"/>
      <c r="T17" s="1818"/>
      <c r="U17" s="1818"/>
      <c r="V17" s="1818"/>
      <c r="W17" s="1818"/>
      <c r="X17" s="1818"/>
      <c r="Y17" s="1818"/>
      <c r="Z17" s="1818"/>
      <c r="AA17" s="1818"/>
      <c r="AB17" s="1818"/>
      <c r="AC17" s="1818"/>
      <c r="AD17" s="1818"/>
      <c r="AE17" s="1818"/>
      <c r="AF17" s="1818"/>
      <c r="AG17" s="1818"/>
    </row>
    <row r="18" spans="1:33" s="1817" customFormat="1" ht="18.75">
      <c r="A18" s="1834"/>
      <c r="B18" s="1845" t="s">
        <v>1526</v>
      </c>
      <c r="C18" s="1846">
        <v>5110</v>
      </c>
      <c r="D18" s="1815"/>
      <c r="E18" s="1842">
        <f>+IF('TRIAL-BALANCE'!C$8=C18,1,0)</f>
        <v>0</v>
      </c>
      <c r="G18" s="1842">
        <v>0</v>
      </c>
      <c r="I18" s="2217">
        <f t="shared" si="0"/>
        <v>0</v>
      </c>
      <c r="P18" s="1818"/>
      <c r="Q18" s="1818"/>
      <c r="R18" s="1818"/>
      <c r="S18" s="1818"/>
      <c r="T18" s="1818"/>
      <c r="U18" s="1818"/>
      <c r="V18" s="1818"/>
      <c r="W18" s="1818"/>
      <c r="X18" s="1818"/>
      <c r="Y18" s="1818"/>
      <c r="Z18" s="1818"/>
      <c r="AA18" s="1818"/>
      <c r="AB18" s="1818"/>
      <c r="AC18" s="1818"/>
      <c r="AD18" s="1818"/>
      <c r="AE18" s="1818"/>
      <c r="AF18" s="1818"/>
      <c r="AG18" s="1818"/>
    </row>
    <row r="19" spans="1:33" s="1817" customFormat="1" ht="18.75">
      <c r="A19" s="1834"/>
      <c r="B19" s="1847" t="s">
        <v>1527</v>
      </c>
      <c r="C19" s="1846">
        <v>5111</v>
      </c>
      <c r="D19" s="1815"/>
      <c r="E19" s="1842">
        <f>+IF('TRIAL-BALANCE'!C$8=C19,1,0)</f>
        <v>0</v>
      </c>
      <c r="G19" s="1842">
        <v>0</v>
      </c>
      <c r="I19" s="2217">
        <f t="shared" si="0"/>
        <v>0</v>
      </c>
      <c r="P19" s="1818"/>
      <c r="Q19" s="1818"/>
      <c r="R19" s="1818"/>
      <c r="S19" s="1818"/>
      <c r="T19" s="1818"/>
      <c r="U19" s="1818"/>
      <c r="V19" s="1818"/>
      <c r="W19" s="1818"/>
      <c r="X19" s="1818"/>
      <c r="Y19" s="1818"/>
      <c r="Z19" s="1818"/>
      <c r="AA19" s="1818"/>
      <c r="AB19" s="1818"/>
      <c r="AC19" s="1818"/>
      <c r="AD19" s="1818"/>
      <c r="AE19" s="1818"/>
      <c r="AF19" s="1818"/>
      <c r="AG19" s="1818"/>
    </row>
    <row r="20" spans="1:33" s="1817" customFormat="1" ht="18.75">
      <c r="A20" s="1834"/>
      <c r="B20" s="1847" t="s">
        <v>1528</v>
      </c>
      <c r="C20" s="1846">
        <v>5112</v>
      </c>
      <c r="D20" s="1815"/>
      <c r="E20" s="1842">
        <f>+IF('TRIAL-BALANCE'!C$8=C20,1,0)</f>
        <v>0</v>
      </c>
      <c r="G20" s="1842">
        <v>0</v>
      </c>
      <c r="I20" s="2217">
        <f t="shared" si="0"/>
        <v>0</v>
      </c>
      <c r="P20" s="1818"/>
      <c r="Q20" s="1818"/>
      <c r="R20" s="1818"/>
      <c r="S20" s="1818"/>
      <c r="T20" s="1818"/>
      <c r="U20" s="1818"/>
      <c r="V20" s="1818"/>
      <c r="W20" s="1818"/>
      <c r="X20" s="1818"/>
      <c r="Y20" s="1818"/>
      <c r="Z20" s="1818"/>
      <c r="AA20" s="1818"/>
      <c r="AB20" s="1818"/>
      <c r="AC20" s="1818"/>
      <c r="AD20" s="1818"/>
      <c r="AE20" s="1818"/>
      <c r="AF20" s="1818"/>
      <c r="AG20" s="1818"/>
    </row>
    <row r="21" spans="1:33" s="1817" customFormat="1" ht="18.75">
      <c r="A21" s="1834"/>
      <c r="B21" s="1847" t="s">
        <v>1529</v>
      </c>
      <c r="C21" s="1846">
        <v>5113</v>
      </c>
      <c r="D21" s="1815"/>
      <c r="E21" s="1842">
        <f>+IF('TRIAL-BALANCE'!C$8=C21,1,0)</f>
        <v>0</v>
      </c>
      <c r="G21" s="1842">
        <v>0</v>
      </c>
      <c r="I21" s="2217">
        <f t="shared" si="0"/>
        <v>0</v>
      </c>
      <c r="P21" s="1818"/>
      <c r="Q21" s="1818"/>
      <c r="R21" s="1818"/>
      <c r="S21" s="1818"/>
      <c r="T21" s="1818"/>
      <c r="U21" s="1818"/>
      <c r="V21" s="1818"/>
      <c r="W21" s="1818"/>
      <c r="X21" s="1818"/>
      <c r="Y21" s="1818"/>
      <c r="Z21" s="1818"/>
      <c r="AA21" s="1818"/>
      <c r="AB21" s="1818"/>
      <c r="AC21" s="1818"/>
      <c r="AD21" s="1818"/>
      <c r="AE21" s="1818"/>
      <c r="AF21" s="1818"/>
      <c r="AG21" s="1818"/>
    </row>
    <row r="22" spans="1:33" s="1817" customFormat="1" ht="19.5" thickBot="1">
      <c r="A22" s="1834"/>
      <c r="B22" s="1848" t="s">
        <v>1530</v>
      </c>
      <c r="C22" s="1849">
        <v>5114</v>
      </c>
      <c r="D22" s="1815"/>
      <c r="E22" s="1850">
        <f>+IF('TRIAL-BALANCE'!C$8=C22,1,0)</f>
        <v>0</v>
      </c>
      <c r="G22" s="1850">
        <v>0</v>
      </c>
      <c r="I22" s="2217">
        <f t="shared" si="0"/>
        <v>0</v>
      </c>
      <c r="P22" s="1818"/>
      <c r="Q22" s="1818"/>
      <c r="R22" s="1818"/>
      <c r="S22" s="1818"/>
      <c r="T22" s="1818"/>
      <c r="U22" s="1818"/>
      <c r="V22" s="1818"/>
      <c r="W22" s="1818"/>
      <c r="X22" s="1818"/>
      <c r="Y22" s="1818"/>
      <c r="Z22" s="1818"/>
      <c r="AA22" s="1818"/>
      <c r="AB22" s="1818"/>
      <c r="AC22" s="1818"/>
      <c r="AD22" s="1818"/>
      <c r="AE22" s="1818"/>
      <c r="AF22" s="1818"/>
      <c r="AG22" s="1818"/>
    </row>
    <row r="23" spans="1:33" s="1817" customFormat="1" ht="9" customHeight="1" thickBot="1">
      <c r="A23" s="1851"/>
      <c r="B23" s="1831"/>
      <c r="C23" s="1852"/>
      <c r="D23" s="1815"/>
      <c r="E23" s="1816"/>
      <c r="G23" s="1816"/>
      <c r="I23" s="1816"/>
      <c r="P23" s="1818"/>
      <c r="Q23" s="1818"/>
      <c r="R23" s="1818"/>
      <c r="S23" s="1818"/>
      <c r="T23" s="1818"/>
      <c r="U23" s="1818"/>
      <c r="V23" s="1818"/>
      <c r="W23" s="1818"/>
      <c r="X23" s="1818"/>
      <c r="Y23" s="1818"/>
      <c r="Z23" s="1818"/>
      <c r="AA23" s="1818"/>
      <c r="AB23" s="1818"/>
      <c r="AC23" s="1818"/>
      <c r="AD23" s="1818"/>
      <c r="AE23" s="1818"/>
      <c r="AF23" s="1818"/>
      <c r="AG23" s="1818"/>
    </row>
    <row r="24" spans="1:33" s="1817" customFormat="1" ht="18.75">
      <c r="A24" s="1834"/>
      <c r="B24" s="1835" t="s">
        <v>1531</v>
      </c>
      <c r="C24" s="1836" t="s">
        <v>1532</v>
      </c>
      <c r="D24" s="1815"/>
      <c r="E24" s="1816"/>
      <c r="G24" s="1816"/>
      <c r="I24" s="1816"/>
      <c r="P24" s="1818"/>
      <c r="Q24" s="1818"/>
      <c r="R24" s="1818"/>
      <c r="S24" s="1818"/>
      <c r="T24" s="1818"/>
      <c r="U24" s="1818"/>
      <c r="V24" s="1818"/>
      <c r="W24" s="1818"/>
      <c r="X24" s="1818"/>
      <c r="Y24" s="1818"/>
      <c r="Z24" s="1818"/>
      <c r="AA24" s="1818"/>
      <c r="AB24" s="1818"/>
      <c r="AC24" s="1818"/>
      <c r="AD24" s="1818"/>
      <c r="AE24" s="1818"/>
      <c r="AF24" s="1818"/>
      <c r="AG24" s="1818"/>
    </row>
    <row r="25" spans="1:33" s="1817" customFormat="1" ht="18.75">
      <c r="A25" s="1834"/>
      <c r="B25" s="1837" t="s">
        <v>1533</v>
      </c>
      <c r="C25" s="1838">
        <v>5201</v>
      </c>
      <c r="D25" s="1815"/>
      <c r="E25" s="1839">
        <f>+IF('TRIAL-BALANCE'!C$8=C25,1,0)</f>
        <v>0</v>
      </c>
      <c r="G25" s="1839">
        <v>0</v>
      </c>
      <c r="I25" s="2217">
        <f t="shared" ref="I25:I37" si="1">+E25+G25</f>
        <v>0</v>
      </c>
      <c r="P25" s="1818"/>
      <c r="Q25" s="1818"/>
      <c r="R25" s="1818"/>
      <c r="S25" s="1818"/>
      <c r="T25" s="1818"/>
      <c r="U25" s="1818"/>
      <c r="V25" s="1818"/>
      <c r="W25" s="1818"/>
      <c r="X25" s="1818"/>
      <c r="Y25" s="1818"/>
      <c r="Z25" s="1818"/>
      <c r="AA25" s="1818"/>
      <c r="AB25" s="1818"/>
      <c r="AC25" s="1818"/>
      <c r="AD25" s="1818"/>
      <c r="AE25" s="1818"/>
      <c r="AF25" s="1818"/>
      <c r="AG25" s="1818"/>
    </row>
    <row r="26" spans="1:33" s="1817" customFormat="1" ht="19.5">
      <c r="A26" s="1834"/>
      <c r="B26" s="1853" t="s">
        <v>1534</v>
      </c>
      <c r="C26" s="1846">
        <v>5202</v>
      </c>
      <c r="D26" s="1815"/>
      <c r="E26" s="1842">
        <f>+IF('TRIAL-BALANCE'!C$8=C26,1,0)</f>
        <v>0</v>
      </c>
      <c r="G26" s="1842">
        <v>0</v>
      </c>
      <c r="I26" s="2217">
        <f t="shared" si="1"/>
        <v>0</v>
      </c>
      <c r="P26" s="1818"/>
      <c r="Q26" s="1818"/>
      <c r="R26" s="1818"/>
      <c r="S26" s="1818"/>
      <c r="T26" s="1818"/>
      <c r="U26" s="1818"/>
      <c r="V26" s="1818"/>
      <c r="W26" s="1818"/>
      <c r="X26" s="1818"/>
      <c r="Y26" s="1818"/>
      <c r="Z26" s="1818"/>
      <c r="AA26" s="1818"/>
      <c r="AB26" s="1818"/>
      <c r="AC26" s="1818"/>
      <c r="AD26" s="1818"/>
      <c r="AE26" s="1818"/>
      <c r="AF26" s="1818"/>
      <c r="AG26" s="1818"/>
    </row>
    <row r="27" spans="1:33" s="1817" customFormat="1" ht="18.75">
      <c r="A27" s="1834"/>
      <c r="B27" s="1847" t="s">
        <v>1535</v>
      </c>
      <c r="C27" s="1846">
        <v>5203</v>
      </c>
      <c r="D27" s="1815"/>
      <c r="E27" s="1842">
        <f>+IF('TRIAL-BALANCE'!C$8=C27,1,0)</f>
        <v>0</v>
      </c>
      <c r="G27" s="1842">
        <v>0</v>
      </c>
      <c r="I27" s="2217">
        <f t="shared" si="1"/>
        <v>0</v>
      </c>
      <c r="P27" s="1818"/>
      <c r="Q27" s="1818"/>
      <c r="R27" s="1818"/>
      <c r="S27" s="1818"/>
      <c r="T27" s="1818"/>
      <c r="U27" s="1818"/>
      <c r="V27" s="1818"/>
      <c r="W27" s="1818"/>
      <c r="X27" s="1818"/>
      <c r="Y27" s="1818"/>
      <c r="Z27" s="1818"/>
      <c r="AA27" s="1818"/>
      <c r="AB27" s="1818"/>
      <c r="AC27" s="1818"/>
      <c r="AD27" s="1818"/>
      <c r="AE27" s="1818"/>
      <c r="AF27" s="1818"/>
      <c r="AG27" s="1818"/>
    </row>
    <row r="28" spans="1:33" s="1817" customFormat="1" ht="18.75">
      <c r="A28" s="1834"/>
      <c r="B28" s="1847" t="s">
        <v>1536</v>
      </c>
      <c r="C28" s="1846">
        <v>5204</v>
      </c>
      <c r="D28" s="1815"/>
      <c r="E28" s="1842">
        <f>+IF('TRIAL-BALANCE'!C$8=C28,1,0)</f>
        <v>0</v>
      </c>
      <c r="G28" s="1842">
        <v>0</v>
      </c>
      <c r="I28" s="2217">
        <f t="shared" si="1"/>
        <v>0</v>
      </c>
      <c r="P28" s="1818"/>
      <c r="Q28" s="1818"/>
      <c r="R28" s="1818"/>
      <c r="S28" s="1818"/>
      <c r="T28" s="1818"/>
      <c r="U28" s="1818"/>
      <c r="V28" s="1818"/>
      <c r="W28" s="1818"/>
      <c r="X28" s="1818"/>
      <c r="Y28" s="1818"/>
      <c r="Z28" s="1818"/>
      <c r="AA28" s="1818"/>
      <c r="AB28" s="1818"/>
      <c r="AC28" s="1818"/>
      <c r="AD28" s="1818"/>
      <c r="AE28" s="1818"/>
      <c r="AF28" s="1818"/>
      <c r="AG28" s="1818"/>
    </row>
    <row r="29" spans="1:33" s="1817" customFormat="1" ht="18.75">
      <c r="A29" s="1834"/>
      <c r="B29" s="1847" t="s">
        <v>1537</v>
      </c>
      <c r="C29" s="1846">
        <v>5205</v>
      </c>
      <c r="D29" s="1815"/>
      <c r="E29" s="1842">
        <f>+IF('TRIAL-BALANCE'!C$8=C29,1,0)</f>
        <v>0</v>
      </c>
      <c r="G29" s="1842">
        <v>0</v>
      </c>
      <c r="I29" s="2217">
        <f t="shared" si="1"/>
        <v>0</v>
      </c>
      <c r="P29" s="1818"/>
      <c r="Q29" s="1818"/>
      <c r="R29" s="1818"/>
      <c r="S29" s="1818"/>
      <c r="T29" s="1818"/>
      <c r="U29" s="1818"/>
      <c r="V29" s="1818"/>
      <c r="W29" s="1818"/>
      <c r="X29" s="1818"/>
      <c r="Y29" s="1818"/>
      <c r="Z29" s="1818"/>
      <c r="AA29" s="1818"/>
      <c r="AB29" s="1818"/>
      <c r="AC29" s="1818"/>
      <c r="AD29" s="1818"/>
      <c r="AE29" s="1818"/>
      <c r="AF29" s="1818"/>
      <c r="AG29" s="1818"/>
    </row>
    <row r="30" spans="1:33" s="1817" customFormat="1" ht="18.75">
      <c r="A30" s="1834"/>
      <c r="B30" s="1847" t="s">
        <v>1538</v>
      </c>
      <c r="C30" s="1846">
        <v>5206</v>
      </c>
      <c r="D30" s="1815"/>
      <c r="E30" s="1842">
        <f>+IF('TRIAL-BALANCE'!C$8=C30,1,0)</f>
        <v>0</v>
      </c>
      <c r="G30" s="1842">
        <v>0</v>
      </c>
      <c r="I30" s="2217">
        <f t="shared" si="1"/>
        <v>0</v>
      </c>
      <c r="P30" s="1818"/>
      <c r="Q30" s="1818"/>
      <c r="R30" s="1818"/>
      <c r="S30" s="1818"/>
      <c r="T30" s="1818"/>
      <c r="U30" s="1818"/>
      <c r="V30" s="1818"/>
      <c r="W30" s="1818"/>
      <c r="X30" s="1818"/>
      <c r="Y30" s="1818"/>
      <c r="Z30" s="1818"/>
      <c r="AA30" s="1818"/>
      <c r="AB30" s="1818"/>
      <c r="AC30" s="1818"/>
      <c r="AD30" s="1818"/>
      <c r="AE30" s="1818"/>
      <c r="AF30" s="1818"/>
      <c r="AG30" s="1818"/>
    </row>
    <row r="31" spans="1:33" s="1817" customFormat="1" ht="18.75">
      <c r="A31" s="1834"/>
      <c r="B31" s="1847" t="s">
        <v>1539</v>
      </c>
      <c r="C31" s="1846">
        <v>5207</v>
      </c>
      <c r="D31" s="1815"/>
      <c r="E31" s="1842">
        <f>+IF('TRIAL-BALANCE'!C$8=C31,1,0)</f>
        <v>0</v>
      </c>
      <c r="G31" s="1842">
        <v>0</v>
      </c>
      <c r="I31" s="2217">
        <f t="shared" si="1"/>
        <v>0</v>
      </c>
      <c r="P31" s="1818"/>
      <c r="Q31" s="1818"/>
      <c r="R31" s="1818"/>
      <c r="S31" s="1818"/>
      <c r="T31" s="1818"/>
      <c r="U31" s="1818"/>
      <c r="V31" s="1818"/>
      <c r="W31" s="1818"/>
      <c r="X31" s="1818"/>
      <c r="Y31" s="1818"/>
      <c r="Z31" s="1818"/>
      <c r="AA31" s="1818"/>
      <c r="AB31" s="1818"/>
      <c r="AC31" s="1818"/>
      <c r="AD31" s="1818"/>
      <c r="AE31" s="1818"/>
      <c r="AF31" s="1818"/>
      <c r="AG31" s="1818"/>
    </row>
    <row r="32" spans="1:33" s="1817" customFormat="1" ht="18.75">
      <c r="A32" s="1834"/>
      <c r="B32" s="1847" t="s">
        <v>1540</v>
      </c>
      <c r="C32" s="1846">
        <v>5208</v>
      </c>
      <c r="D32" s="1815"/>
      <c r="E32" s="1842">
        <f>+IF('TRIAL-BALANCE'!C$8=C32,1,0)</f>
        <v>0</v>
      </c>
      <c r="G32" s="1842">
        <v>0</v>
      </c>
      <c r="I32" s="2217">
        <f t="shared" si="1"/>
        <v>0</v>
      </c>
      <c r="P32" s="1818"/>
      <c r="Q32" s="1818"/>
      <c r="R32" s="1818"/>
      <c r="S32" s="1818"/>
      <c r="T32" s="1818"/>
      <c r="U32" s="1818"/>
      <c r="V32" s="1818"/>
      <c r="W32" s="1818"/>
      <c r="X32" s="1818"/>
      <c r="Y32" s="1818"/>
      <c r="Z32" s="1818"/>
      <c r="AA32" s="1818"/>
      <c r="AB32" s="1818"/>
      <c r="AC32" s="1818"/>
      <c r="AD32" s="1818"/>
      <c r="AE32" s="1818"/>
      <c r="AF32" s="1818"/>
      <c r="AG32" s="1818"/>
    </row>
    <row r="33" spans="1:33" s="1817" customFormat="1" ht="18.75">
      <c r="A33" s="1834"/>
      <c r="B33" s="1847" t="s">
        <v>1541</v>
      </c>
      <c r="C33" s="1846">
        <v>5209</v>
      </c>
      <c r="D33" s="1815"/>
      <c r="E33" s="1842">
        <f>+IF('TRIAL-BALANCE'!C$8=C33,1,0)</f>
        <v>0</v>
      </c>
      <c r="G33" s="1842">
        <v>0</v>
      </c>
      <c r="I33" s="2217">
        <f t="shared" si="1"/>
        <v>0</v>
      </c>
      <c r="P33" s="1818"/>
      <c r="Q33" s="1818"/>
      <c r="R33" s="1818"/>
      <c r="S33" s="1818"/>
      <c r="T33" s="1818"/>
      <c r="U33" s="1818"/>
      <c r="V33" s="1818"/>
      <c r="W33" s="1818"/>
      <c r="X33" s="1818"/>
      <c r="Y33" s="1818"/>
      <c r="Z33" s="1818"/>
      <c r="AA33" s="1818"/>
      <c r="AB33" s="1818"/>
      <c r="AC33" s="1818"/>
      <c r="AD33" s="1818"/>
      <c r="AE33" s="1818"/>
      <c r="AF33" s="1818"/>
      <c r="AG33" s="1818"/>
    </row>
    <row r="34" spans="1:33" s="1817" customFormat="1" ht="18.75">
      <c r="A34" s="1834"/>
      <c r="B34" s="1847" t="s">
        <v>1542</v>
      </c>
      <c r="C34" s="1846">
        <v>5210</v>
      </c>
      <c r="D34" s="1815"/>
      <c r="E34" s="1842">
        <f>+IF('TRIAL-BALANCE'!C$8=C34,1,0)</f>
        <v>0</v>
      </c>
      <c r="G34" s="1842">
        <v>0</v>
      </c>
      <c r="I34" s="2217">
        <f t="shared" si="1"/>
        <v>0</v>
      </c>
      <c r="P34" s="1818"/>
      <c r="Q34" s="1818"/>
      <c r="R34" s="1818"/>
      <c r="S34" s="1818"/>
      <c r="T34" s="1818"/>
      <c r="U34" s="1818"/>
      <c r="V34" s="1818"/>
      <c r="W34" s="1818"/>
      <c r="X34" s="1818"/>
      <c r="Y34" s="1818"/>
      <c r="Z34" s="1818"/>
      <c r="AA34" s="1818"/>
      <c r="AB34" s="1818"/>
      <c r="AC34" s="1818"/>
      <c r="AD34" s="1818"/>
      <c r="AE34" s="1818"/>
      <c r="AF34" s="1818"/>
      <c r="AG34" s="1818"/>
    </row>
    <row r="35" spans="1:33" s="1817" customFormat="1" ht="18.75">
      <c r="A35" s="1834"/>
      <c r="B35" s="1847" t="s">
        <v>1543</v>
      </c>
      <c r="C35" s="1846">
        <v>5211</v>
      </c>
      <c r="D35" s="1815"/>
      <c r="E35" s="1842">
        <f>+IF('TRIAL-BALANCE'!C$8=C35,1,0)</f>
        <v>0</v>
      </c>
      <c r="G35" s="1842">
        <v>0</v>
      </c>
      <c r="I35" s="2217">
        <f t="shared" si="1"/>
        <v>0</v>
      </c>
      <c r="P35" s="1818"/>
      <c r="Q35" s="1818"/>
      <c r="R35" s="1818"/>
      <c r="S35" s="1818"/>
      <c r="T35" s="1818"/>
      <c r="U35" s="1818"/>
      <c r="V35" s="1818"/>
      <c r="W35" s="1818"/>
      <c r="X35" s="1818"/>
      <c r="Y35" s="1818"/>
      <c r="Z35" s="1818"/>
      <c r="AA35" s="1818"/>
      <c r="AB35" s="1818"/>
      <c r="AC35" s="1818"/>
      <c r="AD35" s="1818"/>
      <c r="AE35" s="1818"/>
      <c r="AF35" s="1818"/>
      <c r="AG35" s="1818"/>
    </row>
    <row r="36" spans="1:33" s="1817" customFormat="1" ht="18.75">
      <c r="A36" s="1834"/>
      <c r="B36" s="1847" t="s">
        <v>1544</v>
      </c>
      <c r="C36" s="1846">
        <v>5212</v>
      </c>
      <c r="D36" s="1815"/>
      <c r="E36" s="1842">
        <f>+IF('TRIAL-BALANCE'!C$8=C36,1,0)</f>
        <v>0</v>
      </c>
      <c r="G36" s="1842">
        <v>0</v>
      </c>
      <c r="I36" s="2217">
        <f t="shared" si="1"/>
        <v>0</v>
      </c>
      <c r="P36" s="1818"/>
      <c r="Q36" s="1818"/>
      <c r="R36" s="1818"/>
      <c r="S36" s="1818"/>
      <c r="T36" s="1818"/>
      <c r="U36" s="1818"/>
      <c r="V36" s="1818"/>
      <c r="W36" s="1818"/>
      <c r="X36" s="1818"/>
      <c r="Y36" s="1818"/>
      <c r="Z36" s="1818"/>
      <c r="AA36" s="1818"/>
      <c r="AB36" s="1818"/>
      <c r="AC36" s="1818"/>
      <c r="AD36" s="1818"/>
      <c r="AE36" s="1818"/>
      <c r="AF36" s="1818"/>
      <c r="AG36" s="1818"/>
    </row>
    <row r="37" spans="1:33" s="1817" customFormat="1" ht="19.5" thickBot="1">
      <c r="A37" s="1834"/>
      <c r="B37" s="1848" t="s">
        <v>1545</v>
      </c>
      <c r="C37" s="1849">
        <v>5213</v>
      </c>
      <c r="D37" s="1815"/>
      <c r="E37" s="1850">
        <f>+IF('TRIAL-BALANCE'!C$8=C37,1,0)</f>
        <v>0</v>
      </c>
      <c r="G37" s="1850">
        <v>0</v>
      </c>
      <c r="I37" s="2217">
        <f t="shared" si="1"/>
        <v>0</v>
      </c>
      <c r="P37" s="1818"/>
      <c r="Q37" s="1818"/>
      <c r="R37" s="1818"/>
      <c r="S37" s="1818"/>
      <c r="T37" s="1818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8"/>
    </row>
    <row r="38" spans="1:33" s="1817" customFormat="1" ht="9" customHeight="1" thickBot="1">
      <c r="A38" s="1851"/>
      <c r="B38" s="1831"/>
      <c r="C38" s="1852"/>
      <c r="D38" s="1815"/>
      <c r="E38" s="1816"/>
      <c r="G38" s="1816"/>
      <c r="I38" s="1816"/>
      <c r="P38" s="1818"/>
      <c r="Q38" s="1818"/>
      <c r="R38" s="1818"/>
      <c r="S38" s="1818"/>
      <c r="T38" s="1818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8"/>
    </row>
    <row r="39" spans="1:33" s="1817" customFormat="1" ht="18.75">
      <c r="A39" s="1834"/>
      <c r="B39" s="1854" t="s">
        <v>1546</v>
      </c>
      <c r="C39" s="1836" t="s">
        <v>1547</v>
      </c>
      <c r="D39" s="1815"/>
      <c r="E39" s="1816"/>
      <c r="G39" s="1816"/>
      <c r="I39" s="1816"/>
      <c r="P39" s="1818"/>
      <c r="Q39" s="1818"/>
      <c r="R39" s="1818"/>
      <c r="S39" s="1818"/>
      <c r="T39" s="1818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8"/>
    </row>
    <row r="40" spans="1:33" s="1817" customFormat="1" ht="18.75">
      <c r="A40" s="1834"/>
      <c r="B40" s="1855" t="s">
        <v>1548</v>
      </c>
      <c r="C40" s="1856">
        <v>5301</v>
      </c>
      <c r="D40" s="1815"/>
      <c r="E40" s="1839">
        <f>+IF('TRIAL-BALANCE'!C$8=C40,1,0)</f>
        <v>0</v>
      </c>
      <c r="G40" s="1839">
        <v>0</v>
      </c>
      <c r="I40" s="2217">
        <f t="shared" ref="I40:I51" si="2">+E40+G40</f>
        <v>0</v>
      </c>
      <c r="P40" s="1818"/>
      <c r="Q40" s="1818"/>
      <c r="R40" s="1818"/>
      <c r="S40" s="1818"/>
      <c r="T40" s="1818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8"/>
    </row>
    <row r="41" spans="1:33" s="1817" customFormat="1" ht="18.75">
      <c r="A41" s="1834"/>
      <c r="B41" s="1847" t="s">
        <v>1549</v>
      </c>
      <c r="C41" s="1846">
        <v>5302</v>
      </c>
      <c r="D41" s="1815"/>
      <c r="E41" s="1842">
        <f>+IF('TRIAL-BALANCE'!C$8=C41,1,0)</f>
        <v>0</v>
      </c>
      <c r="G41" s="1842">
        <v>0</v>
      </c>
      <c r="I41" s="2217">
        <f t="shared" si="2"/>
        <v>0</v>
      </c>
      <c r="P41" s="1818"/>
      <c r="Q41" s="1818"/>
      <c r="R41" s="1818"/>
      <c r="S41" s="1818"/>
      <c r="T41" s="1818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8"/>
    </row>
    <row r="42" spans="1:33" s="1817" customFormat="1" ht="18.75">
      <c r="A42" s="1834"/>
      <c r="B42" s="1847" t="s">
        <v>1550</v>
      </c>
      <c r="C42" s="1846">
        <v>5303</v>
      </c>
      <c r="D42" s="1815"/>
      <c r="E42" s="1842">
        <f>+IF('TRIAL-BALANCE'!C$8=C42,1,0)</f>
        <v>0</v>
      </c>
      <c r="G42" s="1842">
        <v>0</v>
      </c>
      <c r="I42" s="2217">
        <f t="shared" si="2"/>
        <v>0</v>
      </c>
      <c r="P42" s="1818"/>
      <c r="Q42" s="1818"/>
      <c r="R42" s="1818"/>
      <c r="S42" s="1818"/>
      <c r="T42" s="1818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8"/>
    </row>
    <row r="43" spans="1:33" s="1817" customFormat="1" ht="18.75">
      <c r="A43" s="1834"/>
      <c r="B43" s="1847" t="s">
        <v>1551</v>
      </c>
      <c r="C43" s="1846">
        <v>5304</v>
      </c>
      <c r="D43" s="1815"/>
      <c r="E43" s="1842">
        <f>+IF('TRIAL-BALANCE'!C$8=C43,1,0)</f>
        <v>0</v>
      </c>
      <c r="G43" s="1842">
        <v>0</v>
      </c>
      <c r="I43" s="2217">
        <f t="shared" si="2"/>
        <v>0</v>
      </c>
      <c r="P43" s="1818"/>
      <c r="Q43" s="1818"/>
      <c r="R43" s="1818"/>
      <c r="S43" s="1818"/>
      <c r="T43" s="1818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</row>
    <row r="44" spans="1:33" s="1817" customFormat="1" ht="19.5">
      <c r="A44" s="1834"/>
      <c r="B44" s="1853" t="s">
        <v>1552</v>
      </c>
      <c r="C44" s="1846">
        <v>5305</v>
      </c>
      <c r="D44" s="1815"/>
      <c r="E44" s="1842">
        <f>+IF('TRIAL-BALANCE'!C$8=C44,1,0)</f>
        <v>0</v>
      </c>
      <c r="G44" s="1842">
        <v>0</v>
      </c>
      <c r="I44" s="2217">
        <f t="shared" si="2"/>
        <v>0</v>
      </c>
      <c r="P44" s="1818"/>
      <c r="Q44" s="1818"/>
      <c r="R44" s="1818"/>
      <c r="S44" s="1818"/>
      <c r="T44" s="1818"/>
      <c r="U44" s="1818"/>
      <c r="V44" s="1818"/>
      <c r="W44" s="1818"/>
      <c r="X44" s="1818"/>
      <c r="Y44" s="1818"/>
      <c r="Z44" s="1818"/>
      <c r="AA44" s="1818"/>
      <c r="AB44" s="1818"/>
      <c r="AC44" s="1818"/>
      <c r="AD44" s="1818"/>
      <c r="AE44" s="1818"/>
      <c r="AF44" s="1818"/>
      <c r="AG44" s="1818"/>
    </row>
    <row r="45" spans="1:33" s="1817" customFormat="1" ht="18.75">
      <c r="A45" s="1834"/>
      <c r="B45" s="1847" t="s">
        <v>1553</v>
      </c>
      <c r="C45" s="1846">
        <v>5306</v>
      </c>
      <c r="D45" s="1815"/>
      <c r="E45" s="1842">
        <f>+IF('TRIAL-BALANCE'!C$8=C45,1,0)</f>
        <v>0</v>
      </c>
      <c r="G45" s="1842">
        <v>0</v>
      </c>
      <c r="I45" s="2217">
        <f t="shared" si="2"/>
        <v>0</v>
      </c>
      <c r="P45" s="1818"/>
      <c r="Q45" s="1818"/>
      <c r="R45" s="1818"/>
      <c r="S45" s="1818"/>
      <c r="T45" s="1818"/>
      <c r="U45" s="1818"/>
      <c r="V45" s="1818"/>
      <c r="W45" s="1818"/>
      <c r="X45" s="1818"/>
      <c r="Y45" s="1818"/>
      <c r="Z45" s="1818"/>
      <c r="AA45" s="1818"/>
      <c r="AB45" s="1818"/>
      <c r="AC45" s="1818"/>
      <c r="AD45" s="1818"/>
      <c r="AE45" s="1818"/>
      <c r="AF45" s="1818"/>
      <c r="AG45" s="1818"/>
    </row>
    <row r="46" spans="1:33" s="1817" customFormat="1" ht="18.75">
      <c r="A46" s="1834"/>
      <c r="B46" s="1847" t="s">
        <v>2179</v>
      </c>
      <c r="C46" s="1846">
        <v>5307</v>
      </c>
      <c r="D46" s="1815"/>
      <c r="E46" s="1842">
        <f>+IF('TRIAL-BALANCE'!C$8=C46,1,0)</f>
        <v>0</v>
      </c>
      <c r="G46" s="1842">
        <v>0</v>
      </c>
      <c r="I46" s="2217">
        <f t="shared" si="2"/>
        <v>0</v>
      </c>
      <c r="P46" s="1818"/>
      <c r="Q46" s="1818"/>
      <c r="R46" s="1818"/>
      <c r="S46" s="1818"/>
      <c r="T46" s="1818"/>
      <c r="U46" s="1818"/>
      <c r="V46" s="1818"/>
      <c r="W46" s="1818"/>
      <c r="X46" s="1818"/>
      <c r="Y46" s="1818"/>
      <c r="Z46" s="1818"/>
      <c r="AA46" s="1818"/>
      <c r="AB46" s="1818"/>
      <c r="AC46" s="1818"/>
      <c r="AD46" s="1818"/>
      <c r="AE46" s="1818"/>
      <c r="AF46" s="1818"/>
      <c r="AG46" s="1818"/>
    </row>
    <row r="47" spans="1:33" s="1817" customFormat="1" ht="18.75">
      <c r="A47" s="1834"/>
      <c r="B47" s="1847" t="s">
        <v>1554</v>
      </c>
      <c r="C47" s="1846">
        <v>5308</v>
      </c>
      <c r="D47" s="1815"/>
      <c r="E47" s="1842">
        <f>+IF('TRIAL-BALANCE'!C$8=C47,1,0)</f>
        <v>0</v>
      </c>
      <c r="G47" s="1842">
        <v>0</v>
      </c>
      <c r="I47" s="2217">
        <f t="shared" si="2"/>
        <v>0</v>
      </c>
      <c r="P47" s="1818"/>
      <c r="Q47" s="1818"/>
      <c r="R47" s="1818"/>
      <c r="S47" s="1818"/>
      <c r="T47" s="1818"/>
      <c r="U47" s="1818"/>
      <c r="V47" s="1818"/>
      <c r="W47" s="1818"/>
      <c r="X47" s="1818"/>
      <c r="Y47" s="1818"/>
      <c r="Z47" s="1818"/>
      <c r="AA47" s="1818"/>
      <c r="AB47" s="1818"/>
      <c r="AC47" s="1818"/>
      <c r="AD47" s="1818"/>
      <c r="AE47" s="1818"/>
      <c r="AF47" s="1818"/>
      <c r="AG47" s="1818"/>
    </row>
    <row r="48" spans="1:33" s="1817" customFormat="1" ht="18.75">
      <c r="A48" s="1834"/>
      <c r="B48" s="1847" t="s">
        <v>1555</v>
      </c>
      <c r="C48" s="1846">
        <v>5309</v>
      </c>
      <c r="D48" s="1815"/>
      <c r="E48" s="1842">
        <f>+IF('TRIAL-BALANCE'!C$8=C48,1,0)</f>
        <v>0</v>
      </c>
      <c r="G48" s="1842">
        <v>0</v>
      </c>
      <c r="I48" s="2217">
        <f t="shared" si="2"/>
        <v>0</v>
      </c>
      <c r="P48" s="1818"/>
      <c r="Q48" s="1818"/>
      <c r="R48" s="1818"/>
      <c r="S48" s="1818"/>
      <c r="T48" s="1818"/>
      <c r="U48" s="1818"/>
      <c r="V48" s="1818"/>
      <c r="W48" s="1818"/>
      <c r="X48" s="1818"/>
      <c r="Y48" s="1818"/>
      <c r="Z48" s="1818"/>
      <c r="AA48" s="1818"/>
      <c r="AB48" s="1818"/>
      <c r="AC48" s="1818"/>
      <c r="AD48" s="1818"/>
      <c r="AE48" s="1818"/>
      <c r="AF48" s="1818"/>
      <c r="AG48" s="1818"/>
    </row>
    <row r="49" spans="1:33" s="1817" customFormat="1" ht="18.75">
      <c r="A49" s="1834"/>
      <c r="B49" s="1847" t="s">
        <v>1556</v>
      </c>
      <c r="C49" s="1846">
        <v>5310</v>
      </c>
      <c r="D49" s="1815"/>
      <c r="E49" s="1842">
        <f>+IF('TRIAL-BALANCE'!C$8=C49,1,0)</f>
        <v>0</v>
      </c>
      <c r="G49" s="1842">
        <v>0</v>
      </c>
      <c r="I49" s="2217">
        <f t="shared" si="2"/>
        <v>0</v>
      </c>
      <c r="P49" s="1818"/>
      <c r="Q49" s="1818"/>
      <c r="R49" s="1818"/>
      <c r="S49" s="1818"/>
      <c r="T49" s="1818"/>
      <c r="U49" s="1818"/>
      <c r="V49" s="1818"/>
      <c r="W49" s="1818"/>
      <c r="X49" s="1818"/>
      <c r="Y49" s="1818"/>
      <c r="Z49" s="1818"/>
      <c r="AA49" s="1818"/>
      <c r="AB49" s="1818"/>
      <c r="AC49" s="1818"/>
      <c r="AD49" s="1818"/>
      <c r="AE49" s="1818"/>
      <c r="AF49" s="1818"/>
      <c r="AG49" s="1818"/>
    </row>
    <row r="50" spans="1:33" s="1817" customFormat="1" ht="18.75">
      <c r="A50" s="1834"/>
      <c r="B50" s="1847" t="s">
        <v>1557</v>
      </c>
      <c r="C50" s="1846">
        <v>5311</v>
      </c>
      <c r="D50" s="1815"/>
      <c r="E50" s="1842">
        <f>+IF('TRIAL-BALANCE'!C$8=C50,1,0)</f>
        <v>0</v>
      </c>
      <c r="G50" s="1842">
        <v>0</v>
      </c>
      <c r="I50" s="2217">
        <f t="shared" si="2"/>
        <v>0</v>
      </c>
      <c r="P50" s="1818"/>
      <c r="Q50" s="1818"/>
      <c r="R50" s="1818"/>
      <c r="S50" s="1818"/>
      <c r="T50" s="1818"/>
      <c r="U50" s="1818"/>
      <c r="V50" s="1818"/>
      <c r="W50" s="1818"/>
      <c r="X50" s="1818"/>
      <c r="Y50" s="1818"/>
      <c r="Z50" s="1818"/>
      <c r="AA50" s="1818"/>
      <c r="AB50" s="1818"/>
      <c r="AC50" s="1818"/>
      <c r="AD50" s="1818"/>
      <c r="AE50" s="1818"/>
      <c r="AF50" s="1818"/>
      <c r="AG50" s="1818"/>
    </row>
    <row r="51" spans="1:33" s="1817" customFormat="1" ht="19.5" thickBot="1">
      <c r="A51" s="1834"/>
      <c r="B51" s="1848" t="s">
        <v>1558</v>
      </c>
      <c r="C51" s="1849">
        <v>5312</v>
      </c>
      <c r="D51" s="1815"/>
      <c r="E51" s="1850">
        <f>+IF('TRIAL-BALANCE'!C$8=C51,1,0)</f>
        <v>0</v>
      </c>
      <c r="G51" s="1850">
        <v>0</v>
      </c>
      <c r="I51" s="2217">
        <f t="shared" si="2"/>
        <v>0</v>
      </c>
      <c r="P51" s="1818"/>
      <c r="Q51" s="1818"/>
      <c r="R51" s="1818"/>
      <c r="S51" s="1818"/>
      <c r="T51" s="1818"/>
      <c r="U51" s="1818"/>
      <c r="V51" s="1818"/>
      <c r="W51" s="1818"/>
      <c r="X51" s="1818"/>
      <c r="Y51" s="1818"/>
      <c r="Z51" s="1818"/>
      <c r="AA51" s="1818"/>
      <c r="AB51" s="1818"/>
      <c r="AC51" s="1818"/>
      <c r="AD51" s="1818"/>
      <c r="AE51" s="1818"/>
      <c r="AF51" s="1818"/>
      <c r="AG51" s="1818"/>
    </row>
    <row r="52" spans="1:33" s="1817" customFormat="1" ht="9" customHeight="1" thickBot="1">
      <c r="A52" s="1851"/>
      <c r="B52" s="1831"/>
      <c r="C52" s="1852"/>
      <c r="D52" s="1815"/>
      <c r="E52" s="1816"/>
      <c r="G52" s="1816"/>
      <c r="I52" s="1816"/>
      <c r="P52" s="1818"/>
      <c r="Q52" s="1818"/>
      <c r="R52" s="1818"/>
      <c r="S52" s="1818"/>
      <c r="T52" s="1818"/>
      <c r="U52" s="1818"/>
      <c r="V52" s="1818"/>
      <c r="W52" s="1818"/>
      <c r="X52" s="1818"/>
      <c r="Y52" s="1818"/>
      <c r="Z52" s="1818"/>
      <c r="AA52" s="1818"/>
      <c r="AB52" s="1818"/>
      <c r="AC52" s="1818"/>
      <c r="AD52" s="1818"/>
      <c r="AE52" s="1818"/>
      <c r="AF52" s="1818"/>
      <c r="AG52" s="1818"/>
    </row>
    <row r="53" spans="1:33" s="1817" customFormat="1" ht="18.75">
      <c r="A53" s="1834"/>
      <c r="B53" s="1835" t="s">
        <v>1559</v>
      </c>
      <c r="C53" s="1836" t="s">
        <v>1560</v>
      </c>
      <c r="D53" s="1815"/>
      <c r="E53" s="1816"/>
      <c r="G53" s="1816"/>
      <c r="I53" s="1816"/>
      <c r="P53" s="1818"/>
      <c r="Q53" s="1818"/>
      <c r="R53" s="1818"/>
      <c r="S53" s="1818"/>
      <c r="T53" s="1818"/>
      <c r="U53" s="1818"/>
      <c r="V53" s="1818"/>
      <c r="W53" s="1818"/>
      <c r="X53" s="1818"/>
      <c r="Y53" s="1818"/>
      <c r="Z53" s="1818"/>
      <c r="AA53" s="1818"/>
      <c r="AB53" s="1818"/>
      <c r="AC53" s="1818"/>
      <c r="AD53" s="1818"/>
      <c r="AE53" s="1818"/>
      <c r="AF53" s="1818"/>
      <c r="AG53" s="1818"/>
    </row>
    <row r="54" spans="1:33" s="1817" customFormat="1" ht="19.5">
      <c r="A54" s="1834"/>
      <c r="B54" s="1857" t="s">
        <v>1561</v>
      </c>
      <c r="C54" s="1856">
        <v>5401</v>
      </c>
      <c r="D54" s="1815"/>
      <c r="E54" s="1839">
        <f>+IF('TRIAL-BALANCE'!C$8=C54,1,0)</f>
        <v>0</v>
      </c>
      <c r="G54" s="1839">
        <v>0</v>
      </c>
      <c r="I54" s="2217">
        <f t="shared" ref="I54:I63" si="3">+E54+G54</f>
        <v>0</v>
      </c>
      <c r="P54" s="1818"/>
      <c r="Q54" s="1818"/>
      <c r="R54" s="1818"/>
      <c r="S54" s="1818"/>
      <c r="T54" s="1818"/>
      <c r="U54" s="1818"/>
      <c r="V54" s="1818"/>
      <c r="W54" s="1818"/>
      <c r="X54" s="1818"/>
      <c r="Y54" s="1818"/>
      <c r="Z54" s="1818"/>
      <c r="AA54" s="1818"/>
      <c r="AB54" s="1818"/>
      <c r="AC54" s="1818"/>
      <c r="AD54" s="1818"/>
      <c r="AE54" s="1818"/>
      <c r="AF54" s="1818"/>
      <c r="AG54" s="1818"/>
    </row>
    <row r="55" spans="1:33" s="1817" customFormat="1" ht="18.75">
      <c r="A55" s="1834"/>
      <c r="B55" s="1847" t="s">
        <v>1562</v>
      </c>
      <c r="C55" s="1846">
        <v>5402</v>
      </c>
      <c r="D55" s="1815"/>
      <c r="E55" s="1842">
        <f>+IF('TRIAL-BALANCE'!C$8=C55,1,0)</f>
        <v>0</v>
      </c>
      <c r="G55" s="1842">
        <v>0</v>
      </c>
      <c r="I55" s="2217">
        <f t="shared" si="3"/>
        <v>0</v>
      </c>
      <c r="P55" s="1818"/>
      <c r="Q55" s="1818"/>
      <c r="R55" s="1818"/>
      <c r="S55" s="1818"/>
      <c r="T55" s="1818"/>
      <c r="U55" s="1818"/>
      <c r="V55" s="1818"/>
      <c r="W55" s="1818"/>
      <c r="X55" s="1818"/>
      <c r="Y55" s="1818"/>
      <c r="Z55" s="1818"/>
      <c r="AA55" s="1818"/>
      <c r="AB55" s="1818"/>
      <c r="AC55" s="1818"/>
      <c r="AD55" s="1818"/>
      <c r="AE55" s="1818"/>
      <c r="AF55" s="1818"/>
      <c r="AG55" s="1818"/>
    </row>
    <row r="56" spans="1:33" s="1817" customFormat="1" ht="18.75">
      <c r="A56" s="1834"/>
      <c r="B56" s="1847" t="s">
        <v>1563</v>
      </c>
      <c r="C56" s="1846">
        <v>5403</v>
      </c>
      <c r="D56" s="1815"/>
      <c r="E56" s="1842">
        <f>+IF('TRIAL-BALANCE'!C$8=C56,1,0)</f>
        <v>0</v>
      </c>
      <c r="G56" s="1842">
        <v>0</v>
      </c>
      <c r="I56" s="2217">
        <f t="shared" si="3"/>
        <v>0</v>
      </c>
      <c r="P56" s="1818"/>
      <c r="Q56" s="1818"/>
      <c r="R56" s="1818"/>
      <c r="S56" s="1818"/>
      <c r="T56" s="1818"/>
      <c r="U56" s="1818"/>
      <c r="V56" s="1818"/>
      <c r="W56" s="1818"/>
      <c r="X56" s="1818"/>
      <c r="Y56" s="1818"/>
      <c r="Z56" s="1818"/>
      <c r="AA56" s="1818"/>
      <c r="AB56" s="1818"/>
      <c r="AC56" s="1818"/>
      <c r="AD56" s="1818"/>
      <c r="AE56" s="1818"/>
      <c r="AF56" s="1818"/>
      <c r="AG56" s="1818"/>
    </row>
    <row r="57" spans="1:33" s="1817" customFormat="1" ht="18.75">
      <c r="A57" s="1834"/>
      <c r="B57" s="1847" t="s">
        <v>1564</v>
      </c>
      <c r="C57" s="1846">
        <v>5404</v>
      </c>
      <c r="D57" s="1815"/>
      <c r="E57" s="1842">
        <f>+IF('TRIAL-BALANCE'!C$8=C57,1,0)</f>
        <v>0</v>
      </c>
      <c r="G57" s="1842">
        <v>0</v>
      </c>
      <c r="I57" s="2217">
        <f t="shared" si="3"/>
        <v>0</v>
      </c>
      <c r="P57" s="1818"/>
      <c r="Q57" s="1818"/>
      <c r="R57" s="1818"/>
      <c r="S57" s="1818"/>
      <c r="T57" s="1818"/>
      <c r="U57" s="1818"/>
      <c r="V57" s="1818"/>
      <c r="W57" s="1818"/>
      <c r="X57" s="1818"/>
      <c r="Y57" s="1818"/>
      <c r="Z57" s="1818"/>
      <c r="AA57" s="1818"/>
      <c r="AB57" s="1818"/>
      <c r="AC57" s="1818"/>
      <c r="AD57" s="1818"/>
      <c r="AE57" s="1818"/>
      <c r="AF57" s="1818"/>
      <c r="AG57" s="1818"/>
    </row>
    <row r="58" spans="1:33" s="1817" customFormat="1" ht="18.75">
      <c r="A58" s="1834"/>
      <c r="B58" s="1847" t="s">
        <v>1565</v>
      </c>
      <c r="C58" s="1846">
        <v>5405</v>
      </c>
      <c r="D58" s="1815"/>
      <c r="E58" s="1842">
        <f>+IF('TRIAL-BALANCE'!C$8=C58,1,0)</f>
        <v>0</v>
      </c>
      <c r="G58" s="1842">
        <v>0</v>
      </c>
      <c r="I58" s="2217">
        <f t="shared" si="3"/>
        <v>0</v>
      </c>
      <c r="P58" s="1818"/>
      <c r="Q58" s="1818"/>
      <c r="R58" s="1818"/>
      <c r="S58" s="1818"/>
      <c r="T58" s="1818"/>
      <c r="U58" s="1818"/>
      <c r="V58" s="1818"/>
      <c r="W58" s="1818"/>
      <c r="X58" s="1818"/>
      <c r="Y58" s="1818"/>
      <c r="Z58" s="1818"/>
      <c r="AA58" s="1818"/>
      <c r="AB58" s="1818"/>
      <c r="AC58" s="1818"/>
      <c r="AD58" s="1818"/>
      <c r="AE58" s="1818"/>
      <c r="AF58" s="1818"/>
      <c r="AG58" s="1818"/>
    </row>
    <row r="59" spans="1:33" s="1817" customFormat="1" ht="18.75">
      <c r="A59" s="1834"/>
      <c r="B59" s="1847" t="s">
        <v>1566</v>
      </c>
      <c r="C59" s="1846">
        <v>5406</v>
      </c>
      <c r="D59" s="1815"/>
      <c r="E59" s="1842">
        <f>+IF('TRIAL-BALANCE'!C$8=C59,1,0)</f>
        <v>0</v>
      </c>
      <c r="G59" s="1842">
        <v>0</v>
      </c>
      <c r="I59" s="2217">
        <f t="shared" si="3"/>
        <v>0</v>
      </c>
      <c r="P59" s="1818"/>
      <c r="Q59" s="1818"/>
      <c r="R59" s="1818"/>
      <c r="S59" s="1818"/>
      <c r="T59" s="1818"/>
      <c r="U59" s="1818"/>
      <c r="V59" s="1818"/>
      <c r="W59" s="1818"/>
      <c r="X59" s="1818"/>
      <c r="Y59" s="1818"/>
      <c r="Z59" s="1818"/>
      <c r="AA59" s="1818"/>
      <c r="AB59" s="1818"/>
      <c r="AC59" s="1818"/>
      <c r="AD59" s="1818"/>
      <c r="AE59" s="1818"/>
      <c r="AF59" s="1818"/>
      <c r="AG59" s="1818"/>
    </row>
    <row r="60" spans="1:33" s="1817" customFormat="1" ht="18.75">
      <c r="A60" s="1834"/>
      <c r="B60" s="1847" t="s">
        <v>1567</v>
      </c>
      <c r="C60" s="1846">
        <v>5407</v>
      </c>
      <c r="D60" s="1815"/>
      <c r="E60" s="1842">
        <f>+IF('TRIAL-BALANCE'!C$8=C60,1,0)</f>
        <v>0</v>
      </c>
      <c r="G60" s="1842">
        <v>0</v>
      </c>
      <c r="I60" s="2217">
        <f t="shared" si="3"/>
        <v>0</v>
      </c>
      <c r="P60" s="1818"/>
      <c r="Q60" s="1818"/>
      <c r="R60" s="1818"/>
      <c r="S60" s="1818"/>
      <c r="T60" s="1818"/>
      <c r="U60" s="1818"/>
      <c r="V60" s="1818"/>
      <c r="W60" s="1818"/>
      <c r="X60" s="1818"/>
      <c r="Y60" s="1818"/>
      <c r="Z60" s="1818"/>
      <c r="AA60" s="1818"/>
      <c r="AB60" s="1818"/>
      <c r="AC60" s="1818"/>
      <c r="AD60" s="1818"/>
      <c r="AE60" s="1818"/>
      <c r="AF60" s="1818"/>
      <c r="AG60" s="1818"/>
    </row>
    <row r="61" spans="1:33" s="1817" customFormat="1" ht="18.75">
      <c r="A61" s="1834"/>
      <c r="B61" s="1847" t="s">
        <v>1568</v>
      </c>
      <c r="C61" s="1846">
        <v>5408</v>
      </c>
      <c r="D61" s="1815"/>
      <c r="E61" s="1842">
        <f>+IF('TRIAL-BALANCE'!C$8=C61,1,0)</f>
        <v>0</v>
      </c>
      <c r="G61" s="1842">
        <v>0</v>
      </c>
      <c r="I61" s="2217">
        <f t="shared" si="3"/>
        <v>0</v>
      </c>
      <c r="P61" s="1818"/>
      <c r="Q61" s="1818"/>
      <c r="R61" s="1818"/>
      <c r="S61" s="1818"/>
      <c r="T61" s="1818"/>
      <c r="U61" s="1818"/>
      <c r="V61" s="1818"/>
      <c r="W61" s="1818"/>
      <c r="X61" s="1818"/>
      <c r="Y61" s="1818"/>
      <c r="Z61" s="1818"/>
      <c r="AA61" s="1818"/>
      <c r="AB61" s="1818"/>
      <c r="AC61" s="1818"/>
      <c r="AD61" s="1818"/>
      <c r="AE61" s="1818"/>
      <c r="AF61" s="1818"/>
      <c r="AG61" s="1818"/>
    </row>
    <row r="62" spans="1:33" s="1817" customFormat="1" ht="18.75">
      <c r="A62" s="1834"/>
      <c r="B62" s="1847" t="s">
        <v>1569</v>
      </c>
      <c r="C62" s="1846">
        <v>5409</v>
      </c>
      <c r="D62" s="1815"/>
      <c r="E62" s="1842">
        <f>+IF('TRIAL-BALANCE'!C$8=C62,1,0)</f>
        <v>0</v>
      </c>
      <c r="G62" s="1842">
        <v>0</v>
      </c>
      <c r="I62" s="2217">
        <f t="shared" si="3"/>
        <v>0</v>
      </c>
      <c r="P62" s="1818"/>
      <c r="Q62" s="1818"/>
      <c r="R62" s="1818"/>
      <c r="S62" s="1818"/>
      <c r="T62" s="1818"/>
      <c r="U62" s="1818"/>
      <c r="V62" s="1818"/>
      <c r="W62" s="1818"/>
      <c r="X62" s="1818"/>
      <c r="Y62" s="1818"/>
      <c r="Z62" s="1818"/>
      <c r="AA62" s="1818"/>
      <c r="AB62" s="1818"/>
      <c r="AC62" s="1818"/>
      <c r="AD62" s="1818"/>
      <c r="AE62" s="1818"/>
      <c r="AF62" s="1818"/>
      <c r="AG62" s="1818"/>
    </row>
    <row r="63" spans="1:33" s="1817" customFormat="1" ht="19.5" thickBot="1">
      <c r="A63" s="1834"/>
      <c r="B63" s="1848" t="s">
        <v>1570</v>
      </c>
      <c r="C63" s="1849">
        <v>5410</v>
      </c>
      <c r="D63" s="1815"/>
      <c r="E63" s="1850">
        <f>+IF('TRIAL-BALANCE'!C$8=C63,1,0)</f>
        <v>0</v>
      </c>
      <c r="G63" s="1850">
        <v>0</v>
      </c>
      <c r="I63" s="2217">
        <f t="shared" si="3"/>
        <v>0</v>
      </c>
      <c r="P63" s="1818"/>
      <c r="Q63" s="1818"/>
      <c r="R63" s="1818"/>
      <c r="S63" s="1818"/>
      <c r="T63" s="1818"/>
      <c r="U63" s="1818"/>
      <c r="V63" s="1818"/>
      <c r="W63" s="1818"/>
      <c r="X63" s="1818"/>
      <c r="Y63" s="1818"/>
      <c r="Z63" s="1818"/>
      <c r="AA63" s="1818"/>
      <c r="AB63" s="1818"/>
      <c r="AC63" s="1818"/>
      <c r="AD63" s="1818"/>
      <c r="AE63" s="1818"/>
      <c r="AF63" s="1818"/>
      <c r="AG63" s="1818"/>
    </row>
    <row r="64" spans="1:33" s="1817" customFormat="1" ht="9" customHeight="1" thickBot="1">
      <c r="A64" s="1851"/>
      <c r="B64" s="1831"/>
      <c r="C64" s="1852"/>
      <c r="D64" s="1815"/>
      <c r="E64" s="1816"/>
      <c r="G64" s="1816"/>
      <c r="I64" s="1816"/>
      <c r="P64" s="1818"/>
      <c r="Q64" s="1818"/>
      <c r="R64" s="1818"/>
      <c r="S64" s="1818"/>
      <c r="T64" s="1818"/>
      <c r="U64" s="1818"/>
      <c r="V64" s="1818"/>
      <c r="W64" s="1818"/>
      <c r="X64" s="1818"/>
      <c r="Y64" s="1818"/>
      <c r="Z64" s="1818"/>
      <c r="AA64" s="1818"/>
      <c r="AB64" s="1818"/>
      <c r="AC64" s="1818"/>
      <c r="AD64" s="1818"/>
      <c r="AE64" s="1818"/>
      <c r="AF64" s="1818"/>
      <c r="AG64" s="1818"/>
    </row>
    <row r="65" spans="1:33" s="1817" customFormat="1" ht="18.75">
      <c r="A65" s="1834"/>
      <c r="B65" s="1835" t="s">
        <v>1571</v>
      </c>
      <c r="C65" s="1836" t="s">
        <v>1572</v>
      </c>
      <c r="D65" s="1815"/>
      <c r="E65" s="1816"/>
      <c r="G65" s="1816"/>
      <c r="I65" s="1816"/>
      <c r="P65" s="1818"/>
      <c r="Q65" s="1818"/>
      <c r="R65" s="1818"/>
      <c r="S65" s="1818"/>
      <c r="T65" s="1818"/>
      <c r="U65" s="1818"/>
      <c r="V65" s="1818"/>
      <c r="W65" s="1818"/>
      <c r="X65" s="1818"/>
      <c r="Y65" s="1818"/>
      <c r="Z65" s="1818"/>
      <c r="AA65" s="1818"/>
      <c r="AB65" s="1818"/>
      <c r="AC65" s="1818"/>
      <c r="AD65" s="1818"/>
      <c r="AE65" s="1818"/>
      <c r="AF65" s="1818"/>
      <c r="AG65" s="1818"/>
    </row>
    <row r="66" spans="1:33" s="1817" customFormat="1" ht="18.75">
      <c r="A66" s="1834"/>
      <c r="B66" s="1855" t="s">
        <v>1573</v>
      </c>
      <c r="C66" s="1856">
        <v>5501</v>
      </c>
      <c r="D66" s="1815"/>
      <c r="E66" s="1839">
        <f>+IF('TRIAL-BALANCE'!C$8=C66,1,0)</f>
        <v>0</v>
      </c>
      <c r="G66" s="1839">
        <v>0</v>
      </c>
      <c r="I66" s="2217">
        <f t="shared" ref="I66:I76" si="4">+E66+G66</f>
        <v>0</v>
      </c>
      <c r="P66" s="1818"/>
      <c r="Q66" s="1818"/>
      <c r="R66" s="1818"/>
      <c r="S66" s="1818"/>
      <c r="T66" s="1818"/>
      <c r="U66" s="1818"/>
      <c r="V66" s="1818"/>
      <c r="W66" s="1818"/>
      <c r="X66" s="1818"/>
      <c r="Y66" s="1818"/>
      <c r="Z66" s="1818"/>
      <c r="AA66" s="1818"/>
      <c r="AB66" s="1818"/>
      <c r="AC66" s="1818"/>
      <c r="AD66" s="1818"/>
      <c r="AE66" s="1818"/>
      <c r="AF66" s="1818"/>
      <c r="AG66" s="1818"/>
    </row>
    <row r="67" spans="1:33" s="1817" customFormat="1" ht="18.75">
      <c r="A67" s="1834"/>
      <c r="B67" s="1847" t="s">
        <v>1574</v>
      </c>
      <c r="C67" s="1846">
        <v>5502</v>
      </c>
      <c r="D67" s="1815"/>
      <c r="E67" s="1842">
        <f>+IF('TRIAL-BALANCE'!C$8=C67,1,0)</f>
        <v>0</v>
      </c>
      <c r="G67" s="1842">
        <v>0</v>
      </c>
      <c r="I67" s="2217">
        <f t="shared" si="4"/>
        <v>0</v>
      </c>
      <c r="P67" s="1818"/>
      <c r="Q67" s="1818"/>
      <c r="R67" s="1818"/>
      <c r="S67" s="1818"/>
      <c r="T67" s="1818"/>
      <c r="U67" s="1818"/>
      <c r="V67" s="1818"/>
      <c r="W67" s="1818"/>
      <c r="X67" s="1818"/>
      <c r="Y67" s="1818"/>
      <c r="Z67" s="1818"/>
      <c r="AA67" s="1818"/>
      <c r="AB67" s="1818"/>
      <c r="AC67" s="1818"/>
      <c r="AD67" s="1818"/>
      <c r="AE67" s="1818"/>
      <c r="AF67" s="1818"/>
      <c r="AG67" s="1818"/>
    </row>
    <row r="68" spans="1:33" s="1817" customFormat="1" ht="18.75">
      <c r="A68" s="1834"/>
      <c r="B68" s="1847" t="s">
        <v>1575</v>
      </c>
      <c r="C68" s="1846">
        <v>5503</v>
      </c>
      <c r="D68" s="1815"/>
      <c r="E68" s="1842">
        <f>+IF('TRIAL-BALANCE'!C$8=C68,1,0)</f>
        <v>0</v>
      </c>
      <c r="G68" s="1842">
        <v>0</v>
      </c>
      <c r="I68" s="2217">
        <f t="shared" si="4"/>
        <v>0</v>
      </c>
      <c r="P68" s="1818"/>
      <c r="Q68" s="1818"/>
      <c r="R68" s="1818"/>
      <c r="S68" s="1818"/>
      <c r="T68" s="1818"/>
      <c r="U68" s="1818"/>
      <c r="V68" s="1818"/>
      <c r="W68" s="1818"/>
      <c r="X68" s="1818"/>
      <c r="Y68" s="1818"/>
      <c r="Z68" s="1818"/>
      <c r="AA68" s="1818"/>
      <c r="AB68" s="1818"/>
      <c r="AC68" s="1818"/>
      <c r="AD68" s="1818"/>
      <c r="AE68" s="1818"/>
      <c r="AF68" s="1818"/>
      <c r="AG68" s="1818"/>
    </row>
    <row r="69" spans="1:33" s="1817" customFormat="1" ht="19.5">
      <c r="A69" s="1834"/>
      <c r="B69" s="1853" t="s">
        <v>1576</v>
      </c>
      <c r="C69" s="1846">
        <v>5504</v>
      </c>
      <c r="D69" s="1815"/>
      <c r="E69" s="1842">
        <f>+IF('TRIAL-BALANCE'!C$8=C69,1,0)</f>
        <v>0</v>
      </c>
      <c r="G69" s="1842">
        <v>0</v>
      </c>
      <c r="I69" s="2217">
        <f t="shared" si="4"/>
        <v>0</v>
      </c>
      <c r="P69" s="1818"/>
      <c r="Q69" s="1818"/>
      <c r="R69" s="1818"/>
      <c r="S69" s="1818"/>
      <c r="T69" s="1818"/>
      <c r="U69" s="1818"/>
      <c r="V69" s="1818"/>
      <c r="W69" s="1818"/>
      <c r="X69" s="1818"/>
      <c r="Y69" s="1818"/>
      <c r="Z69" s="1818"/>
      <c r="AA69" s="1818"/>
      <c r="AB69" s="1818"/>
      <c r="AC69" s="1818"/>
      <c r="AD69" s="1818"/>
      <c r="AE69" s="1818"/>
      <c r="AF69" s="1818"/>
      <c r="AG69" s="1818"/>
    </row>
    <row r="70" spans="1:33" s="1817" customFormat="1" ht="18.75">
      <c r="A70" s="1834"/>
      <c r="B70" s="1847" t="s">
        <v>1577</v>
      </c>
      <c r="C70" s="1846">
        <v>5505</v>
      </c>
      <c r="D70" s="1815"/>
      <c r="E70" s="1842">
        <f>+IF('TRIAL-BALANCE'!C$8=C70,1,0)</f>
        <v>0</v>
      </c>
      <c r="G70" s="1842">
        <v>0</v>
      </c>
      <c r="I70" s="2217">
        <f t="shared" si="4"/>
        <v>0</v>
      </c>
      <c r="P70" s="1818"/>
      <c r="Q70" s="1818"/>
      <c r="R70" s="1818"/>
      <c r="S70" s="1818"/>
      <c r="T70" s="1818"/>
      <c r="U70" s="1818"/>
      <c r="V70" s="1818"/>
      <c r="W70" s="1818"/>
      <c r="X70" s="1818"/>
      <c r="Y70" s="1818"/>
      <c r="Z70" s="1818"/>
      <c r="AA70" s="1818"/>
      <c r="AB70" s="1818"/>
      <c r="AC70" s="1818"/>
      <c r="AD70" s="1818"/>
      <c r="AE70" s="1818"/>
      <c r="AF70" s="1818"/>
      <c r="AG70" s="1818"/>
    </row>
    <row r="71" spans="1:33" s="1817" customFormat="1" ht="18.75">
      <c r="A71" s="1834"/>
      <c r="B71" s="1847" t="s">
        <v>1578</v>
      </c>
      <c r="C71" s="1846">
        <v>5506</v>
      </c>
      <c r="D71" s="1815"/>
      <c r="E71" s="1842">
        <f>+IF('TRIAL-BALANCE'!C$8=C71,1,0)</f>
        <v>0</v>
      </c>
      <c r="G71" s="1842">
        <v>0</v>
      </c>
      <c r="I71" s="2217">
        <f t="shared" si="4"/>
        <v>0</v>
      </c>
      <c r="P71" s="1818"/>
      <c r="Q71" s="1818"/>
      <c r="R71" s="1818"/>
      <c r="S71" s="1818"/>
      <c r="T71" s="1818"/>
      <c r="U71" s="1818"/>
      <c r="V71" s="1818"/>
      <c r="W71" s="1818"/>
      <c r="X71" s="1818"/>
      <c r="Y71" s="1818"/>
      <c r="Z71" s="1818"/>
      <c r="AA71" s="1818"/>
      <c r="AB71" s="1818"/>
      <c r="AC71" s="1818"/>
      <c r="AD71" s="1818"/>
      <c r="AE71" s="1818"/>
      <c r="AF71" s="1818"/>
      <c r="AG71" s="1818"/>
    </row>
    <row r="72" spans="1:33" s="1817" customFormat="1" ht="18.75">
      <c r="A72" s="1834"/>
      <c r="B72" s="1847" t="s">
        <v>1579</v>
      </c>
      <c r="C72" s="1846">
        <v>5507</v>
      </c>
      <c r="D72" s="1815"/>
      <c r="E72" s="1842">
        <f>+IF('TRIAL-BALANCE'!C$8=C72,1,0)</f>
        <v>0</v>
      </c>
      <c r="G72" s="1842">
        <v>0</v>
      </c>
      <c r="I72" s="2217">
        <f t="shared" si="4"/>
        <v>0</v>
      </c>
      <c r="P72" s="1818"/>
      <c r="Q72" s="1818"/>
      <c r="R72" s="1818"/>
      <c r="S72" s="1818"/>
      <c r="T72" s="1818"/>
      <c r="U72" s="1818"/>
      <c r="V72" s="1818"/>
      <c r="W72" s="1818"/>
      <c r="X72" s="1818"/>
      <c r="Y72" s="1818"/>
      <c r="Z72" s="1818"/>
      <c r="AA72" s="1818"/>
      <c r="AB72" s="1818"/>
      <c r="AC72" s="1818"/>
      <c r="AD72" s="1818"/>
      <c r="AE72" s="1818"/>
      <c r="AF72" s="1818"/>
      <c r="AG72" s="1818"/>
    </row>
    <row r="73" spans="1:33" s="1817" customFormat="1" ht="18.75">
      <c r="A73" s="1834"/>
      <c r="B73" s="1847" t="s">
        <v>1580</v>
      </c>
      <c r="C73" s="1846">
        <v>5508</v>
      </c>
      <c r="D73" s="1815"/>
      <c r="E73" s="1842">
        <f>+IF('TRIAL-BALANCE'!C$8=C73,1,0)</f>
        <v>0</v>
      </c>
      <c r="G73" s="1842">
        <v>0</v>
      </c>
      <c r="I73" s="2217">
        <f t="shared" si="4"/>
        <v>0</v>
      </c>
      <c r="P73" s="1818"/>
      <c r="Q73" s="1818"/>
      <c r="R73" s="1818"/>
      <c r="S73" s="1818"/>
      <c r="T73" s="1818"/>
      <c r="U73" s="1818"/>
      <c r="V73" s="1818"/>
      <c r="W73" s="1818"/>
      <c r="X73" s="1818"/>
      <c r="Y73" s="1818"/>
      <c r="Z73" s="1818"/>
      <c r="AA73" s="1818"/>
      <c r="AB73" s="1818"/>
      <c r="AC73" s="1818"/>
      <c r="AD73" s="1818"/>
      <c r="AE73" s="1818"/>
      <c r="AF73" s="1818"/>
      <c r="AG73" s="1818"/>
    </row>
    <row r="74" spans="1:33" s="1817" customFormat="1" ht="18.75">
      <c r="A74" s="1834"/>
      <c r="B74" s="1847" t="s">
        <v>1581</v>
      </c>
      <c r="C74" s="1846">
        <v>5509</v>
      </c>
      <c r="D74" s="1815"/>
      <c r="E74" s="1842">
        <f>+IF('TRIAL-BALANCE'!C$8=C74,1,0)</f>
        <v>0</v>
      </c>
      <c r="G74" s="1842">
        <v>0</v>
      </c>
      <c r="I74" s="2217">
        <f t="shared" si="4"/>
        <v>0</v>
      </c>
      <c r="P74" s="1818"/>
      <c r="Q74" s="1818"/>
      <c r="R74" s="1818"/>
      <c r="S74" s="1818"/>
      <c r="T74" s="1818"/>
      <c r="U74" s="1818"/>
      <c r="V74" s="1818"/>
      <c r="W74" s="1818"/>
      <c r="X74" s="1818"/>
      <c r="Y74" s="1818"/>
      <c r="Z74" s="1818"/>
      <c r="AA74" s="1818"/>
      <c r="AB74" s="1818"/>
      <c r="AC74" s="1818"/>
      <c r="AD74" s="1818"/>
      <c r="AE74" s="1818"/>
      <c r="AF74" s="1818"/>
      <c r="AG74" s="1818"/>
    </row>
    <row r="75" spans="1:33" s="1817" customFormat="1" ht="18.75">
      <c r="A75" s="1834"/>
      <c r="B75" s="1847" t="s">
        <v>1582</v>
      </c>
      <c r="C75" s="1846">
        <v>5510</v>
      </c>
      <c r="D75" s="1815"/>
      <c r="E75" s="1842">
        <f>+IF('TRIAL-BALANCE'!C$8=C75,1,0)</f>
        <v>0</v>
      </c>
      <c r="G75" s="1842">
        <v>0</v>
      </c>
      <c r="I75" s="2217">
        <f t="shared" si="4"/>
        <v>0</v>
      </c>
      <c r="P75" s="1818"/>
      <c r="Q75" s="1818"/>
      <c r="R75" s="1818"/>
      <c r="S75" s="1818"/>
      <c r="T75" s="1818"/>
      <c r="U75" s="1818"/>
      <c r="V75" s="1818"/>
      <c r="W75" s="1818"/>
      <c r="X75" s="1818"/>
      <c r="Y75" s="1818"/>
      <c r="Z75" s="1818"/>
      <c r="AA75" s="1818"/>
      <c r="AB75" s="1818"/>
      <c r="AC75" s="1818"/>
      <c r="AD75" s="1818"/>
      <c r="AE75" s="1818"/>
      <c r="AF75" s="1818"/>
      <c r="AG75" s="1818"/>
    </row>
    <row r="76" spans="1:33" s="1817" customFormat="1" ht="19.5" thickBot="1">
      <c r="A76" s="1834"/>
      <c r="B76" s="1848" t="s">
        <v>1583</v>
      </c>
      <c r="C76" s="1849">
        <v>5511</v>
      </c>
      <c r="D76" s="1815"/>
      <c r="E76" s="1850">
        <f>+IF('TRIAL-BALANCE'!C$8=C76,1,0)</f>
        <v>0</v>
      </c>
      <c r="G76" s="1850">
        <v>0</v>
      </c>
      <c r="I76" s="2217">
        <f t="shared" si="4"/>
        <v>0</v>
      </c>
      <c r="P76" s="1818"/>
      <c r="Q76" s="1818"/>
      <c r="R76" s="1818"/>
      <c r="S76" s="1818"/>
      <c r="T76" s="1818"/>
      <c r="U76" s="1818"/>
      <c r="V76" s="1818"/>
      <c r="W76" s="1818"/>
      <c r="X76" s="1818"/>
      <c r="Y76" s="1818"/>
      <c r="Z76" s="1818"/>
      <c r="AA76" s="1818"/>
      <c r="AB76" s="1818"/>
      <c r="AC76" s="1818"/>
      <c r="AD76" s="1818"/>
      <c r="AE76" s="1818"/>
      <c r="AF76" s="1818"/>
      <c r="AG76" s="1818"/>
    </row>
    <row r="77" spans="1:33" s="1817" customFormat="1" ht="9" customHeight="1" thickBot="1">
      <c r="A77" s="1851"/>
      <c r="B77" s="1831"/>
      <c r="C77" s="1852"/>
      <c r="D77" s="1815"/>
      <c r="E77" s="1816"/>
      <c r="G77" s="1816"/>
      <c r="I77" s="1816"/>
      <c r="P77" s="1818"/>
      <c r="Q77" s="1818"/>
      <c r="R77" s="1818"/>
      <c r="S77" s="1818"/>
      <c r="T77" s="1818"/>
      <c r="U77" s="1818"/>
      <c r="V77" s="1818"/>
      <c r="W77" s="1818"/>
      <c r="X77" s="1818"/>
      <c r="Y77" s="1818"/>
      <c r="Z77" s="1818"/>
      <c r="AA77" s="1818"/>
      <c r="AB77" s="1818"/>
      <c r="AC77" s="1818"/>
      <c r="AD77" s="1818"/>
      <c r="AE77" s="1818"/>
      <c r="AF77" s="1818"/>
      <c r="AG77" s="1818"/>
    </row>
    <row r="78" spans="1:33" s="1817" customFormat="1" ht="18.75">
      <c r="A78" s="1834"/>
      <c r="B78" s="1835" t="s">
        <v>1584</v>
      </c>
      <c r="C78" s="1836" t="s">
        <v>1585</v>
      </c>
      <c r="D78" s="1815"/>
      <c r="E78" s="1816"/>
      <c r="G78" s="1816"/>
      <c r="I78" s="1816"/>
      <c r="P78" s="1818"/>
      <c r="Q78" s="1818"/>
      <c r="R78" s="1818"/>
      <c r="S78" s="1818"/>
      <c r="T78" s="1818"/>
      <c r="U78" s="1818"/>
      <c r="V78" s="1818"/>
      <c r="W78" s="1818"/>
      <c r="X78" s="1818"/>
      <c r="Y78" s="1818"/>
      <c r="Z78" s="1818"/>
      <c r="AA78" s="1818"/>
      <c r="AB78" s="1818"/>
      <c r="AC78" s="1818"/>
      <c r="AD78" s="1818"/>
      <c r="AE78" s="1818"/>
      <c r="AF78" s="1818"/>
      <c r="AG78" s="1818"/>
    </row>
    <row r="79" spans="1:33" s="1817" customFormat="1" ht="18.75">
      <c r="A79" s="1834"/>
      <c r="B79" s="1855" t="s">
        <v>1586</v>
      </c>
      <c r="C79" s="1856">
        <v>5601</v>
      </c>
      <c r="D79" s="1815"/>
      <c r="E79" s="1839">
        <f>+IF('TRIAL-BALANCE'!C$8=C79,1,0)</f>
        <v>0</v>
      </c>
      <c r="G79" s="1839">
        <v>0</v>
      </c>
      <c r="I79" s="2217">
        <f t="shared" ref="I79:I89" si="5">+E79+G79</f>
        <v>0</v>
      </c>
      <c r="P79" s="1818"/>
      <c r="Q79" s="1818"/>
      <c r="R79" s="1818"/>
      <c r="S79" s="1818"/>
      <c r="T79" s="1818"/>
      <c r="U79" s="1818"/>
      <c r="V79" s="1818"/>
      <c r="W79" s="1818"/>
      <c r="X79" s="1818"/>
      <c r="Y79" s="1818"/>
      <c r="Z79" s="1818"/>
      <c r="AA79" s="1818"/>
      <c r="AB79" s="1818"/>
      <c r="AC79" s="1818"/>
      <c r="AD79" s="1818"/>
      <c r="AE79" s="1818"/>
      <c r="AF79" s="1818"/>
      <c r="AG79" s="1818"/>
    </row>
    <row r="80" spans="1:33" s="1817" customFormat="1" ht="18.75">
      <c r="A80" s="1834"/>
      <c r="B80" s="1847" t="s">
        <v>1587</v>
      </c>
      <c r="C80" s="1846">
        <v>5602</v>
      </c>
      <c r="D80" s="1815"/>
      <c r="E80" s="1842">
        <f>+IF('TRIAL-BALANCE'!C$8=C80,1,0)</f>
        <v>0</v>
      </c>
      <c r="G80" s="1842">
        <v>0</v>
      </c>
      <c r="I80" s="2217">
        <f t="shared" si="5"/>
        <v>0</v>
      </c>
      <c r="P80" s="1818"/>
      <c r="Q80" s="1818"/>
      <c r="R80" s="1818"/>
      <c r="S80" s="1818"/>
      <c r="T80" s="1818"/>
      <c r="U80" s="1818"/>
      <c r="V80" s="1818"/>
      <c r="W80" s="1818"/>
      <c r="X80" s="1818"/>
      <c r="Y80" s="1818"/>
      <c r="Z80" s="1818"/>
      <c r="AA80" s="1818"/>
      <c r="AB80" s="1818"/>
      <c r="AC80" s="1818"/>
      <c r="AD80" s="1818"/>
      <c r="AE80" s="1818"/>
      <c r="AF80" s="1818"/>
      <c r="AG80" s="1818"/>
    </row>
    <row r="81" spans="1:33" s="1817" customFormat="1" ht="19.5">
      <c r="A81" s="1834"/>
      <c r="B81" s="1853" t="s">
        <v>1588</v>
      </c>
      <c r="C81" s="1846">
        <v>5603</v>
      </c>
      <c r="D81" s="1815"/>
      <c r="E81" s="1842">
        <f>+IF('TRIAL-BALANCE'!C$8=C81,1,0)</f>
        <v>0</v>
      </c>
      <c r="G81" s="1842">
        <v>0</v>
      </c>
      <c r="I81" s="2217">
        <f t="shared" si="5"/>
        <v>0</v>
      </c>
      <c r="P81" s="1818"/>
      <c r="Q81" s="1818"/>
      <c r="R81" s="1818"/>
      <c r="S81" s="1818"/>
      <c r="T81" s="1818"/>
      <c r="U81" s="1818"/>
      <c r="V81" s="1818"/>
      <c r="W81" s="1818"/>
      <c r="X81" s="1818"/>
      <c r="Y81" s="1818"/>
      <c r="Z81" s="1818"/>
      <c r="AA81" s="1818"/>
      <c r="AB81" s="1818"/>
      <c r="AC81" s="1818"/>
      <c r="AD81" s="1818"/>
      <c r="AE81" s="1818"/>
      <c r="AF81" s="1818"/>
      <c r="AG81" s="1818"/>
    </row>
    <row r="82" spans="1:33" s="1817" customFormat="1" ht="18.75" hidden="1">
      <c r="A82" s="1834"/>
      <c r="B82" s="1858" t="s">
        <v>1589</v>
      </c>
      <c r="C82" s="1859">
        <v>5604</v>
      </c>
      <c r="D82" s="1815"/>
      <c r="E82" s="1842">
        <f>+IF('TRIAL-BALANCE'!C$8=C82,1,0)</f>
        <v>0</v>
      </c>
      <c r="G82" s="1842">
        <v>0</v>
      </c>
      <c r="I82" s="2217">
        <f t="shared" si="5"/>
        <v>0</v>
      </c>
      <c r="P82" s="1818"/>
      <c r="Q82" s="1818"/>
      <c r="R82" s="1818"/>
      <c r="S82" s="1818"/>
      <c r="T82" s="1818"/>
      <c r="U82" s="1818"/>
      <c r="V82" s="1818"/>
      <c r="W82" s="1818"/>
      <c r="X82" s="1818"/>
      <c r="Y82" s="1818"/>
      <c r="Z82" s="1818"/>
      <c r="AA82" s="1818"/>
      <c r="AB82" s="1818"/>
      <c r="AC82" s="1818"/>
      <c r="AD82" s="1818"/>
      <c r="AE82" s="1818"/>
      <c r="AF82" s="1818"/>
      <c r="AG82" s="1818"/>
    </row>
    <row r="83" spans="1:33" s="1817" customFormat="1" ht="18.75">
      <c r="A83" s="1834"/>
      <c r="B83" s="1847" t="s">
        <v>1590</v>
      </c>
      <c r="C83" s="1846">
        <v>5605</v>
      </c>
      <c r="D83" s="1815"/>
      <c r="E83" s="1842">
        <f>+IF('TRIAL-BALANCE'!C$8=C83,1,0)</f>
        <v>0</v>
      </c>
      <c r="G83" s="1842">
        <v>0</v>
      </c>
      <c r="I83" s="2217">
        <f t="shared" si="5"/>
        <v>0</v>
      </c>
      <c r="P83" s="1818"/>
      <c r="Q83" s="1818"/>
      <c r="R83" s="1818"/>
      <c r="S83" s="1818"/>
      <c r="T83" s="1818"/>
      <c r="U83" s="1818"/>
      <c r="V83" s="1818"/>
      <c r="W83" s="1818"/>
      <c r="X83" s="1818"/>
      <c r="Y83" s="1818"/>
      <c r="Z83" s="1818"/>
      <c r="AA83" s="1818"/>
      <c r="AB83" s="1818"/>
      <c r="AC83" s="1818"/>
      <c r="AD83" s="1818"/>
      <c r="AE83" s="1818"/>
      <c r="AF83" s="1818"/>
      <c r="AG83" s="1818"/>
    </row>
    <row r="84" spans="1:33" s="1817" customFormat="1" ht="18.75">
      <c r="A84" s="1834"/>
      <c r="B84" s="1847" t="s">
        <v>1591</v>
      </c>
      <c r="C84" s="1846">
        <v>5606</v>
      </c>
      <c r="D84" s="1815"/>
      <c r="E84" s="1842">
        <f>+IF('TRIAL-BALANCE'!C$8=C84,1,0)</f>
        <v>0</v>
      </c>
      <c r="G84" s="1842">
        <v>0</v>
      </c>
      <c r="I84" s="2217">
        <f t="shared" si="5"/>
        <v>0</v>
      </c>
      <c r="P84" s="1818"/>
      <c r="Q84" s="1818"/>
      <c r="R84" s="1818"/>
      <c r="S84" s="1818"/>
      <c r="T84" s="1818"/>
      <c r="U84" s="1818"/>
      <c r="V84" s="1818"/>
      <c r="W84" s="1818"/>
      <c r="X84" s="1818"/>
      <c r="Y84" s="1818"/>
      <c r="Z84" s="1818"/>
      <c r="AA84" s="1818"/>
      <c r="AB84" s="1818"/>
      <c r="AC84" s="1818"/>
      <c r="AD84" s="1818"/>
      <c r="AE84" s="1818"/>
      <c r="AF84" s="1818"/>
      <c r="AG84" s="1818"/>
    </row>
    <row r="85" spans="1:33" s="1817" customFormat="1" ht="18.75">
      <c r="A85" s="1834"/>
      <c r="B85" s="1847" t="s">
        <v>1592</v>
      </c>
      <c r="C85" s="1846">
        <v>5607</v>
      </c>
      <c r="D85" s="1815"/>
      <c r="E85" s="1842">
        <f>+IF('TRIAL-BALANCE'!C$8=C85,1,0)</f>
        <v>0</v>
      </c>
      <c r="G85" s="1842">
        <v>0</v>
      </c>
      <c r="I85" s="2217">
        <f t="shared" si="5"/>
        <v>0</v>
      </c>
      <c r="P85" s="1818"/>
      <c r="Q85" s="1818"/>
      <c r="R85" s="1818"/>
      <c r="S85" s="1818"/>
      <c r="T85" s="1818"/>
      <c r="U85" s="1818"/>
      <c r="V85" s="1818"/>
      <c r="W85" s="1818"/>
      <c r="X85" s="1818"/>
      <c r="Y85" s="1818"/>
      <c r="Z85" s="1818"/>
      <c r="AA85" s="1818"/>
      <c r="AB85" s="1818"/>
      <c r="AC85" s="1818"/>
      <c r="AD85" s="1818"/>
      <c r="AE85" s="1818"/>
      <c r="AF85" s="1818"/>
      <c r="AG85" s="1818"/>
    </row>
    <row r="86" spans="1:33" s="1817" customFormat="1" ht="18.75">
      <c r="A86" s="1834"/>
      <c r="B86" s="1847" t="s">
        <v>1593</v>
      </c>
      <c r="C86" s="1846">
        <v>5608</v>
      </c>
      <c r="D86" s="1815"/>
      <c r="E86" s="1842">
        <f>+IF('TRIAL-BALANCE'!C$8=C86,1,0)</f>
        <v>0</v>
      </c>
      <c r="G86" s="1842">
        <v>0</v>
      </c>
      <c r="I86" s="2217">
        <f t="shared" si="5"/>
        <v>0</v>
      </c>
      <c r="P86" s="1818"/>
      <c r="Q86" s="1818"/>
      <c r="R86" s="1818"/>
      <c r="S86" s="1818"/>
      <c r="T86" s="1818"/>
      <c r="U86" s="1818"/>
      <c r="V86" s="1818"/>
      <c r="W86" s="1818"/>
      <c r="X86" s="1818"/>
      <c r="Y86" s="1818"/>
      <c r="Z86" s="1818"/>
      <c r="AA86" s="1818"/>
      <c r="AB86" s="1818"/>
      <c r="AC86" s="1818"/>
      <c r="AD86" s="1818"/>
      <c r="AE86" s="1818"/>
      <c r="AF86" s="1818"/>
      <c r="AG86" s="1818"/>
    </row>
    <row r="87" spans="1:33" s="1817" customFormat="1" ht="18.75">
      <c r="A87" s="1834"/>
      <c r="B87" s="1847" t="s">
        <v>1594</v>
      </c>
      <c r="C87" s="1846">
        <v>5609</v>
      </c>
      <c r="D87" s="1815"/>
      <c r="E87" s="1842">
        <f>+IF('TRIAL-BALANCE'!C$8=C87,1,0)</f>
        <v>0</v>
      </c>
      <c r="G87" s="1842">
        <v>0</v>
      </c>
      <c r="I87" s="2217">
        <f t="shared" si="5"/>
        <v>0</v>
      </c>
      <c r="P87" s="1818"/>
      <c r="Q87" s="1818"/>
      <c r="R87" s="1818"/>
      <c r="S87" s="1818"/>
      <c r="T87" s="1818"/>
      <c r="U87" s="1818"/>
      <c r="V87" s="1818"/>
      <c r="W87" s="1818"/>
      <c r="X87" s="1818"/>
      <c r="Y87" s="1818"/>
      <c r="Z87" s="1818"/>
      <c r="AA87" s="1818"/>
      <c r="AB87" s="1818"/>
      <c r="AC87" s="1818"/>
      <c r="AD87" s="1818"/>
      <c r="AE87" s="1818"/>
      <c r="AF87" s="1818"/>
      <c r="AG87" s="1818"/>
    </row>
    <row r="88" spans="1:33" s="1817" customFormat="1" ht="18.75">
      <c r="A88" s="1834"/>
      <c r="B88" s="1847" t="s">
        <v>1595</v>
      </c>
      <c r="C88" s="1846">
        <v>5610</v>
      </c>
      <c r="D88" s="1815"/>
      <c r="E88" s="1842">
        <f>+IF('TRIAL-BALANCE'!C$8=C88,1,0)</f>
        <v>0</v>
      </c>
      <c r="G88" s="1842">
        <v>0</v>
      </c>
      <c r="I88" s="2217">
        <f t="shared" si="5"/>
        <v>0</v>
      </c>
      <c r="P88" s="1818"/>
      <c r="Q88" s="1818"/>
      <c r="R88" s="1818"/>
      <c r="S88" s="1818"/>
      <c r="T88" s="1818"/>
      <c r="U88" s="1818"/>
      <c r="V88" s="1818"/>
      <c r="W88" s="1818"/>
      <c r="X88" s="1818"/>
      <c r="Y88" s="1818"/>
      <c r="Z88" s="1818"/>
      <c r="AA88" s="1818"/>
      <c r="AB88" s="1818"/>
      <c r="AC88" s="1818"/>
      <c r="AD88" s="1818"/>
      <c r="AE88" s="1818"/>
      <c r="AF88" s="1818"/>
      <c r="AG88" s="1818"/>
    </row>
    <row r="89" spans="1:33" s="1817" customFormat="1" ht="19.5" thickBot="1">
      <c r="A89" s="1834"/>
      <c r="B89" s="1848" t="s">
        <v>1596</v>
      </c>
      <c r="C89" s="1849">
        <v>5611</v>
      </c>
      <c r="D89" s="1815"/>
      <c r="E89" s="1850">
        <f>+IF('TRIAL-BALANCE'!C$8=C89,1,0)</f>
        <v>0</v>
      </c>
      <c r="G89" s="1850">
        <v>0</v>
      </c>
      <c r="I89" s="2217">
        <f t="shared" si="5"/>
        <v>0</v>
      </c>
      <c r="P89" s="1818"/>
      <c r="Q89" s="1818"/>
      <c r="R89" s="1818"/>
      <c r="S89" s="1818"/>
      <c r="T89" s="1818"/>
      <c r="U89" s="1818"/>
      <c r="V89" s="1818"/>
      <c r="W89" s="1818"/>
      <c r="X89" s="1818"/>
      <c r="Y89" s="1818"/>
      <c r="Z89" s="1818"/>
      <c r="AA89" s="1818"/>
      <c r="AB89" s="1818"/>
      <c r="AC89" s="1818"/>
      <c r="AD89" s="1818"/>
      <c r="AE89" s="1818"/>
      <c r="AF89" s="1818"/>
      <c r="AG89" s="1818"/>
    </row>
    <row r="90" spans="1:33" s="1817" customFormat="1" ht="9" customHeight="1" thickBot="1">
      <c r="A90" s="1851"/>
      <c r="B90" s="1831"/>
      <c r="C90" s="1852"/>
      <c r="D90" s="1815"/>
      <c r="E90" s="1816"/>
      <c r="G90" s="1816"/>
      <c r="I90" s="1816"/>
      <c r="P90" s="1818"/>
      <c r="Q90" s="1818"/>
      <c r="R90" s="1818"/>
      <c r="S90" s="1818"/>
      <c r="T90" s="1818"/>
      <c r="U90" s="1818"/>
      <c r="V90" s="1818"/>
      <c r="W90" s="1818"/>
      <c r="X90" s="1818"/>
      <c r="Y90" s="1818"/>
      <c r="Z90" s="1818"/>
      <c r="AA90" s="1818"/>
      <c r="AB90" s="1818"/>
      <c r="AC90" s="1818"/>
      <c r="AD90" s="1818"/>
      <c r="AE90" s="1818"/>
      <c r="AF90" s="1818"/>
      <c r="AG90" s="1818"/>
    </row>
    <row r="91" spans="1:33" s="1817" customFormat="1" ht="18.75">
      <c r="A91" s="1834"/>
      <c r="B91" s="1835" t="s">
        <v>1597</v>
      </c>
      <c r="C91" s="1836" t="s">
        <v>1598</v>
      </c>
      <c r="D91" s="1815"/>
      <c r="E91" s="1816"/>
      <c r="G91" s="1816"/>
      <c r="I91" s="1816"/>
      <c r="P91" s="1818"/>
      <c r="Q91" s="1818"/>
      <c r="R91" s="1818"/>
      <c r="S91" s="1818"/>
      <c r="T91" s="1818"/>
      <c r="U91" s="1818"/>
      <c r="V91" s="1818"/>
      <c r="W91" s="1818"/>
      <c r="X91" s="1818"/>
      <c r="Y91" s="1818"/>
      <c r="Z91" s="1818"/>
      <c r="AA91" s="1818"/>
      <c r="AB91" s="1818"/>
      <c r="AC91" s="1818"/>
      <c r="AD91" s="1818"/>
      <c r="AE91" s="1818"/>
      <c r="AF91" s="1818"/>
      <c r="AG91" s="1818"/>
    </row>
    <row r="92" spans="1:33" s="1817" customFormat="1" ht="19.5">
      <c r="A92" s="1834"/>
      <c r="B92" s="1857" t="s">
        <v>1599</v>
      </c>
      <c r="C92" s="1856">
        <v>5701</v>
      </c>
      <c r="D92" s="1815"/>
      <c r="E92" s="1839">
        <f>+IF('TRIAL-BALANCE'!C$8=C92,1,0)</f>
        <v>0</v>
      </c>
      <c r="G92" s="1839">
        <v>0</v>
      </c>
      <c r="I92" s="2217">
        <f>+E92+G92</f>
        <v>0</v>
      </c>
      <c r="P92" s="1818"/>
      <c r="Q92" s="1818"/>
      <c r="R92" s="1818"/>
      <c r="S92" s="1818"/>
      <c r="T92" s="1818"/>
      <c r="U92" s="1818"/>
      <c r="V92" s="1818"/>
      <c r="W92" s="1818"/>
      <c r="X92" s="1818"/>
      <c r="Y92" s="1818"/>
      <c r="Z92" s="1818"/>
      <c r="AA92" s="1818"/>
      <c r="AB92" s="1818"/>
      <c r="AC92" s="1818"/>
      <c r="AD92" s="1818"/>
      <c r="AE92" s="1818"/>
      <c r="AF92" s="1818"/>
      <c r="AG92" s="1818"/>
    </row>
    <row r="93" spans="1:33" s="1817" customFormat="1" ht="18.75">
      <c r="A93" s="1834"/>
      <c r="B93" s="1847" t="s">
        <v>1600</v>
      </c>
      <c r="C93" s="1846">
        <v>5702</v>
      </c>
      <c r="D93" s="1815"/>
      <c r="E93" s="1842">
        <f>+IF('TRIAL-BALANCE'!C$8=C93,1,0)</f>
        <v>0</v>
      </c>
      <c r="G93" s="1842">
        <v>0</v>
      </c>
      <c r="I93" s="2217">
        <f>+E93+G93</f>
        <v>0</v>
      </c>
      <c r="P93" s="1818"/>
      <c r="Q93" s="1818"/>
      <c r="R93" s="1818"/>
      <c r="S93" s="1818"/>
      <c r="T93" s="1818"/>
      <c r="U93" s="1818"/>
      <c r="V93" s="1818"/>
      <c r="W93" s="1818"/>
      <c r="X93" s="1818"/>
      <c r="Y93" s="1818"/>
      <c r="Z93" s="1818"/>
      <c r="AA93" s="1818"/>
      <c r="AB93" s="1818"/>
      <c r="AC93" s="1818"/>
      <c r="AD93" s="1818"/>
      <c r="AE93" s="1818"/>
      <c r="AF93" s="1818"/>
      <c r="AG93" s="1818"/>
    </row>
    <row r="94" spans="1:33" s="1817" customFormat="1" ht="18.75">
      <c r="A94" s="1834"/>
      <c r="B94" s="1847" t="s">
        <v>1601</v>
      </c>
      <c r="C94" s="1846">
        <v>5703</v>
      </c>
      <c r="D94" s="1815"/>
      <c r="E94" s="1842">
        <f>+IF('TRIAL-BALANCE'!C$8=C94,1,0)</f>
        <v>0</v>
      </c>
      <c r="G94" s="1842">
        <v>0</v>
      </c>
      <c r="I94" s="2217">
        <f>+E94+G94</f>
        <v>0</v>
      </c>
      <c r="P94" s="1818"/>
      <c r="Q94" s="1818"/>
      <c r="R94" s="1818"/>
      <c r="S94" s="1818"/>
      <c r="T94" s="1818"/>
      <c r="U94" s="1818"/>
      <c r="V94" s="1818"/>
      <c r="W94" s="1818"/>
      <c r="X94" s="1818"/>
      <c r="Y94" s="1818"/>
      <c r="Z94" s="1818"/>
      <c r="AA94" s="1818"/>
      <c r="AB94" s="1818"/>
      <c r="AC94" s="1818"/>
      <c r="AD94" s="1818"/>
      <c r="AE94" s="1818"/>
      <c r="AF94" s="1818"/>
      <c r="AG94" s="1818"/>
    </row>
    <row r="95" spans="1:33" s="1817" customFormat="1" ht="19.5" thickBot="1">
      <c r="A95" s="1834"/>
      <c r="B95" s="1848" t="s">
        <v>1602</v>
      </c>
      <c r="C95" s="1849">
        <v>5704</v>
      </c>
      <c r="D95" s="1815"/>
      <c r="E95" s="1850">
        <f>+IF('TRIAL-BALANCE'!C$8=C95,1,0)</f>
        <v>0</v>
      </c>
      <c r="G95" s="1850">
        <v>0</v>
      </c>
      <c r="I95" s="2217">
        <f>+E95+G95</f>
        <v>0</v>
      </c>
      <c r="P95" s="1818"/>
      <c r="Q95" s="1818"/>
      <c r="R95" s="1818"/>
      <c r="S95" s="1818"/>
      <c r="T95" s="1818"/>
      <c r="U95" s="1818"/>
      <c r="V95" s="1818"/>
      <c r="W95" s="1818"/>
      <c r="X95" s="1818"/>
      <c r="Y95" s="1818"/>
      <c r="Z95" s="1818"/>
      <c r="AA95" s="1818"/>
      <c r="AB95" s="1818"/>
      <c r="AC95" s="1818"/>
      <c r="AD95" s="1818"/>
      <c r="AE95" s="1818"/>
      <c r="AF95" s="1818"/>
      <c r="AG95" s="1818"/>
    </row>
    <row r="96" spans="1:33" s="1817" customFormat="1" ht="9" customHeight="1" thickBot="1">
      <c r="A96" s="1851"/>
      <c r="B96" s="1831"/>
      <c r="C96" s="1852"/>
      <c r="D96" s="1815"/>
      <c r="E96" s="1816"/>
      <c r="G96" s="1816"/>
      <c r="I96" s="1816"/>
      <c r="P96" s="1818"/>
      <c r="Q96" s="1818"/>
      <c r="R96" s="1818"/>
      <c r="S96" s="1818"/>
      <c r="T96" s="1818"/>
      <c r="U96" s="1818"/>
      <c r="V96" s="1818"/>
      <c r="W96" s="1818"/>
      <c r="X96" s="1818"/>
      <c r="Y96" s="1818"/>
      <c r="Z96" s="1818"/>
      <c r="AA96" s="1818"/>
      <c r="AB96" s="1818"/>
      <c r="AC96" s="1818"/>
      <c r="AD96" s="1818"/>
      <c r="AE96" s="1818"/>
      <c r="AF96" s="1818"/>
      <c r="AG96" s="1818"/>
    </row>
    <row r="97" spans="1:33" s="1817" customFormat="1" ht="18.75">
      <c r="A97" s="1834"/>
      <c r="B97" s="1835" t="s">
        <v>1603</v>
      </c>
      <c r="C97" s="1836" t="s">
        <v>1604</v>
      </c>
      <c r="D97" s="1815"/>
      <c r="E97" s="1816"/>
      <c r="G97" s="1816"/>
      <c r="I97" s="1816"/>
      <c r="P97" s="1818"/>
      <c r="Q97" s="1818"/>
      <c r="R97" s="1818"/>
      <c r="S97" s="1818"/>
      <c r="T97" s="1818"/>
      <c r="U97" s="1818"/>
      <c r="V97" s="1818"/>
      <c r="W97" s="1818"/>
      <c r="X97" s="1818"/>
      <c r="Y97" s="1818"/>
      <c r="Z97" s="1818"/>
      <c r="AA97" s="1818"/>
      <c r="AB97" s="1818"/>
      <c r="AC97" s="1818"/>
      <c r="AD97" s="1818"/>
      <c r="AE97" s="1818"/>
      <c r="AF97" s="1818"/>
      <c r="AG97" s="1818"/>
    </row>
    <row r="98" spans="1:33" s="1817" customFormat="1" ht="18.75">
      <c r="A98" s="1834"/>
      <c r="B98" s="1855" t="s">
        <v>1605</v>
      </c>
      <c r="C98" s="1856">
        <v>5801</v>
      </c>
      <c r="D98" s="1815"/>
      <c r="E98" s="1839">
        <f>+IF('TRIAL-BALANCE'!C$8=C98,1,0)</f>
        <v>0</v>
      </c>
      <c r="G98" s="1839">
        <v>0</v>
      </c>
      <c r="I98" s="2217">
        <f t="shared" ref="I98:I105" si="6">+E98+G98</f>
        <v>0</v>
      </c>
      <c r="P98" s="1818"/>
      <c r="Q98" s="1818"/>
      <c r="R98" s="1818"/>
      <c r="S98" s="1818"/>
      <c r="T98" s="1818"/>
      <c r="U98" s="1818"/>
      <c r="V98" s="1818"/>
      <c r="W98" s="1818"/>
      <c r="X98" s="1818"/>
      <c r="Y98" s="1818"/>
      <c r="Z98" s="1818"/>
      <c r="AA98" s="1818"/>
      <c r="AB98" s="1818"/>
      <c r="AC98" s="1818"/>
      <c r="AD98" s="1818"/>
      <c r="AE98" s="1818"/>
      <c r="AF98" s="1818"/>
      <c r="AG98" s="1818"/>
    </row>
    <row r="99" spans="1:33" s="1817" customFormat="1" ht="18.75">
      <c r="A99" s="1834"/>
      <c r="B99" s="1847" t="s">
        <v>1606</v>
      </c>
      <c r="C99" s="1846">
        <v>5802</v>
      </c>
      <c r="D99" s="1815"/>
      <c r="E99" s="1842">
        <f>+IF('TRIAL-BALANCE'!C$8=C99,1,0)</f>
        <v>0</v>
      </c>
      <c r="G99" s="1842">
        <v>0</v>
      </c>
      <c r="I99" s="2217">
        <f t="shared" si="6"/>
        <v>0</v>
      </c>
      <c r="P99" s="1818"/>
      <c r="Q99" s="1818"/>
      <c r="R99" s="1818"/>
      <c r="S99" s="1818"/>
      <c r="T99" s="1818"/>
      <c r="U99" s="1818"/>
      <c r="V99" s="1818"/>
      <c r="W99" s="1818"/>
      <c r="X99" s="1818"/>
      <c r="Y99" s="1818"/>
      <c r="Z99" s="1818"/>
      <c r="AA99" s="1818"/>
      <c r="AB99" s="1818"/>
      <c r="AC99" s="1818"/>
      <c r="AD99" s="1818"/>
      <c r="AE99" s="1818"/>
      <c r="AF99" s="1818"/>
      <c r="AG99" s="1818"/>
    </row>
    <row r="100" spans="1:33" s="1817" customFormat="1" ht="19.5">
      <c r="A100" s="1834"/>
      <c r="B100" s="1853" t="s">
        <v>1607</v>
      </c>
      <c r="C100" s="1846">
        <v>5803</v>
      </c>
      <c r="D100" s="1815"/>
      <c r="E100" s="1842">
        <f>+IF('TRIAL-BALANCE'!C$8=C100,1,0)</f>
        <v>0</v>
      </c>
      <c r="G100" s="1842">
        <v>0</v>
      </c>
      <c r="I100" s="2217">
        <f t="shared" si="6"/>
        <v>0</v>
      </c>
      <c r="P100" s="1818"/>
      <c r="Q100" s="1818"/>
      <c r="R100" s="1818"/>
      <c r="S100" s="1818"/>
      <c r="T100" s="1818"/>
      <c r="U100" s="1818"/>
      <c r="V100" s="1818"/>
      <c r="W100" s="1818"/>
      <c r="X100" s="1818"/>
      <c r="Y100" s="1818"/>
      <c r="Z100" s="1818"/>
      <c r="AA100" s="1818"/>
      <c r="AB100" s="1818"/>
      <c r="AC100" s="1818"/>
      <c r="AD100" s="1818"/>
      <c r="AE100" s="1818"/>
      <c r="AF100" s="1818"/>
      <c r="AG100" s="1818"/>
    </row>
    <row r="101" spans="1:33" s="1817" customFormat="1" ht="18.75">
      <c r="A101" s="1834"/>
      <c r="B101" s="1860" t="s">
        <v>1608</v>
      </c>
      <c r="C101" s="1846">
        <v>5804</v>
      </c>
      <c r="D101" s="1815"/>
      <c r="E101" s="1842">
        <f>+IF('TRIAL-BALANCE'!C$8=C101,1,0)</f>
        <v>0</v>
      </c>
      <c r="G101" s="1842">
        <v>0</v>
      </c>
      <c r="I101" s="2217">
        <f t="shared" si="6"/>
        <v>0</v>
      </c>
      <c r="P101" s="1818"/>
      <c r="Q101" s="1818"/>
      <c r="R101" s="1818"/>
      <c r="S101" s="1818"/>
      <c r="T101" s="1818"/>
      <c r="U101" s="1818"/>
      <c r="V101" s="1818"/>
      <c r="W101" s="1818"/>
      <c r="X101" s="1818"/>
      <c r="Y101" s="1818"/>
      <c r="Z101" s="1818"/>
      <c r="AA101" s="1818"/>
      <c r="AB101" s="1818"/>
      <c r="AC101" s="1818"/>
      <c r="AD101" s="1818"/>
      <c r="AE101" s="1818"/>
      <c r="AF101" s="1818"/>
      <c r="AG101" s="1818"/>
    </row>
    <row r="102" spans="1:33" s="1817" customFormat="1" ht="18.75">
      <c r="A102" s="1834"/>
      <c r="B102" s="1847" t="s">
        <v>1609</v>
      </c>
      <c r="C102" s="1846">
        <v>5805</v>
      </c>
      <c r="D102" s="1815"/>
      <c r="E102" s="1842">
        <f>+IF('TRIAL-BALANCE'!C$8=C102,1,0)</f>
        <v>0</v>
      </c>
      <c r="G102" s="1842">
        <v>0</v>
      </c>
      <c r="I102" s="2217">
        <f t="shared" si="6"/>
        <v>0</v>
      </c>
      <c r="P102" s="1818"/>
      <c r="Q102" s="1818"/>
      <c r="R102" s="1818"/>
      <c r="S102" s="1818"/>
      <c r="T102" s="1818"/>
      <c r="U102" s="1818"/>
      <c r="V102" s="1818"/>
      <c r="W102" s="1818"/>
      <c r="X102" s="1818"/>
      <c r="Y102" s="1818"/>
      <c r="Z102" s="1818"/>
      <c r="AA102" s="1818"/>
      <c r="AB102" s="1818"/>
      <c r="AC102" s="1818"/>
      <c r="AD102" s="1818"/>
      <c r="AE102" s="1818"/>
      <c r="AF102" s="1818"/>
      <c r="AG102" s="1818"/>
    </row>
    <row r="103" spans="1:33" s="1817" customFormat="1" ht="18.75">
      <c r="A103" s="1834"/>
      <c r="B103" s="1847" t="s">
        <v>1610</v>
      </c>
      <c r="C103" s="1846">
        <v>5806</v>
      </c>
      <c r="D103" s="1815"/>
      <c r="E103" s="1842">
        <f>+IF('TRIAL-BALANCE'!C$8=C103,1,0)</f>
        <v>0</v>
      </c>
      <c r="G103" s="1842">
        <v>0</v>
      </c>
      <c r="I103" s="2217">
        <f t="shared" si="6"/>
        <v>0</v>
      </c>
      <c r="P103" s="1818"/>
      <c r="Q103" s="1818"/>
      <c r="R103" s="1818"/>
      <c r="S103" s="1818"/>
      <c r="T103" s="1818"/>
      <c r="U103" s="1818"/>
      <c r="V103" s="1818"/>
      <c r="W103" s="1818"/>
      <c r="X103" s="1818"/>
      <c r="Y103" s="1818"/>
      <c r="Z103" s="1818"/>
      <c r="AA103" s="1818"/>
      <c r="AB103" s="1818"/>
      <c r="AC103" s="1818"/>
      <c r="AD103" s="1818"/>
      <c r="AE103" s="1818"/>
      <c r="AF103" s="1818"/>
      <c r="AG103" s="1818"/>
    </row>
    <row r="104" spans="1:33" s="1817" customFormat="1" ht="18.75">
      <c r="A104" s="1834"/>
      <c r="B104" s="1847" t="s">
        <v>1611</v>
      </c>
      <c r="C104" s="1846">
        <v>5807</v>
      </c>
      <c r="D104" s="1815"/>
      <c r="E104" s="1842">
        <f>+IF('TRIAL-BALANCE'!C$8=C104,1,0)</f>
        <v>0</v>
      </c>
      <c r="G104" s="1842">
        <v>0</v>
      </c>
      <c r="I104" s="2217">
        <f t="shared" si="6"/>
        <v>0</v>
      </c>
      <c r="P104" s="1818"/>
      <c r="Q104" s="1818"/>
      <c r="R104" s="1818"/>
      <c r="S104" s="1818"/>
      <c r="T104" s="1818"/>
      <c r="U104" s="1818"/>
      <c r="V104" s="1818"/>
      <c r="W104" s="1818"/>
      <c r="X104" s="1818"/>
      <c r="Y104" s="1818"/>
      <c r="Z104" s="1818"/>
      <c r="AA104" s="1818"/>
      <c r="AB104" s="1818"/>
      <c r="AC104" s="1818"/>
      <c r="AD104" s="1818"/>
      <c r="AE104" s="1818"/>
      <c r="AF104" s="1818"/>
      <c r="AG104" s="1818"/>
    </row>
    <row r="105" spans="1:33" s="1817" customFormat="1" ht="19.5" thickBot="1">
      <c r="A105" s="1834"/>
      <c r="B105" s="1848" t="s">
        <v>1612</v>
      </c>
      <c r="C105" s="1849">
        <v>5808</v>
      </c>
      <c r="D105" s="1815"/>
      <c r="E105" s="1850">
        <f>+IF('TRIAL-BALANCE'!C$8=C105,1,0)</f>
        <v>0</v>
      </c>
      <c r="G105" s="1850">
        <v>0</v>
      </c>
      <c r="I105" s="2217">
        <f t="shared" si="6"/>
        <v>0</v>
      </c>
      <c r="P105" s="1818"/>
      <c r="Q105" s="1818"/>
      <c r="R105" s="1818"/>
      <c r="S105" s="1818"/>
      <c r="T105" s="1818"/>
      <c r="U105" s="1818"/>
      <c r="V105" s="1818"/>
      <c r="W105" s="1818"/>
      <c r="X105" s="1818"/>
      <c r="Y105" s="1818"/>
      <c r="Z105" s="1818"/>
      <c r="AA105" s="1818"/>
      <c r="AB105" s="1818"/>
      <c r="AC105" s="1818"/>
      <c r="AD105" s="1818"/>
      <c r="AE105" s="1818"/>
      <c r="AF105" s="1818"/>
      <c r="AG105" s="1818"/>
    </row>
    <row r="106" spans="1:33" s="1817" customFormat="1" ht="9" customHeight="1" thickBot="1">
      <c r="A106" s="1851"/>
      <c r="B106" s="1831"/>
      <c r="C106" s="1852"/>
      <c r="D106" s="1815"/>
      <c r="E106" s="1816"/>
      <c r="G106" s="1816"/>
      <c r="I106" s="1816"/>
      <c r="P106" s="1818"/>
      <c r="Q106" s="1818"/>
      <c r="R106" s="1818"/>
      <c r="S106" s="1818"/>
      <c r="T106" s="1818"/>
      <c r="U106" s="1818"/>
      <c r="V106" s="1818"/>
      <c r="W106" s="1818"/>
      <c r="X106" s="1818"/>
      <c r="Y106" s="1818"/>
      <c r="Z106" s="1818"/>
      <c r="AA106" s="1818"/>
      <c r="AB106" s="1818"/>
      <c r="AC106" s="1818"/>
      <c r="AD106" s="1818"/>
      <c r="AE106" s="1818"/>
      <c r="AF106" s="1818"/>
      <c r="AG106" s="1818"/>
    </row>
    <row r="107" spans="1:33" s="1817" customFormat="1" ht="18.75">
      <c r="A107" s="1834"/>
      <c r="B107" s="1835" t="s">
        <v>1613</v>
      </c>
      <c r="C107" s="1836" t="s">
        <v>1614</v>
      </c>
      <c r="D107" s="1815"/>
      <c r="E107" s="1816"/>
      <c r="G107" s="1816"/>
      <c r="I107" s="1816"/>
      <c r="P107" s="1818"/>
      <c r="Q107" s="1818"/>
      <c r="R107" s="1818"/>
      <c r="S107" s="1818"/>
      <c r="T107" s="1818"/>
      <c r="U107" s="1818"/>
      <c r="V107" s="1818"/>
      <c r="W107" s="1818"/>
      <c r="X107" s="1818"/>
      <c r="Y107" s="1818"/>
      <c r="Z107" s="1818"/>
      <c r="AA107" s="1818"/>
      <c r="AB107" s="1818"/>
      <c r="AC107" s="1818"/>
      <c r="AD107" s="1818"/>
      <c r="AE107" s="1818"/>
      <c r="AF107" s="1818"/>
      <c r="AG107" s="1818"/>
    </row>
    <row r="108" spans="1:33" s="1817" customFormat="1" ht="18.75">
      <c r="A108" s="1834"/>
      <c r="B108" s="1855" t="s">
        <v>1615</v>
      </c>
      <c r="C108" s="1856">
        <v>5901</v>
      </c>
      <c r="D108" s="1815"/>
      <c r="E108" s="1839">
        <f>+IF('TRIAL-BALANCE'!C$8=C108,1,0)</f>
        <v>0</v>
      </c>
      <c r="G108" s="1839">
        <v>0</v>
      </c>
      <c r="I108" s="2217">
        <f t="shared" ref="I108:I114" si="7">+E108+G108</f>
        <v>0</v>
      </c>
      <c r="P108" s="1818"/>
      <c r="Q108" s="1818"/>
      <c r="R108" s="1818"/>
      <c r="S108" s="1818"/>
      <c r="T108" s="1818"/>
      <c r="U108" s="1818"/>
      <c r="V108" s="1818"/>
      <c r="W108" s="1818"/>
      <c r="X108" s="1818"/>
      <c r="Y108" s="1818"/>
      <c r="Z108" s="1818"/>
      <c r="AA108" s="1818"/>
      <c r="AB108" s="1818"/>
      <c r="AC108" s="1818"/>
      <c r="AD108" s="1818"/>
      <c r="AE108" s="1818"/>
      <c r="AF108" s="1818"/>
      <c r="AG108" s="1818"/>
    </row>
    <row r="109" spans="1:33" s="1817" customFormat="1" ht="18.75">
      <c r="A109" s="1834"/>
      <c r="B109" s="1847" t="s">
        <v>1616</v>
      </c>
      <c r="C109" s="1846">
        <v>5902</v>
      </c>
      <c r="D109" s="1815"/>
      <c r="E109" s="1842">
        <f>+IF('TRIAL-BALANCE'!C$8=C109,1,0)</f>
        <v>0</v>
      </c>
      <c r="G109" s="1842">
        <v>0</v>
      </c>
      <c r="I109" s="2217">
        <f t="shared" si="7"/>
        <v>0</v>
      </c>
      <c r="P109" s="1818"/>
      <c r="Q109" s="1818"/>
      <c r="R109" s="1818"/>
      <c r="S109" s="1818"/>
      <c r="T109" s="1818"/>
      <c r="U109" s="1818"/>
      <c r="V109" s="1818"/>
      <c r="W109" s="1818"/>
      <c r="X109" s="1818"/>
      <c r="Y109" s="1818"/>
      <c r="Z109" s="1818"/>
      <c r="AA109" s="1818"/>
      <c r="AB109" s="1818"/>
      <c r="AC109" s="1818"/>
      <c r="AD109" s="1818"/>
      <c r="AE109" s="1818"/>
      <c r="AF109" s="1818"/>
      <c r="AG109" s="1818"/>
    </row>
    <row r="110" spans="1:33" s="1817" customFormat="1" ht="18.75">
      <c r="A110" s="1834"/>
      <c r="B110" s="1847" t="s">
        <v>1617</v>
      </c>
      <c r="C110" s="1846">
        <v>5903</v>
      </c>
      <c r="D110" s="1815"/>
      <c r="E110" s="1842">
        <f>+IF('TRIAL-BALANCE'!C$8=C110,1,0)</f>
        <v>0</v>
      </c>
      <c r="G110" s="1842">
        <v>0</v>
      </c>
      <c r="I110" s="2217">
        <f t="shared" si="7"/>
        <v>0</v>
      </c>
      <c r="P110" s="1818"/>
      <c r="Q110" s="1818"/>
      <c r="R110" s="1818"/>
      <c r="S110" s="1818"/>
      <c r="T110" s="1818"/>
      <c r="U110" s="1818"/>
      <c r="V110" s="1818"/>
      <c r="W110" s="1818"/>
      <c r="X110" s="1818"/>
      <c r="Y110" s="1818"/>
      <c r="Z110" s="1818"/>
      <c r="AA110" s="1818"/>
      <c r="AB110" s="1818"/>
      <c r="AC110" s="1818"/>
      <c r="AD110" s="1818"/>
      <c r="AE110" s="1818"/>
      <c r="AF110" s="1818"/>
      <c r="AG110" s="1818"/>
    </row>
    <row r="111" spans="1:33" s="1817" customFormat="1" ht="18.75">
      <c r="A111" s="1834"/>
      <c r="B111" s="1847" t="s">
        <v>1618</v>
      </c>
      <c r="C111" s="1846">
        <v>5904</v>
      </c>
      <c r="D111" s="1815"/>
      <c r="E111" s="1842">
        <f>+IF('TRIAL-BALANCE'!C$8=C111,1,0)</f>
        <v>0</v>
      </c>
      <c r="G111" s="1842">
        <v>0</v>
      </c>
      <c r="I111" s="2217">
        <f t="shared" si="7"/>
        <v>0</v>
      </c>
      <c r="P111" s="1818"/>
      <c r="Q111" s="1818"/>
      <c r="R111" s="1818"/>
      <c r="S111" s="1818"/>
      <c r="T111" s="1818"/>
      <c r="U111" s="1818"/>
      <c r="V111" s="1818"/>
      <c r="W111" s="1818"/>
      <c r="X111" s="1818"/>
      <c r="Y111" s="1818"/>
      <c r="Z111" s="1818"/>
      <c r="AA111" s="1818"/>
      <c r="AB111" s="1818"/>
      <c r="AC111" s="1818"/>
      <c r="AD111" s="1818"/>
      <c r="AE111" s="1818"/>
      <c r="AF111" s="1818"/>
      <c r="AG111" s="1818"/>
    </row>
    <row r="112" spans="1:33" s="1817" customFormat="1" ht="19.5">
      <c r="A112" s="1834"/>
      <c r="B112" s="1853" t="s">
        <v>1619</v>
      </c>
      <c r="C112" s="1846">
        <v>5905</v>
      </c>
      <c r="D112" s="1815"/>
      <c r="E112" s="1842">
        <f>+IF('TRIAL-BALANCE'!C$8=C112,1,0)</f>
        <v>0</v>
      </c>
      <c r="G112" s="1842">
        <v>0</v>
      </c>
      <c r="I112" s="2217">
        <f t="shared" si="7"/>
        <v>0</v>
      </c>
      <c r="P112" s="1818"/>
      <c r="Q112" s="1818"/>
      <c r="R112" s="1818"/>
      <c r="S112" s="1818"/>
      <c r="T112" s="1818"/>
      <c r="U112" s="1818"/>
      <c r="V112" s="1818"/>
      <c r="W112" s="1818"/>
      <c r="X112" s="1818"/>
      <c r="Y112" s="1818"/>
      <c r="Z112" s="1818"/>
      <c r="AA112" s="1818"/>
      <c r="AB112" s="1818"/>
      <c r="AC112" s="1818"/>
      <c r="AD112" s="1818"/>
      <c r="AE112" s="1818"/>
      <c r="AF112" s="1818"/>
      <c r="AG112" s="1818"/>
    </row>
    <row r="113" spans="1:33" s="1817" customFormat="1" ht="18.75">
      <c r="A113" s="1834"/>
      <c r="B113" s="1847" t="s">
        <v>1620</v>
      </c>
      <c r="C113" s="1846">
        <v>5906</v>
      </c>
      <c r="D113" s="1815"/>
      <c r="E113" s="1842">
        <f>+IF('TRIAL-BALANCE'!C$8=C113,1,0)</f>
        <v>0</v>
      </c>
      <c r="G113" s="1842">
        <v>0</v>
      </c>
      <c r="I113" s="2217">
        <f t="shared" si="7"/>
        <v>0</v>
      </c>
      <c r="P113" s="1818"/>
      <c r="Q113" s="1818"/>
      <c r="R113" s="1818"/>
      <c r="S113" s="1818"/>
      <c r="T113" s="1818"/>
      <c r="U113" s="1818"/>
      <c r="V113" s="1818"/>
      <c r="W113" s="1818"/>
      <c r="X113" s="1818"/>
      <c r="Y113" s="1818"/>
      <c r="Z113" s="1818"/>
      <c r="AA113" s="1818"/>
      <c r="AB113" s="1818"/>
      <c r="AC113" s="1818"/>
      <c r="AD113" s="1818"/>
      <c r="AE113" s="1818"/>
      <c r="AF113" s="1818"/>
      <c r="AG113" s="1818"/>
    </row>
    <row r="114" spans="1:33" s="1817" customFormat="1" ht="19.5" thickBot="1">
      <c r="A114" s="1834"/>
      <c r="B114" s="1848" t="s">
        <v>1621</v>
      </c>
      <c r="C114" s="1849">
        <v>5907</v>
      </c>
      <c r="D114" s="1815"/>
      <c r="E114" s="1850">
        <f>+IF('TRIAL-BALANCE'!C$8=C114,1,0)</f>
        <v>0</v>
      </c>
      <c r="G114" s="1850">
        <v>0</v>
      </c>
      <c r="I114" s="2217">
        <f t="shared" si="7"/>
        <v>0</v>
      </c>
      <c r="P114" s="1818"/>
      <c r="Q114" s="1818"/>
      <c r="R114" s="1818"/>
      <c r="S114" s="1818"/>
      <c r="T114" s="1818"/>
      <c r="U114" s="1818"/>
      <c r="V114" s="1818"/>
      <c r="W114" s="1818"/>
      <c r="X114" s="1818"/>
      <c r="Y114" s="1818"/>
      <c r="Z114" s="1818"/>
      <c r="AA114" s="1818"/>
      <c r="AB114" s="1818"/>
      <c r="AC114" s="1818"/>
      <c r="AD114" s="1818"/>
      <c r="AE114" s="1818"/>
      <c r="AF114" s="1818"/>
      <c r="AG114" s="1818"/>
    </row>
    <row r="115" spans="1:33" s="1817" customFormat="1" ht="9" customHeight="1" thickBot="1">
      <c r="A115" s="1851"/>
      <c r="B115" s="1831"/>
      <c r="C115" s="1852"/>
      <c r="D115" s="1815"/>
      <c r="E115" s="1816"/>
      <c r="G115" s="1816"/>
      <c r="I115" s="1816"/>
      <c r="P115" s="1818"/>
      <c r="Q115" s="1818"/>
      <c r="R115" s="1818"/>
      <c r="S115" s="1818"/>
      <c r="T115" s="1818"/>
      <c r="U115" s="1818"/>
      <c r="V115" s="1818"/>
      <c r="W115" s="1818"/>
      <c r="X115" s="1818"/>
      <c r="Y115" s="1818"/>
      <c r="Z115" s="1818"/>
      <c r="AA115" s="1818"/>
      <c r="AB115" s="1818"/>
      <c r="AC115" s="1818"/>
      <c r="AD115" s="1818"/>
      <c r="AE115" s="1818"/>
      <c r="AF115" s="1818"/>
      <c r="AG115" s="1818"/>
    </row>
    <row r="116" spans="1:33" s="1817" customFormat="1" ht="18.75">
      <c r="A116" s="1834"/>
      <c r="B116" s="1835" t="s">
        <v>1622</v>
      </c>
      <c r="C116" s="1836" t="s">
        <v>1623</v>
      </c>
      <c r="D116" s="1815"/>
      <c r="E116" s="1816"/>
      <c r="G116" s="1816"/>
      <c r="I116" s="1816"/>
      <c r="P116" s="1818"/>
      <c r="Q116" s="1818"/>
      <c r="R116" s="1818"/>
      <c r="S116" s="1818"/>
      <c r="T116" s="1818"/>
      <c r="U116" s="1818"/>
      <c r="V116" s="1818"/>
      <c r="W116" s="1818"/>
      <c r="X116" s="1818"/>
      <c r="Y116" s="1818"/>
      <c r="Z116" s="1818"/>
      <c r="AA116" s="1818"/>
      <c r="AB116" s="1818"/>
      <c r="AC116" s="1818"/>
      <c r="AD116" s="1818"/>
      <c r="AE116" s="1818"/>
      <c r="AF116" s="1818"/>
      <c r="AG116" s="1818"/>
    </row>
    <row r="117" spans="1:33" s="1817" customFormat="1" ht="18.75">
      <c r="A117" s="1834"/>
      <c r="B117" s="1855" t="s">
        <v>1624</v>
      </c>
      <c r="C117" s="1856">
        <v>6001</v>
      </c>
      <c r="D117" s="1815"/>
      <c r="E117" s="1839">
        <f>+IF('TRIAL-BALANCE'!C$8=C117,1,0)</f>
        <v>0</v>
      </c>
      <c r="G117" s="1839">
        <v>0</v>
      </c>
      <c r="I117" s="2217">
        <f t="shared" ref="I117:I125" si="8">+E117+G117</f>
        <v>0</v>
      </c>
      <c r="P117" s="1818"/>
      <c r="Q117" s="1818"/>
      <c r="R117" s="1818"/>
      <c r="S117" s="1818"/>
      <c r="T117" s="1818"/>
      <c r="U117" s="1818"/>
      <c r="V117" s="1818"/>
      <c r="W117" s="1818"/>
      <c r="X117" s="1818"/>
      <c r="Y117" s="1818"/>
      <c r="Z117" s="1818"/>
      <c r="AA117" s="1818"/>
      <c r="AB117" s="1818"/>
      <c r="AC117" s="1818"/>
      <c r="AD117" s="1818"/>
      <c r="AE117" s="1818"/>
      <c r="AF117" s="1818"/>
      <c r="AG117" s="1818"/>
    </row>
    <row r="118" spans="1:33" s="1817" customFormat="1" ht="18.75">
      <c r="A118" s="1834"/>
      <c r="B118" s="1847" t="s">
        <v>1625</v>
      </c>
      <c r="C118" s="1846">
        <v>6002</v>
      </c>
      <c r="D118" s="1815"/>
      <c r="E118" s="1842">
        <f>+IF('TRIAL-BALANCE'!C$8=C118,1,0)</f>
        <v>0</v>
      </c>
      <c r="G118" s="1842">
        <v>0</v>
      </c>
      <c r="I118" s="2217">
        <f t="shared" si="8"/>
        <v>0</v>
      </c>
      <c r="P118" s="1818"/>
      <c r="Q118" s="1818"/>
      <c r="R118" s="1818"/>
      <c r="S118" s="1818"/>
      <c r="T118" s="1818"/>
      <c r="U118" s="1818"/>
      <c r="V118" s="1818"/>
      <c r="W118" s="1818"/>
      <c r="X118" s="1818"/>
      <c r="Y118" s="1818"/>
      <c r="Z118" s="1818"/>
      <c r="AA118" s="1818"/>
      <c r="AB118" s="1818"/>
      <c r="AC118" s="1818"/>
      <c r="AD118" s="1818"/>
      <c r="AE118" s="1818"/>
      <c r="AF118" s="1818"/>
      <c r="AG118" s="1818"/>
    </row>
    <row r="119" spans="1:33" s="1817" customFormat="1" ht="18.75">
      <c r="A119" s="1834"/>
      <c r="B119" s="1847" t="s">
        <v>1626</v>
      </c>
      <c r="C119" s="1846">
        <v>6003</v>
      </c>
      <c r="D119" s="1815"/>
      <c r="E119" s="1842">
        <f>+IF('TRIAL-BALANCE'!C$8=C119,1,0)</f>
        <v>0</v>
      </c>
      <c r="G119" s="1842">
        <v>0</v>
      </c>
      <c r="I119" s="2217">
        <f t="shared" si="8"/>
        <v>0</v>
      </c>
      <c r="P119" s="1818"/>
      <c r="Q119" s="1818"/>
      <c r="R119" s="1818"/>
      <c r="S119" s="1818"/>
      <c r="T119" s="1818"/>
      <c r="U119" s="1818"/>
      <c r="V119" s="1818"/>
      <c r="W119" s="1818"/>
      <c r="X119" s="1818"/>
      <c r="Y119" s="1818"/>
      <c r="Z119" s="1818"/>
      <c r="AA119" s="1818"/>
      <c r="AB119" s="1818"/>
      <c r="AC119" s="1818"/>
      <c r="AD119" s="1818"/>
      <c r="AE119" s="1818"/>
      <c r="AF119" s="1818"/>
      <c r="AG119" s="1818"/>
    </row>
    <row r="120" spans="1:33" s="1817" customFormat="1" ht="18.75">
      <c r="A120" s="1834"/>
      <c r="B120" s="1847" t="s">
        <v>1627</v>
      </c>
      <c r="C120" s="1846">
        <v>6004</v>
      </c>
      <c r="D120" s="1815"/>
      <c r="E120" s="1842">
        <f>+IF('TRIAL-BALANCE'!C$8=C120,1,0)</f>
        <v>0</v>
      </c>
      <c r="G120" s="1842">
        <v>0</v>
      </c>
      <c r="I120" s="2217">
        <f t="shared" si="8"/>
        <v>0</v>
      </c>
      <c r="P120" s="1818"/>
      <c r="Q120" s="1818"/>
      <c r="R120" s="1818"/>
      <c r="S120" s="1818"/>
      <c r="T120" s="1818"/>
      <c r="U120" s="1818"/>
      <c r="V120" s="1818"/>
      <c r="W120" s="1818"/>
      <c r="X120" s="1818"/>
      <c r="Y120" s="1818"/>
      <c r="Z120" s="1818"/>
      <c r="AA120" s="1818"/>
      <c r="AB120" s="1818"/>
      <c r="AC120" s="1818"/>
      <c r="AD120" s="1818"/>
      <c r="AE120" s="1818"/>
      <c r="AF120" s="1818"/>
      <c r="AG120" s="1818"/>
    </row>
    <row r="121" spans="1:33" s="1817" customFormat="1" ht="19.5">
      <c r="A121" s="1834"/>
      <c r="B121" s="1853" t="s">
        <v>1628</v>
      </c>
      <c r="C121" s="1846">
        <v>6005</v>
      </c>
      <c r="D121" s="1815"/>
      <c r="E121" s="1842">
        <f>+IF('TRIAL-BALANCE'!C$8=C121,1,0)</f>
        <v>0</v>
      </c>
      <c r="G121" s="1842">
        <v>0</v>
      </c>
      <c r="I121" s="2217">
        <f t="shared" si="8"/>
        <v>0</v>
      </c>
      <c r="P121" s="1818"/>
      <c r="Q121" s="1818"/>
      <c r="R121" s="1818"/>
      <c r="S121" s="1818"/>
      <c r="T121" s="1818"/>
      <c r="U121" s="1818"/>
      <c r="V121" s="1818"/>
      <c r="W121" s="1818"/>
      <c r="X121" s="1818"/>
      <c r="Y121" s="1818"/>
      <c r="Z121" s="1818"/>
      <c r="AA121" s="1818"/>
      <c r="AB121" s="1818"/>
      <c r="AC121" s="1818"/>
      <c r="AD121" s="1818"/>
      <c r="AE121" s="1818"/>
      <c r="AF121" s="1818"/>
      <c r="AG121" s="1818"/>
    </row>
    <row r="122" spans="1:33" s="1817" customFormat="1" ht="18.75">
      <c r="A122" s="1834"/>
      <c r="B122" s="1847" t="s">
        <v>1629</v>
      </c>
      <c r="C122" s="1846">
        <v>6006</v>
      </c>
      <c r="D122" s="1815"/>
      <c r="E122" s="1842">
        <f>+IF('TRIAL-BALANCE'!C$8=C122,1,0)</f>
        <v>0</v>
      </c>
      <c r="G122" s="1842">
        <v>0</v>
      </c>
      <c r="I122" s="2217">
        <f t="shared" si="8"/>
        <v>0</v>
      </c>
      <c r="P122" s="1818"/>
      <c r="Q122" s="1818"/>
      <c r="R122" s="1818"/>
      <c r="S122" s="1818"/>
      <c r="T122" s="1818"/>
      <c r="U122" s="1818"/>
      <c r="V122" s="1818"/>
      <c r="W122" s="1818"/>
      <c r="X122" s="1818"/>
      <c r="Y122" s="1818"/>
      <c r="Z122" s="1818"/>
      <c r="AA122" s="1818"/>
      <c r="AB122" s="1818"/>
      <c r="AC122" s="1818"/>
      <c r="AD122" s="1818"/>
      <c r="AE122" s="1818"/>
      <c r="AF122" s="1818"/>
      <c r="AG122" s="1818"/>
    </row>
    <row r="123" spans="1:33" s="1817" customFormat="1" ht="18.75">
      <c r="A123" s="1834"/>
      <c r="B123" s="1847" t="s">
        <v>1630</v>
      </c>
      <c r="C123" s="1846">
        <v>6007</v>
      </c>
      <c r="D123" s="1815"/>
      <c r="E123" s="1842">
        <f>+IF('TRIAL-BALANCE'!C$8=C123,1,0)</f>
        <v>0</v>
      </c>
      <c r="G123" s="1842">
        <v>0</v>
      </c>
      <c r="I123" s="2217">
        <f t="shared" si="8"/>
        <v>0</v>
      </c>
      <c r="P123" s="1818"/>
      <c r="Q123" s="1818"/>
      <c r="R123" s="1818"/>
      <c r="S123" s="1818"/>
      <c r="T123" s="1818"/>
      <c r="U123" s="1818"/>
      <c r="V123" s="1818"/>
      <c r="W123" s="1818"/>
      <c r="X123" s="1818"/>
      <c r="Y123" s="1818"/>
      <c r="Z123" s="1818"/>
      <c r="AA123" s="1818"/>
      <c r="AB123" s="1818"/>
      <c r="AC123" s="1818"/>
      <c r="AD123" s="1818"/>
      <c r="AE123" s="1818"/>
      <c r="AF123" s="1818"/>
      <c r="AG123" s="1818"/>
    </row>
    <row r="124" spans="1:33" s="1817" customFormat="1" ht="18.75">
      <c r="A124" s="1834"/>
      <c r="B124" s="1847" t="s">
        <v>1631</v>
      </c>
      <c r="C124" s="1846">
        <v>6008</v>
      </c>
      <c r="D124" s="1815"/>
      <c r="E124" s="1842">
        <f>+IF('TRIAL-BALANCE'!C$8=C124,1,0)</f>
        <v>0</v>
      </c>
      <c r="G124" s="1842">
        <v>0</v>
      </c>
      <c r="I124" s="2217">
        <f t="shared" si="8"/>
        <v>0</v>
      </c>
      <c r="P124" s="1818"/>
      <c r="Q124" s="1818"/>
      <c r="R124" s="1818"/>
      <c r="S124" s="1818"/>
      <c r="T124" s="1818"/>
      <c r="U124" s="1818"/>
      <c r="V124" s="1818"/>
      <c r="W124" s="1818"/>
      <c r="X124" s="1818"/>
      <c r="Y124" s="1818"/>
      <c r="Z124" s="1818"/>
      <c r="AA124" s="1818"/>
      <c r="AB124" s="1818"/>
      <c r="AC124" s="1818"/>
      <c r="AD124" s="1818"/>
      <c r="AE124" s="1818"/>
      <c r="AF124" s="1818"/>
      <c r="AG124" s="1818"/>
    </row>
    <row r="125" spans="1:33" s="1817" customFormat="1" ht="19.5" thickBot="1">
      <c r="A125" s="1834"/>
      <c r="B125" s="1848" t="s">
        <v>1632</v>
      </c>
      <c r="C125" s="1849">
        <v>6009</v>
      </c>
      <c r="D125" s="1815"/>
      <c r="E125" s="1850">
        <f>+IF('TRIAL-BALANCE'!C$8=C125,1,0)</f>
        <v>0</v>
      </c>
      <c r="G125" s="1850">
        <v>0</v>
      </c>
      <c r="I125" s="2217">
        <f t="shared" si="8"/>
        <v>0</v>
      </c>
      <c r="P125" s="1818"/>
      <c r="Q125" s="1818"/>
      <c r="R125" s="1818"/>
      <c r="S125" s="1818"/>
      <c r="T125" s="1818"/>
      <c r="U125" s="1818"/>
      <c r="V125" s="1818"/>
      <c r="W125" s="1818"/>
      <c r="X125" s="1818"/>
      <c r="Y125" s="1818"/>
      <c r="Z125" s="1818"/>
      <c r="AA125" s="1818"/>
      <c r="AB125" s="1818"/>
      <c r="AC125" s="1818"/>
      <c r="AD125" s="1818"/>
      <c r="AE125" s="1818"/>
      <c r="AF125" s="1818"/>
      <c r="AG125" s="1818"/>
    </row>
    <row r="126" spans="1:33" s="1817" customFormat="1" ht="9" customHeight="1" thickBot="1">
      <c r="A126" s="1851"/>
      <c r="B126" s="1831"/>
      <c r="C126" s="1852"/>
      <c r="D126" s="1815"/>
      <c r="E126" s="1816"/>
      <c r="G126" s="1816"/>
      <c r="I126" s="1816"/>
      <c r="P126" s="1818"/>
      <c r="Q126" s="1818"/>
      <c r="R126" s="1818"/>
      <c r="S126" s="1818"/>
      <c r="T126" s="1818"/>
      <c r="U126" s="1818"/>
      <c r="V126" s="1818"/>
      <c r="W126" s="1818"/>
      <c r="X126" s="1818"/>
      <c r="Y126" s="1818"/>
      <c r="Z126" s="1818"/>
      <c r="AA126" s="1818"/>
      <c r="AB126" s="1818"/>
      <c r="AC126" s="1818"/>
      <c r="AD126" s="1818"/>
      <c r="AE126" s="1818"/>
      <c r="AF126" s="1818"/>
      <c r="AG126" s="1818"/>
    </row>
    <row r="127" spans="1:33" s="1817" customFormat="1" ht="18.75">
      <c r="A127" s="1834"/>
      <c r="B127" s="1835" t="s">
        <v>1633</v>
      </c>
      <c r="C127" s="1836" t="s">
        <v>1634</v>
      </c>
      <c r="D127" s="1815"/>
      <c r="E127" s="1816"/>
      <c r="G127" s="1816"/>
      <c r="I127" s="1816"/>
      <c r="P127" s="1818"/>
      <c r="Q127" s="1818"/>
      <c r="R127" s="1818"/>
      <c r="S127" s="1818"/>
      <c r="T127" s="1818"/>
      <c r="U127" s="1818"/>
      <c r="V127" s="1818"/>
      <c r="W127" s="1818"/>
      <c r="X127" s="1818"/>
      <c r="Y127" s="1818"/>
      <c r="Z127" s="1818"/>
      <c r="AA127" s="1818"/>
      <c r="AB127" s="1818"/>
      <c r="AC127" s="1818"/>
      <c r="AD127" s="1818"/>
      <c r="AE127" s="1818"/>
      <c r="AF127" s="1818"/>
      <c r="AG127" s="1818"/>
    </row>
    <row r="128" spans="1:33" s="1817" customFormat="1" ht="18.75">
      <c r="A128" s="1834"/>
      <c r="B128" s="1855" t="s">
        <v>1635</v>
      </c>
      <c r="C128" s="1856">
        <v>6101</v>
      </c>
      <c r="D128" s="1815"/>
      <c r="E128" s="1839">
        <f>+IF('TRIAL-BALANCE'!C$8=C128,1,0)</f>
        <v>0</v>
      </c>
      <c r="G128" s="1839">
        <v>0</v>
      </c>
      <c r="I128" s="2217">
        <f t="shared" ref="I128:I135" si="9">+E128+G128</f>
        <v>0</v>
      </c>
      <c r="P128" s="1818"/>
      <c r="Q128" s="1818"/>
      <c r="R128" s="1818"/>
      <c r="S128" s="1818"/>
      <c r="T128" s="1818"/>
      <c r="U128" s="1818"/>
      <c r="V128" s="1818"/>
      <c r="W128" s="1818"/>
      <c r="X128" s="1818"/>
      <c r="Y128" s="1818"/>
      <c r="Z128" s="1818"/>
      <c r="AA128" s="1818"/>
      <c r="AB128" s="1818"/>
      <c r="AC128" s="1818"/>
      <c r="AD128" s="1818"/>
      <c r="AE128" s="1818"/>
      <c r="AF128" s="1818"/>
      <c r="AG128" s="1818"/>
    </row>
    <row r="129" spans="1:33" s="1817" customFormat="1" ht="18.75">
      <c r="A129" s="1834"/>
      <c r="B129" s="1847" t="s">
        <v>1636</v>
      </c>
      <c r="C129" s="1846">
        <v>6102</v>
      </c>
      <c r="D129" s="1815"/>
      <c r="E129" s="1842">
        <f>+IF('TRIAL-BALANCE'!C$8=C129,1,0)</f>
        <v>0</v>
      </c>
      <c r="G129" s="1842">
        <v>0</v>
      </c>
      <c r="I129" s="2217">
        <f t="shared" si="9"/>
        <v>0</v>
      </c>
      <c r="P129" s="1818"/>
      <c r="Q129" s="1818"/>
      <c r="R129" s="1818"/>
      <c r="S129" s="1818"/>
      <c r="T129" s="1818"/>
      <c r="U129" s="1818"/>
      <c r="V129" s="1818"/>
      <c r="W129" s="1818"/>
      <c r="X129" s="1818"/>
      <c r="Y129" s="1818"/>
      <c r="Z129" s="1818"/>
      <c r="AA129" s="1818"/>
      <c r="AB129" s="1818"/>
      <c r="AC129" s="1818"/>
      <c r="AD129" s="1818"/>
      <c r="AE129" s="1818"/>
      <c r="AF129" s="1818"/>
      <c r="AG129" s="1818"/>
    </row>
    <row r="130" spans="1:33" s="1817" customFormat="1" ht="19.5">
      <c r="A130" s="1834"/>
      <c r="B130" s="1853" t="s">
        <v>1637</v>
      </c>
      <c r="C130" s="1846">
        <v>6103</v>
      </c>
      <c r="D130" s="1815"/>
      <c r="E130" s="1842">
        <f>+IF('TRIAL-BALANCE'!C$8=C130,1,0)</f>
        <v>0</v>
      </c>
      <c r="G130" s="1842">
        <v>0</v>
      </c>
      <c r="I130" s="2217">
        <f t="shared" si="9"/>
        <v>0</v>
      </c>
      <c r="P130" s="1818"/>
      <c r="Q130" s="1818"/>
      <c r="R130" s="1818"/>
      <c r="S130" s="1818"/>
      <c r="T130" s="1818"/>
      <c r="U130" s="1818"/>
      <c r="V130" s="1818"/>
      <c r="W130" s="1818"/>
      <c r="X130" s="1818"/>
      <c r="Y130" s="1818"/>
      <c r="Z130" s="1818"/>
      <c r="AA130" s="1818"/>
      <c r="AB130" s="1818"/>
      <c r="AC130" s="1818"/>
      <c r="AD130" s="1818"/>
      <c r="AE130" s="1818"/>
      <c r="AF130" s="1818"/>
      <c r="AG130" s="1818"/>
    </row>
    <row r="131" spans="1:33" s="1817" customFormat="1" ht="18.75">
      <c r="A131" s="1834"/>
      <c r="B131" s="1847" t="s">
        <v>1638</v>
      </c>
      <c r="C131" s="1846">
        <v>6104</v>
      </c>
      <c r="D131" s="1815"/>
      <c r="E131" s="1842">
        <f>+IF('TRIAL-BALANCE'!C$8=C131,1,0)</f>
        <v>0</v>
      </c>
      <c r="G131" s="1842">
        <v>0</v>
      </c>
      <c r="I131" s="2217">
        <f t="shared" si="9"/>
        <v>0</v>
      </c>
      <c r="P131" s="1818"/>
      <c r="Q131" s="1818"/>
      <c r="R131" s="1818"/>
      <c r="S131" s="1818"/>
      <c r="T131" s="1818"/>
      <c r="U131" s="1818"/>
      <c r="V131" s="1818"/>
      <c r="W131" s="1818"/>
      <c r="X131" s="1818"/>
      <c r="Y131" s="1818"/>
      <c r="Z131" s="1818"/>
      <c r="AA131" s="1818"/>
      <c r="AB131" s="1818"/>
      <c r="AC131" s="1818"/>
      <c r="AD131" s="1818"/>
      <c r="AE131" s="1818"/>
      <c r="AF131" s="1818"/>
      <c r="AG131" s="1818"/>
    </row>
    <row r="132" spans="1:33" s="1817" customFormat="1" ht="18.75">
      <c r="A132" s="1834"/>
      <c r="B132" s="1847" t="s">
        <v>1639</v>
      </c>
      <c r="C132" s="1846">
        <v>6105</v>
      </c>
      <c r="D132" s="1815"/>
      <c r="E132" s="1842">
        <f>+IF('TRIAL-BALANCE'!C$8=C132,1,0)</f>
        <v>0</v>
      </c>
      <c r="G132" s="1842">
        <v>0</v>
      </c>
      <c r="I132" s="2217">
        <f t="shared" si="9"/>
        <v>0</v>
      </c>
      <c r="P132" s="1818"/>
      <c r="Q132" s="1818"/>
      <c r="R132" s="1818"/>
      <c r="S132" s="1818"/>
      <c r="T132" s="1818"/>
      <c r="U132" s="1818"/>
      <c r="V132" s="1818"/>
      <c r="W132" s="1818"/>
      <c r="X132" s="1818"/>
      <c r="Y132" s="1818"/>
      <c r="Z132" s="1818"/>
      <c r="AA132" s="1818"/>
      <c r="AB132" s="1818"/>
      <c r="AC132" s="1818"/>
      <c r="AD132" s="1818"/>
      <c r="AE132" s="1818"/>
      <c r="AF132" s="1818"/>
      <c r="AG132" s="1818"/>
    </row>
    <row r="133" spans="1:33" s="1817" customFormat="1" ht="18.75">
      <c r="A133" s="1834"/>
      <c r="B133" s="1847" t="s">
        <v>1640</v>
      </c>
      <c r="C133" s="1846">
        <v>6106</v>
      </c>
      <c r="D133" s="1815"/>
      <c r="E133" s="1842">
        <f>+IF('TRIAL-BALANCE'!C$8=C133,1,0)</f>
        <v>0</v>
      </c>
      <c r="G133" s="1842">
        <v>0</v>
      </c>
      <c r="I133" s="2217">
        <f t="shared" si="9"/>
        <v>0</v>
      </c>
      <c r="P133" s="1818"/>
      <c r="Q133" s="1818"/>
      <c r="R133" s="1818"/>
      <c r="S133" s="1818"/>
      <c r="T133" s="1818"/>
      <c r="U133" s="1818"/>
      <c r="V133" s="1818"/>
      <c r="W133" s="1818"/>
      <c r="X133" s="1818"/>
      <c r="Y133" s="1818"/>
      <c r="Z133" s="1818"/>
      <c r="AA133" s="1818"/>
      <c r="AB133" s="1818"/>
      <c r="AC133" s="1818"/>
      <c r="AD133" s="1818"/>
      <c r="AE133" s="1818"/>
      <c r="AF133" s="1818"/>
      <c r="AG133" s="1818"/>
    </row>
    <row r="134" spans="1:33" s="1817" customFormat="1" ht="18.75">
      <c r="A134" s="1834"/>
      <c r="B134" s="1847" t="s">
        <v>1641</v>
      </c>
      <c r="C134" s="1846">
        <v>6107</v>
      </c>
      <c r="D134" s="1815"/>
      <c r="E134" s="1842">
        <f>+IF('TRIAL-BALANCE'!C$8=C134,1,0)</f>
        <v>0</v>
      </c>
      <c r="G134" s="1842">
        <v>0</v>
      </c>
      <c r="I134" s="2217">
        <f t="shared" si="9"/>
        <v>0</v>
      </c>
      <c r="P134" s="1818"/>
      <c r="Q134" s="1818"/>
      <c r="R134" s="1818"/>
      <c r="S134" s="1818"/>
      <c r="T134" s="1818"/>
      <c r="U134" s="1818"/>
      <c r="V134" s="1818"/>
      <c r="W134" s="1818"/>
      <c r="X134" s="1818"/>
      <c r="Y134" s="1818"/>
      <c r="Z134" s="1818"/>
      <c r="AA134" s="1818"/>
      <c r="AB134" s="1818"/>
      <c r="AC134" s="1818"/>
      <c r="AD134" s="1818"/>
      <c r="AE134" s="1818"/>
      <c r="AF134" s="1818"/>
      <c r="AG134" s="1818"/>
    </row>
    <row r="135" spans="1:33" s="1817" customFormat="1" ht="19.5" thickBot="1">
      <c r="A135" s="1834"/>
      <c r="B135" s="1848" t="s">
        <v>1642</v>
      </c>
      <c r="C135" s="1849">
        <v>6108</v>
      </c>
      <c r="D135" s="1815"/>
      <c r="E135" s="1850">
        <f>+IF('TRIAL-BALANCE'!C$8=C135,1,0)</f>
        <v>0</v>
      </c>
      <c r="G135" s="1850">
        <v>0</v>
      </c>
      <c r="I135" s="2217">
        <f t="shared" si="9"/>
        <v>0</v>
      </c>
      <c r="P135" s="1818"/>
      <c r="Q135" s="1818"/>
      <c r="R135" s="1818"/>
      <c r="S135" s="1818"/>
      <c r="T135" s="1818"/>
      <c r="U135" s="1818"/>
      <c r="V135" s="1818"/>
      <c r="W135" s="1818"/>
      <c r="X135" s="1818"/>
      <c r="Y135" s="1818"/>
      <c r="Z135" s="1818"/>
      <c r="AA135" s="1818"/>
      <c r="AB135" s="1818"/>
      <c r="AC135" s="1818"/>
      <c r="AD135" s="1818"/>
      <c r="AE135" s="1818"/>
      <c r="AF135" s="1818"/>
      <c r="AG135" s="1818"/>
    </row>
    <row r="136" spans="1:33" s="1817" customFormat="1" ht="9" customHeight="1" thickBot="1">
      <c r="A136" s="1851"/>
      <c r="B136" s="1861"/>
      <c r="C136" s="1852"/>
      <c r="D136" s="1815"/>
      <c r="E136" s="1816"/>
      <c r="G136" s="1816"/>
      <c r="I136" s="1816"/>
      <c r="P136" s="1818"/>
      <c r="Q136" s="1818"/>
      <c r="R136" s="1818"/>
      <c r="S136" s="1818"/>
      <c r="T136" s="1818"/>
      <c r="U136" s="1818"/>
      <c r="V136" s="1818"/>
      <c r="W136" s="1818"/>
      <c r="X136" s="1818"/>
      <c r="Y136" s="1818"/>
      <c r="Z136" s="1818"/>
      <c r="AA136" s="1818"/>
      <c r="AB136" s="1818"/>
      <c r="AC136" s="1818"/>
      <c r="AD136" s="1818"/>
      <c r="AE136" s="1818"/>
      <c r="AF136" s="1818"/>
      <c r="AG136" s="1818"/>
    </row>
    <row r="137" spans="1:33" s="1817" customFormat="1" ht="18.75">
      <c r="A137" s="1834"/>
      <c r="B137" s="1835" t="s">
        <v>1643</v>
      </c>
      <c r="C137" s="1836" t="s">
        <v>1644</v>
      </c>
      <c r="D137" s="1815"/>
      <c r="E137" s="1816"/>
      <c r="G137" s="1816"/>
      <c r="I137" s="1816"/>
      <c r="P137" s="1818"/>
      <c r="Q137" s="1818"/>
      <c r="R137" s="1818"/>
      <c r="S137" s="1818"/>
      <c r="T137" s="1818"/>
      <c r="U137" s="1818"/>
      <c r="V137" s="1818"/>
      <c r="W137" s="1818"/>
      <c r="X137" s="1818"/>
      <c r="Y137" s="1818"/>
      <c r="Z137" s="1818"/>
      <c r="AA137" s="1818"/>
      <c r="AB137" s="1818"/>
      <c r="AC137" s="1818"/>
      <c r="AD137" s="1818"/>
      <c r="AE137" s="1818"/>
      <c r="AF137" s="1818"/>
      <c r="AG137" s="1818"/>
    </row>
    <row r="138" spans="1:33" s="1817" customFormat="1" ht="18.75">
      <c r="A138" s="1834"/>
      <c r="B138" s="1855" t="s">
        <v>1645</v>
      </c>
      <c r="C138" s="1856">
        <v>6201</v>
      </c>
      <c r="D138" s="1815"/>
      <c r="E138" s="1839">
        <f>+IF('TRIAL-BALANCE'!C$8=C138,1,0)</f>
        <v>0</v>
      </c>
      <c r="G138" s="1839">
        <v>0</v>
      </c>
      <c r="I138" s="2217">
        <f t="shared" ref="I138:I148" si="10">+E138+G138</f>
        <v>0</v>
      </c>
      <c r="P138" s="1818"/>
      <c r="Q138" s="1818"/>
      <c r="R138" s="1818"/>
      <c r="S138" s="1818"/>
      <c r="T138" s="1818"/>
      <c r="U138" s="1818"/>
      <c r="V138" s="1818"/>
      <c r="W138" s="1818"/>
      <c r="X138" s="1818"/>
      <c r="Y138" s="1818"/>
      <c r="Z138" s="1818"/>
      <c r="AA138" s="1818"/>
      <c r="AB138" s="1818"/>
      <c r="AC138" s="1818"/>
      <c r="AD138" s="1818"/>
      <c r="AE138" s="1818"/>
      <c r="AF138" s="1818"/>
      <c r="AG138" s="1818"/>
    </row>
    <row r="139" spans="1:33" s="1817" customFormat="1" ht="18.75">
      <c r="A139" s="1834"/>
      <c r="B139" s="1847" t="s">
        <v>1646</v>
      </c>
      <c r="C139" s="1846">
        <v>6202</v>
      </c>
      <c r="D139" s="1815"/>
      <c r="E139" s="1842">
        <f>+IF('TRIAL-BALANCE'!C$8=C139,1,0)</f>
        <v>0</v>
      </c>
      <c r="G139" s="1842">
        <v>0</v>
      </c>
      <c r="I139" s="2217">
        <f t="shared" si="10"/>
        <v>0</v>
      </c>
      <c r="P139" s="1818"/>
      <c r="Q139" s="1818"/>
      <c r="R139" s="1818"/>
      <c r="S139" s="1818"/>
      <c r="T139" s="1818"/>
      <c r="U139" s="1818"/>
      <c r="V139" s="1818"/>
      <c r="W139" s="1818"/>
      <c r="X139" s="1818"/>
      <c r="Y139" s="1818"/>
      <c r="Z139" s="1818"/>
      <c r="AA139" s="1818"/>
      <c r="AB139" s="1818"/>
      <c r="AC139" s="1818"/>
      <c r="AD139" s="1818"/>
      <c r="AE139" s="1818"/>
      <c r="AF139" s="1818"/>
      <c r="AG139" s="1818"/>
    </row>
    <row r="140" spans="1:33" s="1817" customFormat="1" ht="18.75">
      <c r="A140" s="1834"/>
      <c r="B140" s="1847" t="s">
        <v>1647</v>
      </c>
      <c r="C140" s="1846">
        <v>6203</v>
      </c>
      <c r="D140" s="1815"/>
      <c r="E140" s="1842">
        <f>+IF('TRIAL-BALANCE'!C$8=C140,1,0)</f>
        <v>0</v>
      </c>
      <c r="G140" s="1842">
        <v>0</v>
      </c>
      <c r="I140" s="2217">
        <f t="shared" si="10"/>
        <v>0</v>
      </c>
      <c r="P140" s="1818"/>
      <c r="Q140" s="1818"/>
      <c r="R140" s="1818"/>
      <c r="S140" s="1818"/>
      <c r="T140" s="1818"/>
      <c r="U140" s="1818"/>
      <c r="V140" s="1818"/>
      <c r="W140" s="1818"/>
      <c r="X140" s="1818"/>
      <c r="Y140" s="1818"/>
      <c r="Z140" s="1818"/>
      <c r="AA140" s="1818"/>
      <c r="AB140" s="1818"/>
      <c r="AC140" s="1818"/>
      <c r="AD140" s="1818"/>
      <c r="AE140" s="1818"/>
      <c r="AF140" s="1818"/>
      <c r="AG140" s="1818"/>
    </row>
    <row r="141" spans="1:33" s="1817" customFormat="1" ht="18.75">
      <c r="A141" s="1834"/>
      <c r="B141" s="1847" t="s">
        <v>1648</v>
      </c>
      <c r="C141" s="1846">
        <v>6204</v>
      </c>
      <c r="D141" s="1815"/>
      <c r="E141" s="1842">
        <f>+IF('TRIAL-BALANCE'!C$8=C141,1,0)</f>
        <v>0</v>
      </c>
      <c r="G141" s="1842">
        <v>0</v>
      </c>
      <c r="I141" s="2217">
        <f t="shared" si="10"/>
        <v>0</v>
      </c>
      <c r="P141" s="1818"/>
      <c r="Q141" s="1818"/>
      <c r="R141" s="1818"/>
      <c r="S141" s="1818"/>
      <c r="T141" s="1818"/>
      <c r="U141" s="1818"/>
      <c r="V141" s="1818"/>
      <c r="W141" s="1818"/>
      <c r="X141" s="1818"/>
      <c r="Y141" s="1818"/>
      <c r="Z141" s="1818"/>
      <c r="AA141" s="1818"/>
      <c r="AB141" s="1818"/>
      <c r="AC141" s="1818"/>
      <c r="AD141" s="1818"/>
      <c r="AE141" s="1818"/>
      <c r="AF141" s="1818"/>
      <c r="AG141" s="1818"/>
    </row>
    <row r="142" spans="1:33" s="1817" customFormat="1" ht="18.75">
      <c r="A142" s="1834"/>
      <c r="B142" s="1847" t="s">
        <v>1649</v>
      </c>
      <c r="C142" s="1846">
        <v>6205</v>
      </c>
      <c r="D142" s="1815"/>
      <c r="E142" s="1842">
        <f>+IF('TRIAL-BALANCE'!C$8=C142,1,0)</f>
        <v>0</v>
      </c>
      <c r="G142" s="1842">
        <v>0</v>
      </c>
      <c r="I142" s="2217">
        <f t="shared" si="10"/>
        <v>0</v>
      </c>
      <c r="P142" s="1818"/>
      <c r="Q142" s="1818"/>
      <c r="R142" s="1818"/>
      <c r="S142" s="1818"/>
      <c r="T142" s="1818"/>
      <c r="U142" s="1818"/>
      <c r="V142" s="1818"/>
      <c r="W142" s="1818"/>
      <c r="X142" s="1818"/>
      <c r="Y142" s="1818"/>
      <c r="Z142" s="1818"/>
      <c r="AA142" s="1818"/>
      <c r="AB142" s="1818"/>
      <c r="AC142" s="1818"/>
      <c r="AD142" s="1818"/>
      <c r="AE142" s="1818"/>
      <c r="AF142" s="1818"/>
      <c r="AG142" s="1818"/>
    </row>
    <row r="143" spans="1:33" s="1817" customFormat="1" ht="18.75">
      <c r="A143" s="1834"/>
      <c r="B143" s="1847" t="s">
        <v>1650</v>
      </c>
      <c r="C143" s="1846">
        <v>6206</v>
      </c>
      <c r="D143" s="1815"/>
      <c r="E143" s="1842">
        <f>+IF('TRIAL-BALANCE'!C$8=C143,1,0)</f>
        <v>0</v>
      </c>
      <c r="G143" s="1842">
        <v>0</v>
      </c>
      <c r="I143" s="2217">
        <f t="shared" si="10"/>
        <v>0</v>
      </c>
      <c r="P143" s="1818"/>
      <c r="Q143" s="1818"/>
      <c r="R143" s="1818"/>
      <c r="S143" s="1818"/>
      <c r="T143" s="1818"/>
      <c r="U143" s="1818"/>
      <c r="V143" s="1818"/>
      <c r="W143" s="1818"/>
      <c r="X143" s="1818"/>
      <c r="Y143" s="1818"/>
      <c r="Z143" s="1818"/>
      <c r="AA143" s="1818"/>
      <c r="AB143" s="1818"/>
      <c r="AC143" s="1818"/>
      <c r="AD143" s="1818"/>
      <c r="AE143" s="1818"/>
      <c r="AF143" s="1818"/>
      <c r="AG143" s="1818"/>
    </row>
    <row r="144" spans="1:33" s="1817" customFormat="1" ht="18.75">
      <c r="A144" s="1834"/>
      <c r="B144" s="1847" t="s">
        <v>1651</v>
      </c>
      <c r="C144" s="1846">
        <v>6207</v>
      </c>
      <c r="D144" s="1815"/>
      <c r="E144" s="1842">
        <f>+IF('TRIAL-BALANCE'!C$8=C144,1,0)</f>
        <v>0</v>
      </c>
      <c r="G144" s="1842">
        <v>0</v>
      </c>
      <c r="I144" s="2217">
        <f t="shared" si="10"/>
        <v>0</v>
      </c>
      <c r="P144" s="1818"/>
      <c r="Q144" s="1818"/>
      <c r="R144" s="1818"/>
      <c r="S144" s="1818"/>
      <c r="T144" s="1818"/>
      <c r="U144" s="1818"/>
      <c r="V144" s="1818"/>
      <c r="W144" s="1818"/>
      <c r="X144" s="1818"/>
      <c r="Y144" s="1818"/>
      <c r="Z144" s="1818"/>
      <c r="AA144" s="1818"/>
      <c r="AB144" s="1818"/>
      <c r="AC144" s="1818"/>
      <c r="AD144" s="1818"/>
      <c r="AE144" s="1818"/>
      <c r="AF144" s="1818"/>
      <c r="AG144" s="1818"/>
    </row>
    <row r="145" spans="1:33" s="1817" customFormat="1" ht="18.75">
      <c r="A145" s="1834"/>
      <c r="B145" s="1847" t="s">
        <v>1652</v>
      </c>
      <c r="C145" s="1846">
        <v>6208</v>
      </c>
      <c r="D145" s="1815"/>
      <c r="E145" s="1842">
        <f>+IF('TRIAL-BALANCE'!C$8=C145,1,0)</f>
        <v>0</v>
      </c>
      <c r="G145" s="1842">
        <v>0</v>
      </c>
      <c r="I145" s="2217">
        <f t="shared" si="10"/>
        <v>0</v>
      </c>
      <c r="P145" s="1818"/>
      <c r="Q145" s="1818"/>
      <c r="R145" s="1818"/>
      <c r="S145" s="1818"/>
      <c r="T145" s="1818"/>
      <c r="U145" s="1818"/>
      <c r="V145" s="1818"/>
      <c r="W145" s="1818"/>
      <c r="X145" s="1818"/>
      <c r="Y145" s="1818"/>
      <c r="Z145" s="1818"/>
      <c r="AA145" s="1818"/>
      <c r="AB145" s="1818"/>
      <c r="AC145" s="1818"/>
      <c r="AD145" s="1818"/>
      <c r="AE145" s="1818"/>
      <c r="AF145" s="1818"/>
      <c r="AG145" s="1818"/>
    </row>
    <row r="146" spans="1:33" s="1817" customFormat="1" ht="19.5">
      <c r="A146" s="1834"/>
      <c r="B146" s="1853" t="s">
        <v>1653</v>
      </c>
      <c r="C146" s="1846">
        <v>6209</v>
      </c>
      <c r="D146" s="1815"/>
      <c r="E146" s="1842">
        <f>+IF('TRIAL-BALANCE'!C$8=C146,1,0)</f>
        <v>0</v>
      </c>
      <c r="G146" s="1842">
        <v>0</v>
      </c>
      <c r="I146" s="2217">
        <f t="shared" si="10"/>
        <v>0</v>
      </c>
      <c r="P146" s="1818"/>
      <c r="Q146" s="1818"/>
      <c r="R146" s="1818"/>
      <c r="S146" s="1818"/>
      <c r="T146" s="1818"/>
      <c r="U146" s="1818"/>
      <c r="V146" s="1818"/>
      <c r="W146" s="1818"/>
      <c r="X146" s="1818"/>
      <c r="Y146" s="1818"/>
      <c r="Z146" s="1818"/>
      <c r="AA146" s="1818"/>
      <c r="AB146" s="1818"/>
      <c r="AC146" s="1818"/>
      <c r="AD146" s="1818"/>
      <c r="AE146" s="1818"/>
      <c r="AF146" s="1818"/>
      <c r="AG146" s="1818"/>
    </row>
    <row r="147" spans="1:33" s="1817" customFormat="1" ht="18.75">
      <c r="A147" s="1834"/>
      <c r="B147" s="1847" t="s">
        <v>1654</v>
      </c>
      <c r="C147" s="1846">
        <v>6210</v>
      </c>
      <c r="D147" s="1815"/>
      <c r="E147" s="1842">
        <f>+IF('TRIAL-BALANCE'!C$8=C147,1,0)</f>
        <v>0</v>
      </c>
      <c r="G147" s="1842">
        <v>0</v>
      </c>
      <c r="I147" s="2217">
        <f t="shared" si="10"/>
        <v>0</v>
      </c>
      <c r="P147" s="1818"/>
      <c r="Q147" s="1818"/>
      <c r="R147" s="1818"/>
      <c r="S147" s="1818"/>
      <c r="T147" s="1818"/>
      <c r="U147" s="1818"/>
      <c r="V147" s="1818"/>
      <c r="W147" s="1818"/>
      <c r="X147" s="1818"/>
      <c r="Y147" s="1818"/>
      <c r="Z147" s="1818"/>
      <c r="AA147" s="1818"/>
      <c r="AB147" s="1818"/>
      <c r="AC147" s="1818"/>
      <c r="AD147" s="1818"/>
      <c r="AE147" s="1818"/>
      <c r="AF147" s="1818"/>
      <c r="AG147" s="1818"/>
    </row>
    <row r="148" spans="1:33" s="1817" customFormat="1" ht="19.5" thickBot="1">
      <c r="A148" s="1834"/>
      <c r="B148" s="1848" t="s">
        <v>1655</v>
      </c>
      <c r="C148" s="1849">
        <v>6211</v>
      </c>
      <c r="D148" s="1815"/>
      <c r="E148" s="1850">
        <f>+IF('TRIAL-BALANCE'!C$8=C148,1,0)</f>
        <v>0</v>
      </c>
      <c r="G148" s="1850">
        <v>0</v>
      </c>
      <c r="I148" s="2217">
        <f t="shared" si="10"/>
        <v>0</v>
      </c>
      <c r="P148" s="1818"/>
      <c r="Q148" s="1818"/>
      <c r="R148" s="1818"/>
      <c r="S148" s="1818"/>
      <c r="T148" s="1818"/>
      <c r="U148" s="1818"/>
      <c r="V148" s="1818"/>
      <c r="W148" s="1818"/>
      <c r="X148" s="1818"/>
      <c r="Y148" s="1818"/>
      <c r="Z148" s="1818"/>
      <c r="AA148" s="1818"/>
      <c r="AB148" s="1818"/>
      <c r="AC148" s="1818"/>
      <c r="AD148" s="1818"/>
      <c r="AE148" s="1818"/>
      <c r="AF148" s="1818"/>
      <c r="AG148" s="1818"/>
    </row>
    <row r="149" spans="1:33" s="1817" customFormat="1" ht="9" customHeight="1" thickBot="1">
      <c r="A149" s="1851"/>
      <c r="B149" s="1831"/>
      <c r="C149" s="1852"/>
      <c r="D149" s="1815"/>
      <c r="E149" s="1816"/>
      <c r="G149" s="1816"/>
      <c r="I149" s="1816"/>
      <c r="P149" s="1818"/>
      <c r="Q149" s="1818"/>
      <c r="R149" s="1818"/>
      <c r="S149" s="1818"/>
      <c r="T149" s="1818"/>
      <c r="U149" s="1818"/>
      <c r="V149" s="1818"/>
      <c r="W149" s="1818"/>
      <c r="X149" s="1818"/>
      <c r="Y149" s="1818"/>
      <c r="Z149" s="1818"/>
      <c r="AA149" s="1818"/>
      <c r="AB149" s="1818"/>
      <c r="AC149" s="1818"/>
      <c r="AD149" s="1818"/>
      <c r="AE149" s="1818"/>
      <c r="AF149" s="1818"/>
      <c r="AG149" s="1818"/>
    </row>
    <row r="150" spans="1:33" s="1817" customFormat="1" ht="18.75">
      <c r="A150" s="1834"/>
      <c r="B150" s="1835" t="s">
        <v>1656</v>
      </c>
      <c r="C150" s="1836" t="s">
        <v>1657</v>
      </c>
      <c r="D150" s="1815"/>
      <c r="E150" s="1816"/>
      <c r="G150" s="1816"/>
      <c r="I150" s="1816"/>
      <c r="P150" s="1818"/>
      <c r="Q150" s="1818"/>
      <c r="R150" s="1818"/>
      <c r="S150" s="1818"/>
      <c r="T150" s="1818"/>
      <c r="U150" s="1818"/>
      <c r="V150" s="1818"/>
      <c r="W150" s="1818"/>
      <c r="X150" s="1818"/>
      <c r="Y150" s="1818"/>
      <c r="Z150" s="1818"/>
      <c r="AA150" s="1818"/>
      <c r="AB150" s="1818"/>
      <c r="AC150" s="1818"/>
      <c r="AD150" s="1818"/>
      <c r="AE150" s="1818"/>
      <c r="AF150" s="1818"/>
      <c r="AG150" s="1818"/>
    </row>
    <row r="151" spans="1:33" s="1817" customFormat="1" ht="18.75">
      <c r="A151" s="1834"/>
      <c r="B151" s="1855" t="s">
        <v>1658</v>
      </c>
      <c r="C151" s="1856">
        <v>6301</v>
      </c>
      <c r="D151" s="1815"/>
      <c r="E151" s="1839">
        <f>+IF('TRIAL-BALANCE'!C$8=C151,1,0)</f>
        <v>0</v>
      </c>
      <c r="G151" s="1839">
        <v>0</v>
      </c>
      <c r="I151" s="2217">
        <f t="shared" ref="I151:I162" si="11">+E151+G151</f>
        <v>0</v>
      </c>
      <c r="P151" s="1818"/>
      <c r="Q151" s="1818"/>
      <c r="R151" s="1818"/>
      <c r="S151" s="1818"/>
      <c r="T151" s="1818"/>
      <c r="U151" s="1818"/>
      <c r="V151" s="1818"/>
      <c r="W151" s="1818"/>
      <c r="X151" s="1818"/>
      <c r="Y151" s="1818"/>
      <c r="Z151" s="1818"/>
      <c r="AA151" s="1818"/>
      <c r="AB151" s="1818"/>
      <c r="AC151" s="1818"/>
      <c r="AD151" s="1818"/>
      <c r="AE151" s="1818"/>
      <c r="AF151" s="1818"/>
      <c r="AG151" s="1818"/>
    </row>
    <row r="152" spans="1:33" s="1817" customFormat="1" ht="18.75">
      <c r="A152" s="1834"/>
      <c r="B152" s="1847" t="s">
        <v>1659</v>
      </c>
      <c r="C152" s="1846">
        <v>6302</v>
      </c>
      <c r="D152" s="1815"/>
      <c r="E152" s="1842">
        <f>+IF('TRIAL-BALANCE'!C$8=C152,1,0)</f>
        <v>0</v>
      </c>
      <c r="G152" s="1842">
        <v>0</v>
      </c>
      <c r="I152" s="2217">
        <f t="shared" si="11"/>
        <v>0</v>
      </c>
      <c r="P152" s="1818"/>
      <c r="Q152" s="1818"/>
      <c r="R152" s="1818"/>
      <c r="S152" s="1818"/>
      <c r="T152" s="1818"/>
      <c r="U152" s="1818"/>
      <c r="V152" s="1818"/>
      <c r="W152" s="1818"/>
      <c r="X152" s="1818"/>
      <c r="Y152" s="1818"/>
      <c r="Z152" s="1818"/>
      <c r="AA152" s="1818"/>
      <c r="AB152" s="1818"/>
      <c r="AC152" s="1818"/>
      <c r="AD152" s="1818"/>
      <c r="AE152" s="1818"/>
      <c r="AF152" s="1818"/>
      <c r="AG152" s="1818"/>
    </row>
    <row r="153" spans="1:33" s="1817" customFormat="1" ht="18.75">
      <c r="A153" s="1834"/>
      <c r="B153" s="1847" t="s">
        <v>1660</v>
      </c>
      <c r="C153" s="1846">
        <v>6303</v>
      </c>
      <c r="D153" s="1815"/>
      <c r="E153" s="1842">
        <f>+IF('TRIAL-BALANCE'!C$8=C153,1,0)</f>
        <v>0</v>
      </c>
      <c r="G153" s="1842">
        <v>0</v>
      </c>
      <c r="I153" s="2217">
        <f t="shared" si="11"/>
        <v>0</v>
      </c>
      <c r="P153" s="1818"/>
      <c r="Q153" s="1818"/>
      <c r="R153" s="1818"/>
      <c r="S153" s="1818"/>
      <c r="T153" s="1818"/>
      <c r="U153" s="1818"/>
      <c r="V153" s="1818"/>
      <c r="W153" s="1818"/>
      <c r="X153" s="1818"/>
      <c r="Y153" s="1818"/>
      <c r="Z153" s="1818"/>
      <c r="AA153" s="1818"/>
      <c r="AB153" s="1818"/>
      <c r="AC153" s="1818"/>
      <c r="AD153" s="1818"/>
      <c r="AE153" s="1818"/>
      <c r="AF153" s="1818"/>
      <c r="AG153" s="1818"/>
    </row>
    <row r="154" spans="1:33" s="1817" customFormat="1" ht="18.75">
      <c r="A154" s="1834"/>
      <c r="B154" s="1847" t="s">
        <v>1661</v>
      </c>
      <c r="C154" s="1846">
        <v>6304</v>
      </c>
      <c r="D154" s="1815"/>
      <c r="E154" s="1842">
        <f>+IF('TRIAL-BALANCE'!C$8=C154,1,0)</f>
        <v>0</v>
      </c>
      <c r="G154" s="1842">
        <v>0</v>
      </c>
      <c r="I154" s="2217">
        <f t="shared" si="11"/>
        <v>0</v>
      </c>
      <c r="P154" s="1818"/>
      <c r="Q154" s="1818"/>
      <c r="R154" s="1818"/>
      <c r="S154" s="1818"/>
      <c r="T154" s="1818"/>
      <c r="U154" s="1818"/>
      <c r="V154" s="1818"/>
      <c r="W154" s="1818"/>
      <c r="X154" s="1818"/>
      <c r="Y154" s="1818"/>
      <c r="Z154" s="1818"/>
      <c r="AA154" s="1818"/>
      <c r="AB154" s="1818"/>
      <c r="AC154" s="1818"/>
      <c r="AD154" s="1818"/>
      <c r="AE154" s="1818"/>
      <c r="AF154" s="1818"/>
      <c r="AG154" s="1818"/>
    </row>
    <row r="155" spans="1:33" s="1817" customFormat="1" ht="18.75">
      <c r="A155" s="1834"/>
      <c r="B155" s="1847" t="s">
        <v>1662</v>
      </c>
      <c r="C155" s="1846">
        <v>6305</v>
      </c>
      <c r="D155" s="1815"/>
      <c r="E155" s="1842">
        <f>+IF('TRIAL-BALANCE'!C$8=C155,1,0)</f>
        <v>0</v>
      </c>
      <c r="G155" s="1842">
        <v>0</v>
      </c>
      <c r="I155" s="2217">
        <f t="shared" si="11"/>
        <v>0</v>
      </c>
      <c r="P155" s="1818"/>
      <c r="Q155" s="1818"/>
      <c r="R155" s="1818"/>
      <c r="S155" s="1818"/>
      <c r="T155" s="1818"/>
      <c r="U155" s="1818"/>
      <c r="V155" s="1818"/>
      <c r="W155" s="1818"/>
      <c r="X155" s="1818"/>
      <c r="Y155" s="1818"/>
      <c r="Z155" s="1818"/>
      <c r="AA155" s="1818"/>
      <c r="AB155" s="1818"/>
      <c r="AC155" s="1818"/>
      <c r="AD155" s="1818"/>
      <c r="AE155" s="1818"/>
      <c r="AF155" s="1818"/>
      <c r="AG155" s="1818"/>
    </row>
    <row r="156" spans="1:33" s="1817" customFormat="1" ht="19.5">
      <c r="A156" s="1834"/>
      <c r="B156" s="1853" t="s">
        <v>1663</v>
      </c>
      <c r="C156" s="1846">
        <v>6306</v>
      </c>
      <c r="D156" s="1815"/>
      <c r="E156" s="1842">
        <f>+IF('TRIAL-BALANCE'!C$8=C156,1,0)</f>
        <v>0</v>
      </c>
      <c r="G156" s="1842">
        <v>0</v>
      </c>
      <c r="I156" s="2217">
        <f t="shared" si="11"/>
        <v>0</v>
      </c>
      <c r="P156" s="1818"/>
      <c r="Q156" s="1818"/>
      <c r="R156" s="1818"/>
      <c r="S156" s="1818"/>
      <c r="T156" s="1818"/>
      <c r="U156" s="1818"/>
      <c r="V156" s="1818"/>
      <c r="W156" s="1818"/>
      <c r="X156" s="1818"/>
      <c r="Y156" s="1818"/>
      <c r="Z156" s="1818"/>
      <c r="AA156" s="1818"/>
      <c r="AB156" s="1818"/>
      <c r="AC156" s="1818"/>
      <c r="AD156" s="1818"/>
      <c r="AE156" s="1818"/>
      <c r="AF156" s="1818"/>
      <c r="AG156" s="1818"/>
    </row>
    <row r="157" spans="1:33" s="1817" customFormat="1" ht="18.75">
      <c r="A157" s="1834"/>
      <c r="B157" s="1847" t="s">
        <v>1664</v>
      </c>
      <c r="C157" s="1846">
        <v>6307</v>
      </c>
      <c r="D157" s="1815"/>
      <c r="E157" s="1842">
        <f>+IF('TRIAL-BALANCE'!C$8=C157,1,0)</f>
        <v>0</v>
      </c>
      <c r="G157" s="1842">
        <v>0</v>
      </c>
      <c r="I157" s="2217">
        <f t="shared" si="11"/>
        <v>0</v>
      </c>
      <c r="P157" s="1818"/>
      <c r="Q157" s="1818"/>
      <c r="R157" s="1818"/>
      <c r="S157" s="1818"/>
      <c r="T157" s="1818"/>
      <c r="U157" s="1818"/>
      <c r="V157" s="1818"/>
      <c r="W157" s="1818"/>
      <c r="X157" s="1818"/>
      <c r="Y157" s="1818"/>
      <c r="Z157" s="1818"/>
      <c r="AA157" s="1818"/>
      <c r="AB157" s="1818"/>
      <c r="AC157" s="1818"/>
      <c r="AD157" s="1818"/>
      <c r="AE157" s="1818"/>
      <c r="AF157" s="1818"/>
      <c r="AG157" s="1818"/>
    </row>
    <row r="158" spans="1:33" s="1817" customFormat="1" ht="18.75">
      <c r="A158" s="1834"/>
      <c r="B158" s="1847" t="s">
        <v>1665</v>
      </c>
      <c r="C158" s="1846">
        <v>6308</v>
      </c>
      <c r="D158" s="1815"/>
      <c r="E158" s="1842">
        <f>+IF('TRIAL-BALANCE'!C$8=C158,1,0)</f>
        <v>0</v>
      </c>
      <c r="G158" s="1842">
        <v>0</v>
      </c>
      <c r="I158" s="2217">
        <f t="shared" si="11"/>
        <v>0</v>
      </c>
      <c r="P158" s="1818"/>
      <c r="Q158" s="1818"/>
      <c r="R158" s="1818"/>
      <c r="S158" s="1818"/>
      <c r="T158" s="1818"/>
      <c r="U158" s="1818"/>
      <c r="V158" s="1818"/>
      <c r="W158" s="1818"/>
      <c r="X158" s="1818"/>
      <c r="Y158" s="1818"/>
      <c r="Z158" s="1818"/>
      <c r="AA158" s="1818"/>
      <c r="AB158" s="1818"/>
      <c r="AC158" s="1818"/>
      <c r="AD158" s="1818"/>
      <c r="AE158" s="1818"/>
      <c r="AF158" s="1818"/>
      <c r="AG158" s="1818"/>
    </row>
    <row r="159" spans="1:33" s="1817" customFormat="1" ht="18.75">
      <c r="A159" s="1834"/>
      <c r="B159" s="1847" t="s">
        <v>1666</v>
      </c>
      <c r="C159" s="1846">
        <v>6309</v>
      </c>
      <c r="D159" s="1815"/>
      <c r="E159" s="1842">
        <f>+IF('TRIAL-BALANCE'!C$8=C159,1,0)</f>
        <v>0</v>
      </c>
      <c r="G159" s="1842">
        <v>0</v>
      </c>
      <c r="I159" s="2217">
        <f t="shared" si="11"/>
        <v>0</v>
      </c>
      <c r="P159" s="1818"/>
      <c r="Q159" s="1818"/>
      <c r="R159" s="1818"/>
      <c r="S159" s="1818"/>
      <c r="T159" s="1818"/>
      <c r="U159" s="1818"/>
      <c r="V159" s="1818"/>
      <c r="W159" s="1818"/>
      <c r="X159" s="1818"/>
      <c r="Y159" s="1818"/>
      <c r="Z159" s="1818"/>
      <c r="AA159" s="1818"/>
      <c r="AB159" s="1818"/>
      <c r="AC159" s="1818"/>
      <c r="AD159" s="1818"/>
      <c r="AE159" s="1818"/>
      <c r="AF159" s="1818"/>
      <c r="AG159" s="1818"/>
    </row>
    <row r="160" spans="1:33" s="1817" customFormat="1" ht="18.75">
      <c r="A160" s="1834"/>
      <c r="B160" s="1847" t="s">
        <v>1667</v>
      </c>
      <c r="C160" s="1846">
        <v>6310</v>
      </c>
      <c r="D160" s="1815"/>
      <c r="E160" s="1842">
        <f>+IF('TRIAL-BALANCE'!C$8=C160,1,0)</f>
        <v>0</v>
      </c>
      <c r="G160" s="1842">
        <v>0</v>
      </c>
      <c r="I160" s="2217">
        <f t="shared" si="11"/>
        <v>0</v>
      </c>
      <c r="P160" s="1818"/>
      <c r="Q160" s="1818"/>
      <c r="R160" s="1818"/>
      <c r="S160" s="1818"/>
      <c r="T160" s="1818"/>
      <c r="U160" s="1818"/>
      <c r="V160" s="1818"/>
      <c r="W160" s="1818"/>
      <c r="X160" s="1818"/>
      <c r="Y160" s="1818"/>
      <c r="Z160" s="1818"/>
      <c r="AA160" s="1818"/>
      <c r="AB160" s="1818"/>
      <c r="AC160" s="1818"/>
      <c r="AD160" s="1818"/>
      <c r="AE160" s="1818"/>
      <c r="AF160" s="1818"/>
      <c r="AG160" s="1818"/>
    </row>
    <row r="161" spans="1:33" s="1817" customFormat="1" ht="18.75">
      <c r="A161" s="1834"/>
      <c r="B161" s="1847" t="s">
        <v>1668</v>
      </c>
      <c r="C161" s="1846">
        <v>6311</v>
      </c>
      <c r="D161" s="1815"/>
      <c r="E161" s="1842">
        <f>+IF('TRIAL-BALANCE'!C$8=C161,1,0)</f>
        <v>0</v>
      </c>
      <c r="G161" s="1842">
        <v>0</v>
      </c>
      <c r="I161" s="2217">
        <f t="shared" si="11"/>
        <v>0</v>
      </c>
      <c r="P161" s="1818"/>
      <c r="Q161" s="1818"/>
      <c r="R161" s="1818"/>
      <c r="S161" s="1818"/>
      <c r="T161" s="1818"/>
      <c r="U161" s="1818"/>
      <c r="V161" s="1818"/>
      <c r="W161" s="1818"/>
      <c r="X161" s="1818"/>
      <c r="Y161" s="1818"/>
      <c r="Z161" s="1818"/>
      <c r="AA161" s="1818"/>
      <c r="AB161" s="1818"/>
      <c r="AC161" s="1818"/>
      <c r="AD161" s="1818"/>
      <c r="AE161" s="1818"/>
      <c r="AF161" s="1818"/>
      <c r="AG161" s="1818"/>
    </row>
    <row r="162" spans="1:33" s="1817" customFormat="1" ht="19.5" thickBot="1">
      <c r="A162" s="1834"/>
      <c r="B162" s="1848" t="s">
        <v>1669</v>
      </c>
      <c r="C162" s="1849">
        <v>6312</v>
      </c>
      <c r="D162" s="1815"/>
      <c r="E162" s="1850">
        <f>+IF('TRIAL-BALANCE'!C$8=C162,1,0)</f>
        <v>0</v>
      </c>
      <c r="G162" s="1850">
        <v>0</v>
      </c>
      <c r="I162" s="2217">
        <f t="shared" si="11"/>
        <v>0</v>
      </c>
      <c r="P162" s="1818"/>
      <c r="Q162" s="1818"/>
      <c r="R162" s="1818"/>
      <c r="S162" s="1818"/>
      <c r="T162" s="1818"/>
      <c r="U162" s="1818"/>
      <c r="V162" s="1818"/>
      <c r="W162" s="1818"/>
      <c r="X162" s="1818"/>
      <c r="Y162" s="1818"/>
      <c r="Z162" s="1818"/>
      <c r="AA162" s="1818"/>
      <c r="AB162" s="1818"/>
      <c r="AC162" s="1818"/>
      <c r="AD162" s="1818"/>
      <c r="AE162" s="1818"/>
      <c r="AF162" s="1818"/>
      <c r="AG162" s="1818"/>
    </row>
    <row r="163" spans="1:33" s="1817" customFormat="1" ht="9" customHeight="1" thickBot="1">
      <c r="A163" s="1851"/>
      <c r="B163" s="1831"/>
      <c r="C163" s="1852"/>
      <c r="D163" s="1815"/>
      <c r="E163" s="1816"/>
      <c r="G163" s="1816"/>
      <c r="I163" s="1816"/>
      <c r="P163" s="1818"/>
      <c r="Q163" s="1818"/>
      <c r="R163" s="1818"/>
      <c r="S163" s="1818"/>
      <c r="T163" s="1818"/>
      <c r="U163" s="1818"/>
      <c r="V163" s="1818"/>
      <c r="W163" s="1818"/>
      <c r="X163" s="1818"/>
      <c r="Y163" s="1818"/>
      <c r="Z163" s="1818"/>
      <c r="AA163" s="1818"/>
      <c r="AB163" s="1818"/>
      <c r="AC163" s="1818"/>
      <c r="AD163" s="1818"/>
      <c r="AE163" s="1818"/>
      <c r="AF163" s="1818"/>
      <c r="AG163" s="1818"/>
    </row>
    <row r="164" spans="1:33" s="1817" customFormat="1" ht="18.75">
      <c r="A164" s="1834"/>
      <c r="B164" s="1835" t="s">
        <v>1670</v>
      </c>
      <c r="C164" s="1836" t="s">
        <v>1671</v>
      </c>
      <c r="D164" s="1815"/>
      <c r="E164" s="1816"/>
      <c r="G164" s="1816"/>
      <c r="I164" s="1816"/>
      <c r="P164" s="1818"/>
      <c r="Q164" s="1818"/>
      <c r="R164" s="1818"/>
      <c r="S164" s="1818"/>
      <c r="T164" s="1818"/>
      <c r="U164" s="1818"/>
      <c r="V164" s="1818"/>
      <c r="W164" s="1818"/>
      <c r="X164" s="1818"/>
      <c r="Y164" s="1818"/>
      <c r="Z164" s="1818"/>
      <c r="AA164" s="1818"/>
      <c r="AB164" s="1818"/>
      <c r="AC164" s="1818"/>
      <c r="AD164" s="1818"/>
      <c r="AE164" s="1818"/>
      <c r="AF164" s="1818"/>
      <c r="AG164" s="1818"/>
    </row>
    <row r="165" spans="1:33" s="1817" customFormat="1" ht="18.75">
      <c r="A165" s="1834"/>
      <c r="B165" s="1855" t="s">
        <v>1672</v>
      </c>
      <c r="C165" s="1856">
        <v>6401</v>
      </c>
      <c r="D165" s="1815"/>
      <c r="E165" s="1839">
        <f>+IF('TRIAL-BALANCE'!C$8=C165,1,0)</f>
        <v>0</v>
      </c>
      <c r="G165" s="1839">
        <v>0</v>
      </c>
      <c r="I165" s="2217">
        <f t="shared" ref="I165:I170" si="12">+E165+G165</f>
        <v>0</v>
      </c>
      <c r="P165" s="1818"/>
      <c r="Q165" s="1818"/>
      <c r="R165" s="1818"/>
      <c r="S165" s="1818"/>
      <c r="T165" s="1818"/>
      <c r="U165" s="1818"/>
      <c r="V165" s="1818"/>
      <c r="W165" s="1818"/>
      <c r="X165" s="1818"/>
      <c r="Y165" s="1818"/>
      <c r="Z165" s="1818"/>
      <c r="AA165" s="1818"/>
      <c r="AB165" s="1818"/>
      <c r="AC165" s="1818"/>
      <c r="AD165" s="1818"/>
      <c r="AE165" s="1818"/>
      <c r="AF165" s="1818"/>
      <c r="AG165" s="1818"/>
    </row>
    <row r="166" spans="1:33" s="1817" customFormat="1" ht="18.75">
      <c r="A166" s="1834"/>
      <c r="B166" s="1847" t="s">
        <v>1673</v>
      </c>
      <c r="C166" s="1846">
        <v>6402</v>
      </c>
      <c r="D166" s="1815"/>
      <c r="E166" s="1842">
        <f>+IF('TRIAL-BALANCE'!C$8=C166,1,0)</f>
        <v>0</v>
      </c>
      <c r="G166" s="1842">
        <v>0</v>
      </c>
      <c r="I166" s="2217">
        <f t="shared" si="12"/>
        <v>0</v>
      </c>
      <c r="P166" s="1818"/>
      <c r="Q166" s="1818"/>
      <c r="R166" s="1818"/>
      <c r="S166" s="1818"/>
      <c r="T166" s="1818"/>
      <c r="U166" s="1818"/>
      <c r="V166" s="1818"/>
      <c r="W166" s="1818"/>
      <c r="X166" s="1818"/>
      <c r="Y166" s="1818"/>
      <c r="Z166" s="1818"/>
      <c r="AA166" s="1818"/>
      <c r="AB166" s="1818"/>
      <c r="AC166" s="1818"/>
      <c r="AD166" s="1818"/>
      <c r="AE166" s="1818"/>
      <c r="AF166" s="1818"/>
      <c r="AG166" s="1818"/>
    </row>
    <row r="167" spans="1:33" s="1817" customFormat="1" ht="18.75">
      <c r="A167" s="1834"/>
      <c r="B167" s="1847" t="s">
        <v>1674</v>
      </c>
      <c r="C167" s="1846">
        <v>6403</v>
      </c>
      <c r="D167" s="1815"/>
      <c r="E167" s="1842">
        <f>+IF('TRIAL-BALANCE'!C$8=C167,1,0)</f>
        <v>0</v>
      </c>
      <c r="G167" s="1842">
        <v>0</v>
      </c>
      <c r="I167" s="2217">
        <f t="shared" si="12"/>
        <v>0</v>
      </c>
      <c r="P167" s="1818"/>
      <c r="Q167" s="1818"/>
      <c r="R167" s="1818"/>
      <c r="S167" s="1818"/>
      <c r="T167" s="1818"/>
      <c r="U167" s="1818"/>
      <c r="V167" s="1818"/>
      <c r="W167" s="1818"/>
      <c r="X167" s="1818"/>
      <c r="Y167" s="1818"/>
      <c r="Z167" s="1818"/>
      <c r="AA167" s="1818"/>
      <c r="AB167" s="1818"/>
      <c r="AC167" s="1818"/>
      <c r="AD167" s="1818"/>
      <c r="AE167" s="1818"/>
      <c r="AF167" s="1818"/>
      <c r="AG167" s="1818"/>
    </row>
    <row r="168" spans="1:33" s="1817" customFormat="1" ht="19.5">
      <c r="A168" s="1834"/>
      <c r="B168" s="1853" t="s">
        <v>1675</v>
      </c>
      <c r="C168" s="1846">
        <v>6404</v>
      </c>
      <c r="D168" s="1815"/>
      <c r="E168" s="1842">
        <f>+IF('TRIAL-BALANCE'!C$8=C168,1,0)</f>
        <v>0</v>
      </c>
      <c r="G168" s="1842">
        <v>0</v>
      </c>
      <c r="I168" s="2217">
        <f t="shared" si="12"/>
        <v>0</v>
      </c>
      <c r="P168" s="1818"/>
      <c r="Q168" s="1818"/>
      <c r="R168" s="1818"/>
      <c r="S168" s="1818"/>
      <c r="T168" s="1818"/>
      <c r="U168" s="1818"/>
      <c r="V168" s="1818"/>
      <c r="W168" s="1818"/>
      <c r="X168" s="1818"/>
      <c r="Y168" s="1818"/>
      <c r="Z168" s="1818"/>
      <c r="AA168" s="1818"/>
      <c r="AB168" s="1818"/>
      <c r="AC168" s="1818"/>
      <c r="AD168" s="1818"/>
      <c r="AE168" s="1818"/>
      <c r="AF168" s="1818"/>
      <c r="AG168" s="1818"/>
    </row>
    <row r="169" spans="1:33" s="1817" customFormat="1" ht="18.75">
      <c r="A169" s="1834"/>
      <c r="B169" s="1847" t="s">
        <v>1676</v>
      </c>
      <c r="C169" s="1846">
        <v>6405</v>
      </c>
      <c r="D169" s="1815"/>
      <c r="E169" s="1842">
        <f>+IF('TRIAL-BALANCE'!C$8=C169,1,0)</f>
        <v>0</v>
      </c>
      <c r="G169" s="1842">
        <v>0</v>
      </c>
      <c r="I169" s="2217">
        <f t="shared" si="12"/>
        <v>0</v>
      </c>
      <c r="P169" s="1818"/>
      <c r="Q169" s="1818"/>
      <c r="R169" s="1818"/>
      <c r="S169" s="1818"/>
      <c r="T169" s="1818"/>
      <c r="U169" s="1818"/>
      <c r="V169" s="1818"/>
      <c r="W169" s="1818"/>
      <c r="X169" s="1818"/>
      <c r="Y169" s="1818"/>
      <c r="Z169" s="1818"/>
      <c r="AA169" s="1818"/>
      <c r="AB169" s="1818"/>
      <c r="AC169" s="1818"/>
      <c r="AD169" s="1818"/>
      <c r="AE169" s="1818"/>
      <c r="AF169" s="1818"/>
      <c r="AG169" s="1818"/>
    </row>
    <row r="170" spans="1:33" s="1817" customFormat="1" ht="19.5" thickBot="1">
      <c r="A170" s="1834"/>
      <c r="B170" s="1848" t="s">
        <v>1677</v>
      </c>
      <c r="C170" s="1849">
        <v>6406</v>
      </c>
      <c r="D170" s="1815"/>
      <c r="E170" s="1850">
        <f>+IF('TRIAL-BALANCE'!C$8=C170,1,0)</f>
        <v>0</v>
      </c>
      <c r="G170" s="1850">
        <v>0</v>
      </c>
      <c r="I170" s="2217">
        <f t="shared" si="12"/>
        <v>0</v>
      </c>
      <c r="P170" s="1818"/>
      <c r="Q170" s="1818"/>
      <c r="R170" s="1818"/>
      <c r="S170" s="1818"/>
      <c r="T170" s="1818"/>
      <c r="U170" s="1818"/>
      <c r="V170" s="1818"/>
      <c r="W170" s="1818"/>
      <c r="X170" s="1818"/>
      <c r="Y170" s="1818"/>
      <c r="Z170" s="1818"/>
      <c r="AA170" s="1818"/>
      <c r="AB170" s="1818"/>
      <c r="AC170" s="1818"/>
      <c r="AD170" s="1818"/>
      <c r="AE170" s="1818"/>
      <c r="AF170" s="1818"/>
      <c r="AG170" s="1818"/>
    </row>
    <row r="171" spans="1:33" s="1817" customFormat="1" ht="9" customHeight="1" thickBot="1">
      <c r="A171" s="1851"/>
      <c r="B171" s="1831"/>
      <c r="C171" s="1852"/>
      <c r="D171" s="1815"/>
      <c r="E171" s="1816"/>
      <c r="G171" s="1816"/>
      <c r="I171" s="1816"/>
      <c r="P171" s="1818"/>
      <c r="Q171" s="1818"/>
      <c r="R171" s="1818"/>
      <c r="S171" s="1818"/>
      <c r="T171" s="1818"/>
      <c r="U171" s="1818"/>
      <c r="V171" s="1818"/>
      <c r="W171" s="1818"/>
      <c r="X171" s="1818"/>
      <c r="Y171" s="1818"/>
      <c r="Z171" s="1818"/>
      <c r="AA171" s="1818"/>
      <c r="AB171" s="1818"/>
      <c r="AC171" s="1818"/>
      <c r="AD171" s="1818"/>
      <c r="AE171" s="1818"/>
      <c r="AF171" s="1818"/>
      <c r="AG171" s="1818"/>
    </row>
    <row r="172" spans="1:33" s="1817" customFormat="1" ht="18.75">
      <c r="A172" s="1834"/>
      <c r="B172" s="1835" t="s">
        <v>1678</v>
      </c>
      <c r="C172" s="1836" t="s">
        <v>1679</v>
      </c>
      <c r="D172" s="1815"/>
      <c r="E172" s="1816"/>
      <c r="G172" s="1816"/>
      <c r="I172" s="1816"/>
      <c r="P172" s="1818"/>
      <c r="Q172" s="1818"/>
      <c r="R172" s="1818"/>
      <c r="S172" s="1818"/>
      <c r="T172" s="1818"/>
      <c r="U172" s="1818"/>
      <c r="V172" s="1818"/>
      <c r="W172" s="1818"/>
      <c r="X172" s="1818"/>
      <c r="Y172" s="1818"/>
      <c r="Z172" s="1818"/>
      <c r="AA172" s="1818"/>
      <c r="AB172" s="1818"/>
      <c r="AC172" s="1818"/>
      <c r="AD172" s="1818"/>
      <c r="AE172" s="1818"/>
      <c r="AF172" s="1818"/>
      <c r="AG172" s="1818"/>
    </row>
    <row r="173" spans="1:33" s="1817" customFormat="1" ht="18.75">
      <c r="A173" s="1834"/>
      <c r="B173" s="1862" t="s">
        <v>1680</v>
      </c>
      <c r="C173" s="1863">
        <v>6501</v>
      </c>
      <c r="D173" s="1815"/>
      <c r="E173" s="1839">
        <f>+IF('TRIAL-BALANCE'!C$8=C173,1,0)</f>
        <v>0</v>
      </c>
      <c r="G173" s="1839">
        <v>0</v>
      </c>
      <c r="I173" s="2217">
        <f t="shared" ref="I173:I183" si="13">+E173+G173</f>
        <v>0</v>
      </c>
      <c r="P173" s="1818"/>
      <c r="Q173" s="1818"/>
      <c r="R173" s="1818"/>
      <c r="S173" s="1818"/>
      <c r="T173" s="1818"/>
      <c r="U173" s="1818"/>
      <c r="V173" s="1818"/>
      <c r="W173" s="1818"/>
      <c r="X173" s="1818"/>
      <c r="Y173" s="1818"/>
      <c r="Z173" s="1818"/>
      <c r="AA173" s="1818"/>
      <c r="AB173" s="1818"/>
      <c r="AC173" s="1818"/>
      <c r="AD173" s="1818"/>
      <c r="AE173" s="1818"/>
      <c r="AF173" s="1818"/>
      <c r="AG173" s="1818"/>
    </row>
    <row r="174" spans="1:33" s="1817" customFormat="1" ht="18.75">
      <c r="A174" s="1834"/>
      <c r="B174" s="1847" t="s">
        <v>1681</v>
      </c>
      <c r="C174" s="1846">
        <v>6502</v>
      </c>
      <c r="D174" s="1815"/>
      <c r="E174" s="1842">
        <f>+IF('TRIAL-BALANCE'!C$8=C174,1,0)</f>
        <v>0</v>
      </c>
      <c r="G174" s="1842">
        <v>0</v>
      </c>
      <c r="I174" s="2217">
        <f t="shared" si="13"/>
        <v>0</v>
      </c>
      <c r="P174" s="1818"/>
      <c r="Q174" s="1818"/>
      <c r="R174" s="1818"/>
      <c r="S174" s="1818"/>
      <c r="T174" s="1818"/>
      <c r="U174" s="1818"/>
      <c r="V174" s="1818"/>
      <c r="W174" s="1818"/>
      <c r="X174" s="1818"/>
      <c r="Y174" s="1818"/>
      <c r="Z174" s="1818"/>
      <c r="AA174" s="1818"/>
      <c r="AB174" s="1818"/>
      <c r="AC174" s="1818"/>
      <c r="AD174" s="1818"/>
      <c r="AE174" s="1818"/>
      <c r="AF174" s="1818"/>
      <c r="AG174" s="1818"/>
    </row>
    <row r="175" spans="1:33" s="1817" customFormat="1" ht="18.75">
      <c r="A175" s="1834"/>
      <c r="B175" s="1847" t="s">
        <v>1682</v>
      </c>
      <c r="C175" s="1846">
        <v>6503</v>
      </c>
      <c r="D175" s="1815"/>
      <c r="E175" s="1842">
        <f>+IF('TRIAL-BALANCE'!C$8=C175,1,0)</f>
        <v>0</v>
      </c>
      <c r="G175" s="1842">
        <v>0</v>
      </c>
      <c r="I175" s="2217">
        <f t="shared" si="13"/>
        <v>0</v>
      </c>
      <c r="P175" s="1818"/>
      <c r="Q175" s="1818"/>
      <c r="R175" s="1818"/>
      <c r="S175" s="1818"/>
      <c r="T175" s="1818"/>
      <c r="U175" s="1818"/>
      <c r="V175" s="1818"/>
      <c r="W175" s="1818"/>
      <c r="X175" s="1818"/>
      <c r="Y175" s="1818"/>
      <c r="Z175" s="1818"/>
      <c r="AA175" s="1818"/>
      <c r="AB175" s="1818"/>
      <c r="AC175" s="1818"/>
      <c r="AD175" s="1818"/>
      <c r="AE175" s="1818"/>
      <c r="AF175" s="1818"/>
      <c r="AG175" s="1818"/>
    </row>
    <row r="176" spans="1:33" s="1817" customFormat="1" ht="18.75">
      <c r="A176" s="1834"/>
      <c r="B176" s="1847" t="s">
        <v>1683</v>
      </c>
      <c r="C176" s="1846">
        <v>6504</v>
      </c>
      <c r="D176" s="1815"/>
      <c r="E176" s="1842">
        <f>+IF('TRIAL-BALANCE'!C$8=C176,1,0)</f>
        <v>0</v>
      </c>
      <c r="G176" s="1842">
        <v>0</v>
      </c>
      <c r="I176" s="2217">
        <f t="shared" si="13"/>
        <v>0</v>
      </c>
      <c r="P176" s="1818"/>
      <c r="Q176" s="1818"/>
      <c r="R176" s="1818"/>
      <c r="S176" s="1818"/>
      <c r="T176" s="1818"/>
      <c r="U176" s="1818"/>
      <c r="V176" s="1818"/>
      <c r="W176" s="1818"/>
      <c r="X176" s="1818"/>
      <c r="Y176" s="1818"/>
      <c r="Z176" s="1818"/>
      <c r="AA176" s="1818"/>
      <c r="AB176" s="1818"/>
      <c r="AC176" s="1818"/>
      <c r="AD176" s="1818"/>
      <c r="AE176" s="1818"/>
      <c r="AF176" s="1818"/>
      <c r="AG176" s="1818"/>
    </row>
    <row r="177" spans="1:33" s="1817" customFormat="1" ht="18.75">
      <c r="A177" s="1834"/>
      <c r="B177" s="1847" t="s">
        <v>1684</v>
      </c>
      <c r="C177" s="1846">
        <v>6505</v>
      </c>
      <c r="D177" s="1815"/>
      <c r="E177" s="1842">
        <f>+IF('TRIAL-BALANCE'!C$8=C177,1,0)</f>
        <v>0</v>
      </c>
      <c r="G177" s="1842">
        <v>0</v>
      </c>
      <c r="I177" s="2217">
        <f t="shared" si="13"/>
        <v>0</v>
      </c>
      <c r="P177" s="1818"/>
      <c r="Q177" s="1818"/>
      <c r="R177" s="1818"/>
      <c r="S177" s="1818"/>
      <c r="T177" s="1818"/>
      <c r="U177" s="1818"/>
      <c r="V177" s="1818"/>
      <c r="W177" s="1818"/>
      <c r="X177" s="1818"/>
      <c r="Y177" s="1818"/>
      <c r="Z177" s="1818"/>
      <c r="AA177" s="1818"/>
      <c r="AB177" s="1818"/>
      <c r="AC177" s="1818"/>
      <c r="AD177" s="1818"/>
      <c r="AE177" s="1818"/>
      <c r="AF177" s="1818"/>
      <c r="AG177" s="1818"/>
    </row>
    <row r="178" spans="1:33" s="1817" customFormat="1" ht="18.75">
      <c r="A178" s="1834"/>
      <c r="B178" s="1847" t="s">
        <v>1685</v>
      </c>
      <c r="C178" s="1846">
        <v>6506</v>
      </c>
      <c r="D178" s="1815"/>
      <c r="E178" s="1842">
        <f>+IF('TRIAL-BALANCE'!C$8=C178,1,0)</f>
        <v>0</v>
      </c>
      <c r="G178" s="1842">
        <v>0</v>
      </c>
      <c r="I178" s="2217">
        <f t="shared" si="13"/>
        <v>0</v>
      </c>
      <c r="P178" s="1818"/>
      <c r="Q178" s="1818"/>
      <c r="R178" s="1818"/>
      <c r="S178" s="1818"/>
      <c r="T178" s="1818"/>
      <c r="U178" s="1818"/>
      <c r="V178" s="1818"/>
      <c r="W178" s="1818"/>
      <c r="X178" s="1818"/>
      <c r="Y178" s="1818"/>
      <c r="Z178" s="1818"/>
      <c r="AA178" s="1818"/>
      <c r="AB178" s="1818"/>
      <c r="AC178" s="1818"/>
      <c r="AD178" s="1818"/>
      <c r="AE178" s="1818"/>
      <c r="AF178" s="1818"/>
      <c r="AG178" s="1818"/>
    </row>
    <row r="179" spans="1:33" s="1817" customFormat="1" ht="18.75">
      <c r="A179" s="1834"/>
      <c r="B179" s="1847" t="s">
        <v>1686</v>
      </c>
      <c r="C179" s="1846">
        <v>6507</v>
      </c>
      <c r="D179" s="1815"/>
      <c r="E179" s="1842">
        <f>+IF('TRIAL-BALANCE'!C$8=C179,1,0)</f>
        <v>0</v>
      </c>
      <c r="G179" s="1842">
        <v>0</v>
      </c>
      <c r="I179" s="2217">
        <f t="shared" si="13"/>
        <v>0</v>
      </c>
      <c r="P179" s="1818"/>
      <c r="Q179" s="1818"/>
      <c r="R179" s="1818"/>
      <c r="S179" s="1818"/>
      <c r="T179" s="1818"/>
      <c r="U179" s="1818"/>
      <c r="V179" s="1818"/>
      <c r="W179" s="1818"/>
      <c r="X179" s="1818"/>
      <c r="Y179" s="1818"/>
      <c r="Z179" s="1818"/>
      <c r="AA179" s="1818"/>
      <c r="AB179" s="1818"/>
      <c r="AC179" s="1818"/>
      <c r="AD179" s="1818"/>
      <c r="AE179" s="1818"/>
      <c r="AF179" s="1818"/>
      <c r="AG179" s="1818"/>
    </row>
    <row r="180" spans="1:33" s="1817" customFormat="1" ht="19.5">
      <c r="A180" s="1834"/>
      <c r="B180" s="1853" t="s">
        <v>1687</v>
      </c>
      <c r="C180" s="1846">
        <v>6508</v>
      </c>
      <c r="D180" s="1815"/>
      <c r="E180" s="1842">
        <f>+IF('TRIAL-BALANCE'!C$8=C180,1,0)</f>
        <v>0</v>
      </c>
      <c r="G180" s="1842">
        <v>0</v>
      </c>
      <c r="I180" s="2217">
        <f t="shared" si="13"/>
        <v>0</v>
      </c>
      <c r="P180" s="1818"/>
      <c r="Q180" s="1818"/>
      <c r="R180" s="1818"/>
      <c r="S180" s="1818"/>
      <c r="T180" s="1818"/>
      <c r="U180" s="1818"/>
      <c r="V180" s="1818"/>
      <c r="W180" s="1818"/>
      <c r="X180" s="1818"/>
      <c r="Y180" s="1818"/>
      <c r="Z180" s="1818"/>
      <c r="AA180" s="1818"/>
      <c r="AB180" s="1818"/>
      <c r="AC180" s="1818"/>
      <c r="AD180" s="1818"/>
      <c r="AE180" s="1818"/>
      <c r="AF180" s="1818"/>
      <c r="AG180" s="1818"/>
    </row>
    <row r="181" spans="1:33" s="1817" customFormat="1" ht="18.75">
      <c r="A181" s="1834"/>
      <c r="B181" s="1847" t="s">
        <v>1688</v>
      </c>
      <c r="C181" s="1846">
        <v>6509</v>
      </c>
      <c r="D181" s="1815"/>
      <c r="E181" s="1842">
        <f>+IF('TRIAL-BALANCE'!C$8=C181,1,0)</f>
        <v>0</v>
      </c>
      <c r="G181" s="1842">
        <v>0</v>
      </c>
      <c r="I181" s="2217">
        <f t="shared" si="13"/>
        <v>0</v>
      </c>
      <c r="P181" s="1818"/>
      <c r="Q181" s="1818"/>
      <c r="R181" s="1818"/>
      <c r="S181" s="1818"/>
      <c r="T181" s="1818"/>
      <c r="U181" s="1818"/>
      <c r="V181" s="1818"/>
      <c r="W181" s="1818"/>
      <c r="X181" s="1818"/>
      <c r="Y181" s="1818"/>
      <c r="Z181" s="1818"/>
      <c r="AA181" s="1818"/>
      <c r="AB181" s="1818"/>
      <c r="AC181" s="1818"/>
      <c r="AD181" s="1818"/>
      <c r="AE181" s="1818"/>
      <c r="AF181" s="1818"/>
      <c r="AG181" s="1818"/>
    </row>
    <row r="182" spans="1:33" s="1817" customFormat="1" ht="18.75">
      <c r="A182" s="1834"/>
      <c r="B182" s="1847" t="s">
        <v>1689</v>
      </c>
      <c r="C182" s="1846">
        <v>6510</v>
      </c>
      <c r="D182" s="1815"/>
      <c r="E182" s="1842">
        <f>+IF('TRIAL-BALANCE'!C$8=C182,1,0)</f>
        <v>0</v>
      </c>
      <c r="G182" s="1842">
        <v>0</v>
      </c>
      <c r="I182" s="2217">
        <f t="shared" si="13"/>
        <v>0</v>
      </c>
      <c r="P182" s="1818"/>
      <c r="Q182" s="1818"/>
      <c r="R182" s="1818"/>
      <c r="S182" s="1818"/>
      <c r="T182" s="1818"/>
      <c r="U182" s="1818"/>
      <c r="V182" s="1818"/>
      <c r="W182" s="1818"/>
      <c r="X182" s="1818"/>
      <c r="Y182" s="1818"/>
      <c r="Z182" s="1818"/>
      <c r="AA182" s="1818"/>
      <c r="AB182" s="1818"/>
      <c r="AC182" s="1818"/>
      <c r="AD182" s="1818"/>
      <c r="AE182" s="1818"/>
      <c r="AF182" s="1818"/>
      <c r="AG182" s="1818"/>
    </row>
    <row r="183" spans="1:33" s="1817" customFormat="1" ht="19.5" thickBot="1">
      <c r="A183" s="1834"/>
      <c r="B183" s="1848" t="s">
        <v>1589</v>
      </c>
      <c r="C183" s="1864">
        <v>6511</v>
      </c>
      <c r="D183" s="1815"/>
      <c r="E183" s="1850">
        <f>+IF('TRIAL-BALANCE'!C$8=C183,1,0)</f>
        <v>0</v>
      </c>
      <c r="G183" s="1850">
        <v>0</v>
      </c>
      <c r="I183" s="2217">
        <f t="shared" si="13"/>
        <v>0</v>
      </c>
      <c r="P183" s="1818"/>
      <c r="Q183" s="1818"/>
      <c r="R183" s="1818"/>
      <c r="S183" s="1818"/>
      <c r="T183" s="1818"/>
      <c r="U183" s="1818"/>
      <c r="V183" s="1818"/>
      <c r="W183" s="1818"/>
      <c r="X183" s="1818"/>
      <c r="Y183" s="1818"/>
      <c r="Z183" s="1818"/>
      <c r="AA183" s="1818"/>
      <c r="AB183" s="1818"/>
      <c r="AC183" s="1818"/>
      <c r="AD183" s="1818"/>
      <c r="AE183" s="1818"/>
      <c r="AF183" s="1818"/>
      <c r="AG183" s="1818"/>
    </row>
    <row r="184" spans="1:33" s="1817" customFormat="1" ht="9" customHeight="1" thickBot="1">
      <c r="A184" s="1851"/>
      <c r="B184" s="1831"/>
      <c r="C184" s="1852"/>
      <c r="D184" s="1815"/>
      <c r="E184" s="1816"/>
      <c r="G184" s="1816"/>
      <c r="I184" s="1816"/>
      <c r="P184" s="1818"/>
      <c r="Q184" s="1818"/>
      <c r="R184" s="1818"/>
      <c r="S184" s="1818"/>
      <c r="T184" s="1818"/>
      <c r="U184" s="1818"/>
      <c r="V184" s="1818"/>
      <c r="W184" s="1818"/>
      <c r="X184" s="1818"/>
      <c r="Y184" s="1818"/>
      <c r="Z184" s="1818"/>
      <c r="AA184" s="1818"/>
      <c r="AB184" s="1818"/>
      <c r="AC184" s="1818"/>
      <c r="AD184" s="1818"/>
      <c r="AE184" s="1818"/>
      <c r="AF184" s="1818"/>
      <c r="AG184" s="1818"/>
    </row>
    <row r="185" spans="1:33" s="1817" customFormat="1" ht="18.75">
      <c r="A185" s="1834"/>
      <c r="B185" s="1835" t="s">
        <v>1690</v>
      </c>
      <c r="C185" s="1836" t="s">
        <v>1691</v>
      </c>
      <c r="D185" s="1815"/>
      <c r="E185" s="1816"/>
      <c r="G185" s="1816"/>
      <c r="I185" s="1816"/>
      <c r="P185" s="1818"/>
      <c r="Q185" s="1818"/>
      <c r="R185" s="1818"/>
      <c r="S185" s="1818"/>
      <c r="T185" s="1818"/>
      <c r="U185" s="1818"/>
      <c r="V185" s="1818"/>
      <c r="W185" s="1818"/>
      <c r="X185" s="1818"/>
      <c r="Y185" s="1818"/>
      <c r="Z185" s="1818"/>
      <c r="AA185" s="1818"/>
      <c r="AB185" s="1818"/>
      <c r="AC185" s="1818"/>
      <c r="AD185" s="1818"/>
      <c r="AE185" s="1818"/>
      <c r="AF185" s="1818"/>
      <c r="AG185" s="1818"/>
    </row>
    <row r="186" spans="1:33" s="1817" customFormat="1" ht="18.75">
      <c r="A186" s="1834"/>
      <c r="B186" s="1862" t="s">
        <v>1692</v>
      </c>
      <c r="C186" s="1863">
        <v>6601</v>
      </c>
      <c r="D186" s="1815"/>
      <c r="E186" s="1839">
        <f>+IF('TRIAL-BALANCE'!C$8=C186,1,0)</f>
        <v>0</v>
      </c>
      <c r="G186" s="1839">
        <v>0</v>
      </c>
      <c r="I186" s="2217">
        <f t="shared" ref="I186:I203" si="14">+E186+G186</f>
        <v>0</v>
      </c>
      <c r="P186" s="1818"/>
      <c r="Q186" s="1818"/>
      <c r="R186" s="1818"/>
      <c r="S186" s="1818"/>
      <c r="T186" s="1818"/>
      <c r="U186" s="1818"/>
      <c r="V186" s="1818"/>
      <c r="W186" s="1818"/>
      <c r="X186" s="1818"/>
      <c r="Y186" s="1818"/>
      <c r="Z186" s="1818"/>
      <c r="AA186" s="1818"/>
      <c r="AB186" s="1818"/>
      <c r="AC186" s="1818"/>
      <c r="AD186" s="1818"/>
      <c r="AE186" s="1818"/>
      <c r="AF186" s="1818"/>
      <c r="AG186" s="1818"/>
    </row>
    <row r="187" spans="1:33" s="1817" customFormat="1" ht="18.75">
      <c r="A187" s="1834"/>
      <c r="B187" s="1847" t="s">
        <v>1693</v>
      </c>
      <c r="C187" s="1846">
        <v>6602</v>
      </c>
      <c r="D187" s="1815"/>
      <c r="E187" s="1842">
        <f>+IF('TRIAL-BALANCE'!C$8=C187,1,0)</f>
        <v>0</v>
      </c>
      <c r="G187" s="1842">
        <v>0</v>
      </c>
      <c r="I187" s="2217">
        <f t="shared" si="14"/>
        <v>0</v>
      </c>
      <c r="P187" s="1818"/>
      <c r="Q187" s="1818"/>
      <c r="R187" s="1818"/>
      <c r="S187" s="1818"/>
      <c r="T187" s="1818"/>
      <c r="U187" s="1818"/>
      <c r="V187" s="1818"/>
      <c r="W187" s="1818"/>
      <c r="X187" s="1818"/>
      <c r="Y187" s="1818"/>
      <c r="Z187" s="1818"/>
      <c r="AA187" s="1818"/>
      <c r="AB187" s="1818"/>
      <c r="AC187" s="1818"/>
      <c r="AD187" s="1818"/>
      <c r="AE187" s="1818"/>
      <c r="AF187" s="1818"/>
      <c r="AG187" s="1818"/>
    </row>
    <row r="188" spans="1:33" s="1817" customFormat="1" ht="18.75">
      <c r="A188" s="1834"/>
      <c r="B188" s="1847" t="s">
        <v>1694</v>
      </c>
      <c r="C188" s="1846">
        <v>6603</v>
      </c>
      <c r="D188" s="1815"/>
      <c r="E188" s="1842">
        <f>+IF('TRIAL-BALANCE'!C$8=C188,1,0)</f>
        <v>0</v>
      </c>
      <c r="G188" s="1842">
        <v>0</v>
      </c>
      <c r="I188" s="2217">
        <f t="shared" si="14"/>
        <v>0</v>
      </c>
      <c r="P188" s="1818"/>
      <c r="Q188" s="1818"/>
      <c r="R188" s="1818"/>
      <c r="S188" s="1818"/>
      <c r="T188" s="1818"/>
      <c r="U188" s="1818"/>
      <c r="V188" s="1818"/>
      <c r="W188" s="1818"/>
      <c r="X188" s="1818"/>
      <c r="Y188" s="1818"/>
      <c r="Z188" s="1818"/>
      <c r="AA188" s="1818"/>
      <c r="AB188" s="1818"/>
      <c r="AC188" s="1818"/>
      <c r="AD188" s="1818"/>
      <c r="AE188" s="1818"/>
      <c r="AF188" s="1818"/>
      <c r="AG188" s="1818"/>
    </row>
    <row r="189" spans="1:33" s="1817" customFormat="1" ht="18.75">
      <c r="A189" s="1834"/>
      <c r="B189" s="1847" t="s">
        <v>1695</v>
      </c>
      <c r="C189" s="1846">
        <v>6604</v>
      </c>
      <c r="D189" s="1815"/>
      <c r="E189" s="1842">
        <f>+IF('TRIAL-BALANCE'!C$8=C189,1,0)</f>
        <v>0</v>
      </c>
      <c r="G189" s="1842">
        <v>0</v>
      </c>
      <c r="I189" s="2217">
        <f t="shared" si="14"/>
        <v>0</v>
      </c>
      <c r="P189" s="1818"/>
      <c r="Q189" s="1818"/>
      <c r="R189" s="1818"/>
      <c r="S189" s="1818"/>
      <c r="T189" s="1818"/>
      <c r="U189" s="1818"/>
      <c r="V189" s="1818"/>
      <c r="W189" s="1818"/>
      <c r="X189" s="1818"/>
      <c r="Y189" s="1818"/>
      <c r="Z189" s="1818"/>
      <c r="AA189" s="1818"/>
      <c r="AB189" s="1818"/>
      <c r="AC189" s="1818"/>
      <c r="AD189" s="1818"/>
      <c r="AE189" s="1818"/>
      <c r="AF189" s="1818"/>
      <c r="AG189" s="1818"/>
    </row>
    <row r="190" spans="1:33" s="1817" customFormat="1" ht="18.75">
      <c r="A190" s="1834"/>
      <c r="B190" s="1847" t="s">
        <v>1696</v>
      </c>
      <c r="C190" s="1846">
        <v>6605</v>
      </c>
      <c r="D190" s="1815"/>
      <c r="E190" s="1842">
        <f>+IF('TRIAL-BALANCE'!C$8=C190,1,0)</f>
        <v>0</v>
      </c>
      <c r="G190" s="1842">
        <v>0</v>
      </c>
      <c r="I190" s="2217">
        <f t="shared" si="14"/>
        <v>0</v>
      </c>
      <c r="P190" s="1818"/>
      <c r="Q190" s="1818"/>
      <c r="R190" s="1818"/>
      <c r="S190" s="1818"/>
      <c r="T190" s="1818"/>
      <c r="U190" s="1818"/>
      <c r="V190" s="1818"/>
      <c r="W190" s="1818"/>
      <c r="X190" s="1818"/>
      <c r="Y190" s="1818"/>
      <c r="Z190" s="1818"/>
      <c r="AA190" s="1818"/>
      <c r="AB190" s="1818"/>
      <c r="AC190" s="1818"/>
      <c r="AD190" s="1818"/>
      <c r="AE190" s="1818"/>
      <c r="AF190" s="1818"/>
      <c r="AG190" s="1818"/>
    </row>
    <row r="191" spans="1:33" s="1817" customFormat="1" ht="18.75">
      <c r="A191" s="1834"/>
      <c r="B191" s="1847" t="s">
        <v>1697</v>
      </c>
      <c r="C191" s="1846">
        <v>6606</v>
      </c>
      <c r="D191" s="1815"/>
      <c r="E191" s="1842">
        <f>+IF('TRIAL-BALANCE'!C$8=C191,1,0)</f>
        <v>0</v>
      </c>
      <c r="G191" s="1842">
        <v>0</v>
      </c>
      <c r="I191" s="2217">
        <f t="shared" si="14"/>
        <v>0</v>
      </c>
      <c r="P191" s="1818"/>
      <c r="Q191" s="1818"/>
      <c r="R191" s="1818"/>
      <c r="S191" s="1818"/>
      <c r="T191" s="1818"/>
      <c r="U191" s="1818"/>
      <c r="V191" s="1818"/>
      <c r="W191" s="1818"/>
      <c r="X191" s="1818"/>
      <c r="Y191" s="1818"/>
      <c r="Z191" s="1818"/>
      <c r="AA191" s="1818"/>
      <c r="AB191" s="1818"/>
      <c r="AC191" s="1818"/>
      <c r="AD191" s="1818"/>
      <c r="AE191" s="1818"/>
      <c r="AF191" s="1818"/>
      <c r="AG191" s="1818"/>
    </row>
    <row r="192" spans="1:33" s="1817" customFormat="1" ht="18.75">
      <c r="A192" s="1834"/>
      <c r="B192" s="1847" t="s">
        <v>1698</v>
      </c>
      <c r="C192" s="1846">
        <v>6607</v>
      </c>
      <c r="D192" s="1815"/>
      <c r="E192" s="1842">
        <f>+IF('TRIAL-BALANCE'!C$8=C192,1,0)</f>
        <v>0</v>
      </c>
      <c r="G192" s="1842">
        <v>0</v>
      </c>
      <c r="I192" s="2217">
        <f t="shared" si="14"/>
        <v>0</v>
      </c>
      <c r="P192" s="1818"/>
      <c r="Q192" s="1818"/>
      <c r="R192" s="1818"/>
      <c r="S192" s="1818"/>
      <c r="T192" s="1818"/>
      <c r="U192" s="1818"/>
      <c r="V192" s="1818"/>
      <c r="W192" s="1818"/>
      <c r="X192" s="1818"/>
      <c r="Y192" s="1818"/>
      <c r="Z192" s="1818"/>
      <c r="AA192" s="1818"/>
      <c r="AB192" s="1818"/>
      <c r="AC192" s="1818"/>
      <c r="AD192" s="1818"/>
      <c r="AE192" s="1818"/>
      <c r="AF192" s="1818"/>
      <c r="AG192" s="1818"/>
    </row>
    <row r="193" spans="1:33" s="1817" customFormat="1" ht="18.75">
      <c r="A193" s="1834"/>
      <c r="B193" s="1847" t="s">
        <v>1699</v>
      </c>
      <c r="C193" s="1846">
        <v>6608</v>
      </c>
      <c r="D193" s="1815"/>
      <c r="E193" s="1842">
        <f>+IF('TRIAL-BALANCE'!C$8=C193,1,0)</f>
        <v>0</v>
      </c>
      <c r="G193" s="1842">
        <v>0</v>
      </c>
      <c r="I193" s="2217">
        <f t="shared" si="14"/>
        <v>0</v>
      </c>
      <c r="P193" s="1818"/>
      <c r="Q193" s="1818"/>
      <c r="R193" s="1818"/>
      <c r="S193" s="1818"/>
      <c r="T193" s="1818"/>
      <c r="U193" s="1818"/>
      <c r="V193" s="1818"/>
      <c r="W193" s="1818"/>
      <c r="X193" s="1818"/>
      <c r="Y193" s="1818"/>
      <c r="Z193" s="1818"/>
      <c r="AA193" s="1818"/>
      <c r="AB193" s="1818"/>
      <c r="AC193" s="1818"/>
      <c r="AD193" s="1818"/>
      <c r="AE193" s="1818"/>
      <c r="AF193" s="1818"/>
      <c r="AG193" s="1818"/>
    </row>
    <row r="194" spans="1:33" s="1817" customFormat="1" ht="19.5">
      <c r="A194" s="1834"/>
      <c r="B194" s="1853" t="s">
        <v>1700</v>
      </c>
      <c r="C194" s="1846">
        <v>6609</v>
      </c>
      <c r="D194" s="1815"/>
      <c r="E194" s="1842">
        <f>+IF('TRIAL-BALANCE'!C$8=C194,1,0)</f>
        <v>0</v>
      </c>
      <c r="G194" s="1842">
        <v>0</v>
      </c>
      <c r="I194" s="2217">
        <f t="shared" si="14"/>
        <v>0</v>
      </c>
      <c r="P194" s="1818"/>
      <c r="Q194" s="1818"/>
      <c r="R194" s="1818"/>
      <c r="S194" s="1818"/>
      <c r="T194" s="1818"/>
      <c r="U194" s="1818"/>
      <c r="V194" s="1818"/>
      <c r="W194" s="1818"/>
      <c r="X194" s="1818"/>
      <c r="Y194" s="1818"/>
      <c r="Z194" s="1818"/>
      <c r="AA194" s="1818"/>
      <c r="AB194" s="1818"/>
      <c r="AC194" s="1818"/>
      <c r="AD194" s="1818"/>
      <c r="AE194" s="1818"/>
      <c r="AF194" s="1818"/>
      <c r="AG194" s="1818"/>
    </row>
    <row r="195" spans="1:33" s="1817" customFormat="1" ht="18.75">
      <c r="A195" s="1834"/>
      <c r="B195" s="1847" t="s">
        <v>1701</v>
      </c>
      <c r="C195" s="1846">
        <v>6610</v>
      </c>
      <c r="D195" s="1815"/>
      <c r="E195" s="1842">
        <f>+IF('TRIAL-BALANCE'!C$8=C195,1,0)</f>
        <v>0</v>
      </c>
      <c r="G195" s="1842">
        <v>0</v>
      </c>
      <c r="I195" s="2217">
        <f t="shared" si="14"/>
        <v>0</v>
      </c>
      <c r="P195" s="1818"/>
      <c r="Q195" s="1818"/>
      <c r="R195" s="1818"/>
      <c r="S195" s="1818"/>
      <c r="T195" s="1818"/>
      <c r="U195" s="1818"/>
      <c r="V195" s="1818"/>
      <c r="W195" s="1818"/>
      <c r="X195" s="1818"/>
      <c r="Y195" s="1818"/>
      <c r="Z195" s="1818"/>
      <c r="AA195" s="1818"/>
      <c r="AB195" s="1818"/>
      <c r="AC195" s="1818"/>
      <c r="AD195" s="1818"/>
      <c r="AE195" s="1818"/>
      <c r="AF195" s="1818"/>
      <c r="AG195" s="1818"/>
    </row>
    <row r="196" spans="1:33" s="1817" customFormat="1" ht="18.75">
      <c r="A196" s="1834"/>
      <c r="B196" s="1847" t="s">
        <v>1702</v>
      </c>
      <c r="C196" s="1846">
        <v>6611</v>
      </c>
      <c r="D196" s="1815"/>
      <c r="E196" s="1842">
        <f>+IF('TRIAL-BALANCE'!C$8=C196,1,0)</f>
        <v>0</v>
      </c>
      <c r="G196" s="1842">
        <v>0</v>
      </c>
      <c r="I196" s="2217">
        <f t="shared" si="14"/>
        <v>0</v>
      </c>
      <c r="P196" s="1818"/>
      <c r="Q196" s="1818"/>
      <c r="R196" s="1818"/>
      <c r="S196" s="1818"/>
      <c r="T196" s="1818"/>
      <c r="U196" s="1818"/>
      <c r="V196" s="1818"/>
      <c r="W196" s="1818"/>
      <c r="X196" s="1818"/>
      <c r="Y196" s="1818"/>
      <c r="Z196" s="1818"/>
      <c r="AA196" s="1818"/>
      <c r="AB196" s="1818"/>
      <c r="AC196" s="1818"/>
      <c r="AD196" s="1818"/>
      <c r="AE196" s="1818"/>
      <c r="AF196" s="1818"/>
      <c r="AG196" s="1818"/>
    </row>
    <row r="197" spans="1:33" s="1817" customFormat="1" ht="18.75">
      <c r="A197" s="1834"/>
      <c r="B197" s="1847" t="s">
        <v>1703</v>
      </c>
      <c r="C197" s="1846">
        <v>6612</v>
      </c>
      <c r="D197" s="1815"/>
      <c r="E197" s="1842">
        <f>+IF('TRIAL-BALANCE'!C$8=C197,1,0)</f>
        <v>0</v>
      </c>
      <c r="G197" s="1842">
        <v>0</v>
      </c>
      <c r="I197" s="2217">
        <f t="shared" si="14"/>
        <v>0</v>
      </c>
      <c r="P197" s="1818"/>
      <c r="Q197" s="1818"/>
      <c r="R197" s="1818"/>
      <c r="S197" s="1818"/>
      <c r="T197" s="1818"/>
      <c r="U197" s="1818"/>
      <c r="V197" s="1818"/>
      <c r="W197" s="1818"/>
      <c r="X197" s="1818"/>
      <c r="Y197" s="1818"/>
      <c r="Z197" s="1818"/>
      <c r="AA197" s="1818"/>
      <c r="AB197" s="1818"/>
      <c r="AC197" s="1818"/>
      <c r="AD197" s="1818"/>
      <c r="AE197" s="1818"/>
      <c r="AF197" s="1818"/>
      <c r="AG197" s="1818"/>
    </row>
    <row r="198" spans="1:33" s="1817" customFormat="1" ht="18.75">
      <c r="A198" s="1834"/>
      <c r="B198" s="1847" t="s">
        <v>1704</v>
      </c>
      <c r="C198" s="1846">
        <v>6613</v>
      </c>
      <c r="D198" s="1815"/>
      <c r="E198" s="1842">
        <f>+IF('TRIAL-BALANCE'!C$8=C198,1,0)</f>
        <v>0</v>
      </c>
      <c r="G198" s="1842">
        <v>0</v>
      </c>
      <c r="I198" s="2217">
        <f t="shared" si="14"/>
        <v>0</v>
      </c>
      <c r="P198" s="1818"/>
      <c r="Q198" s="1818"/>
      <c r="R198" s="1818"/>
      <c r="S198" s="1818"/>
      <c r="T198" s="1818"/>
      <c r="U198" s="1818"/>
      <c r="V198" s="1818"/>
      <c r="W198" s="1818"/>
      <c r="X198" s="1818"/>
      <c r="Y198" s="1818"/>
      <c r="Z198" s="1818"/>
      <c r="AA198" s="1818"/>
      <c r="AB198" s="1818"/>
      <c r="AC198" s="1818"/>
      <c r="AD198" s="1818"/>
      <c r="AE198" s="1818"/>
      <c r="AF198" s="1818"/>
      <c r="AG198" s="1818"/>
    </row>
    <row r="199" spans="1:33" s="1817" customFormat="1" ht="18.75">
      <c r="A199" s="1834"/>
      <c r="B199" s="1847" t="s">
        <v>1705</v>
      </c>
      <c r="C199" s="1846">
        <v>6614</v>
      </c>
      <c r="D199" s="1815"/>
      <c r="E199" s="1842">
        <f>+IF('TRIAL-BALANCE'!C$8=C199,1,0)</f>
        <v>0</v>
      </c>
      <c r="G199" s="1842">
        <v>0</v>
      </c>
      <c r="I199" s="2217">
        <f t="shared" si="14"/>
        <v>0</v>
      </c>
      <c r="P199" s="1818"/>
      <c r="Q199" s="1818"/>
      <c r="R199" s="1818"/>
      <c r="S199" s="1818"/>
      <c r="T199" s="1818"/>
      <c r="U199" s="1818"/>
      <c r="V199" s="1818"/>
      <c r="W199" s="1818"/>
      <c r="X199" s="1818"/>
      <c r="Y199" s="1818"/>
      <c r="Z199" s="1818"/>
      <c r="AA199" s="1818"/>
      <c r="AB199" s="1818"/>
      <c r="AC199" s="1818"/>
      <c r="AD199" s="1818"/>
      <c r="AE199" s="1818"/>
      <c r="AF199" s="1818"/>
      <c r="AG199" s="1818"/>
    </row>
    <row r="200" spans="1:33" s="1817" customFormat="1" ht="18.75">
      <c r="A200" s="1834"/>
      <c r="B200" s="1847" t="s">
        <v>1706</v>
      </c>
      <c r="C200" s="1846">
        <v>6615</v>
      </c>
      <c r="D200" s="1815"/>
      <c r="E200" s="1842">
        <f>+IF('TRIAL-BALANCE'!C$8=C200,1,0)</f>
        <v>0</v>
      </c>
      <c r="G200" s="1842">
        <v>0</v>
      </c>
      <c r="I200" s="2217">
        <f t="shared" si="14"/>
        <v>0</v>
      </c>
      <c r="P200" s="1818"/>
      <c r="Q200" s="1818"/>
      <c r="R200" s="1818"/>
      <c r="S200" s="1818"/>
      <c r="T200" s="1818"/>
      <c r="U200" s="1818"/>
      <c r="V200" s="1818"/>
      <c r="W200" s="1818"/>
      <c r="X200" s="1818"/>
      <c r="Y200" s="1818"/>
      <c r="Z200" s="1818"/>
      <c r="AA200" s="1818"/>
      <c r="AB200" s="1818"/>
      <c r="AC200" s="1818"/>
      <c r="AD200" s="1818"/>
      <c r="AE200" s="1818"/>
      <c r="AF200" s="1818"/>
      <c r="AG200" s="1818"/>
    </row>
    <row r="201" spans="1:33" s="1817" customFormat="1" ht="18.75">
      <c r="A201" s="1834"/>
      <c r="B201" s="1847" t="s">
        <v>1707</v>
      </c>
      <c r="C201" s="1846">
        <v>6616</v>
      </c>
      <c r="D201" s="1815"/>
      <c r="E201" s="1842">
        <f>+IF('TRIAL-BALANCE'!C$8=C201,1,0)</f>
        <v>0</v>
      </c>
      <c r="G201" s="1842">
        <v>0</v>
      </c>
      <c r="I201" s="2217">
        <f t="shared" si="14"/>
        <v>0</v>
      </c>
      <c r="P201" s="1818"/>
      <c r="Q201" s="1818"/>
      <c r="R201" s="1818"/>
      <c r="S201" s="1818"/>
      <c r="T201" s="1818"/>
      <c r="U201" s="1818"/>
      <c r="V201" s="1818"/>
      <c r="W201" s="1818"/>
      <c r="X201" s="1818"/>
      <c r="Y201" s="1818"/>
      <c r="Z201" s="1818"/>
      <c r="AA201" s="1818"/>
      <c r="AB201" s="1818"/>
      <c r="AC201" s="1818"/>
      <c r="AD201" s="1818"/>
      <c r="AE201" s="1818"/>
      <c r="AF201" s="1818"/>
      <c r="AG201" s="1818"/>
    </row>
    <row r="202" spans="1:33" s="1817" customFormat="1" ht="18.75">
      <c r="A202" s="1834"/>
      <c r="B202" s="1847" t="s">
        <v>1708</v>
      </c>
      <c r="C202" s="1846">
        <v>6617</v>
      </c>
      <c r="D202" s="1815"/>
      <c r="E202" s="1842">
        <f>+IF('TRIAL-BALANCE'!C$8=C202,1,0)</f>
        <v>0</v>
      </c>
      <c r="G202" s="1842">
        <v>0</v>
      </c>
      <c r="I202" s="2217">
        <f t="shared" si="14"/>
        <v>0</v>
      </c>
      <c r="P202" s="1818"/>
      <c r="Q202" s="1818"/>
      <c r="R202" s="1818"/>
      <c r="S202" s="1818"/>
      <c r="T202" s="1818"/>
      <c r="U202" s="1818"/>
      <c r="V202" s="1818"/>
      <c r="W202" s="1818"/>
      <c r="X202" s="1818"/>
      <c r="Y202" s="1818"/>
      <c r="Z202" s="1818"/>
      <c r="AA202" s="1818"/>
      <c r="AB202" s="1818"/>
      <c r="AC202" s="1818"/>
      <c r="AD202" s="1818"/>
      <c r="AE202" s="1818"/>
      <c r="AF202" s="1818"/>
      <c r="AG202" s="1818"/>
    </row>
    <row r="203" spans="1:33" s="1817" customFormat="1" ht="19.5" thickBot="1">
      <c r="A203" s="1834"/>
      <c r="B203" s="1865" t="s">
        <v>1709</v>
      </c>
      <c r="C203" s="1866">
        <v>6618</v>
      </c>
      <c r="D203" s="1815"/>
      <c r="E203" s="1850">
        <f>+IF('TRIAL-BALANCE'!C$8=C203,1,0)</f>
        <v>0</v>
      </c>
      <c r="G203" s="1850">
        <v>0</v>
      </c>
      <c r="I203" s="2217">
        <f t="shared" si="14"/>
        <v>0</v>
      </c>
      <c r="P203" s="1818"/>
      <c r="Q203" s="1818"/>
      <c r="R203" s="1818"/>
      <c r="S203" s="1818"/>
      <c r="T203" s="1818"/>
      <c r="U203" s="1818"/>
      <c r="V203" s="1818"/>
      <c r="W203" s="1818"/>
      <c r="X203" s="1818"/>
      <c r="Y203" s="1818"/>
      <c r="Z203" s="1818"/>
      <c r="AA203" s="1818"/>
      <c r="AB203" s="1818"/>
      <c r="AC203" s="1818"/>
      <c r="AD203" s="1818"/>
      <c r="AE203" s="1818"/>
      <c r="AF203" s="1818"/>
      <c r="AG203" s="1818"/>
    </row>
    <row r="204" spans="1:33" s="1817" customFormat="1" ht="9" customHeight="1" thickBot="1">
      <c r="A204" s="1851"/>
      <c r="B204" s="1831"/>
      <c r="C204" s="1852"/>
      <c r="D204" s="1815"/>
      <c r="E204" s="1816"/>
      <c r="G204" s="1816"/>
      <c r="I204" s="1816"/>
      <c r="P204" s="1818"/>
      <c r="Q204" s="1818"/>
      <c r="R204" s="1818"/>
      <c r="S204" s="1818"/>
      <c r="T204" s="1818"/>
      <c r="U204" s="1818"/>
      <c r="V204" s="1818"/>
      <c r="W204" s="1818"/>
      <c r="X204" s="1818"/>
      <c r="Y204" s="1818"/>
      <c r="Z204" s="1818"/>
      <c r="AA204" s="1818"/>
      <c r="AB204" s="1818"/>
      <c r="AC204" s="1818"/>
      <c r="AD204" s="1818"/>
      <c r="AE204" s="1818"/>
      <c r="AF204" s="1818"/>
      <c r="AG204" s="1818"/>
    </row>
    <row r="205" spans="1:33" s="1817" customFormat="1" ht="18.75">
      <c r="A205" s="1834"/>
      <c r="B205" s="1835" t="s">
        <v>1710</v>
      </c>
      <c r="C205" s="1836" t="s">
        <v>1711</v>
      </c>
      <c r="D205" s="1815"/>
      <c r="E205" s="1816"/>
      <c r="G205" s="1816"/>
      <c r="I205" s="1816"/>
      <c r="P205" s="1818"/>
      <c r="Q205" s="1818"/>
      <c r="R205" s="1818"/>
      <c r="S205" s="1818"/>
      <c r="T205" s="1818"/>
      <c r="U205" s="1818"/>
      <c r="V205" s="1818"/>
      <c r="W205" s="1818"/>
      <c r="X205" s="1818"/>
      <c r="Y205" s="1818"/>
      <c r="Z205" s="1818"/>
      <c r="AA205" s="1818"/>
      <c r="AB205" s="1818"/>
      <c r="AC205" s="1818"/>
      <c r="AD205" s="1818"/>
      <c r="AE205" s="1818"/>
      <c r="AF205" s="1818"/>
      <c r="AG205" s="1818"/>
    </row>
    <row r="206" spans="1:33" s="1817" customFormat="1" ht="18.75">
      <c r="A206" s="1834"/>
      <c r="B206" s="1855" t="s">
        <v>1712</v>
      </c>
      <c r="C206" s="1856">
        <v>6701</v>
      </c>
      <c r="D206" s="1815"/>
      <c r="E206" s="1839">
        <f>+IF('TRIAL-BALANCE'!C$8=C206,1,0)</f>
        <v>0</v>
      </c>
      <c r="G206" s="1839">
        <v>0</v>
      </c>
      <c r="I206" s="2217">
        <f t="shared" ref="I206:I212" si="15">+E206+G206</f>
        <v>0</v>
      </c>
      <c r="P206" s="1818"/>
      <c r="Q206" s="1818"/>
      <c r="R206" s="1818"/>
      <c r="S206" s="1818"/>
      <c r="T206" s="1818"/>
      <c r="U206" s="1818"/>
      <c r="V206" s="1818"/>
      <c r="W206" s="1818"/>
      <c r="X206" s="1818"/>
      <c r="Y206" s="1818"/>
      <c r="Z206" s="1818"/>
      <c r="AA206" s="1818"/>
      <c r="AB206" s="1818"/>
      <c r="AC206" s="1818"/>
      <c r="AD206" s="1818"/>
      <c r="AE206" s="1818"/>
      <c r="AF206" s="1818"/>
      <c r="AG206" s="1818"/>
    </row>
    <row r="207" spans="1:33" s="1817" customFormat="1" ht="18.75">
      <c r="A207" s="1834"/>
      <c r="B207" s="1847" t="s">
        <v>1713</v>
      </c>
      <c r="C207" s="1846">
        <v>6702</v>
      </c>
      <c r="D207" s="1815"/>
      <c r="E207" s="1842">
        <f>+IF('TRIAL-BALANCE'!C$8=C207,1,0)</f>
        <v>0</v>
      </c>
      <c r="G207" s="1842">
        <v>0</v>
      </c>
      <c r="I207" s="2217">
        <f t="shared" si="15"/>
        <v>0</v>
      </c>
      <c r="P207" s="1818"/>
      <c r="Q207" s="1818"/>
      <c r="R207" s="1818"/>
      <c r="S207" s="1818"/>
      <c r="T207" s="1818"/>
      <c r="U207" s="1818"/>
      <c r="V207" s="1818"/>
      <c r="W207" s="1818"/>
      <c r="X207" s="1818"/>
      <c r="Y207" s="1818"/>
      <c r="Z207" s="1818"/>
      <c r="AA207" s="1818"/>
      <c r="AB207" s="1818"/>
      <c r="AC207" s="1818"/>
      <c r="AD207" s="1818"/>
      <c r="AE207" s="1818"/>
      <c r="AF207" s="1818"/>
      <c r="AG207" s="1818"/>
    </row>
    <row r="208" spans="1:33" s="1817" customFormat="1" ht="18.75">
      <c r="A208" s="1834"/>
      <c r="B208" s="1847" t="s">
        <v>1714</v>
      </c>
      <c r="C208" s="1846">
        <v>6703</v>
      </c>
      <c r="D208" s="1815"/>
      <c r="E208" s="1842">
        <f>+IF('TRIAL-BALANCE'!C$8=C208,1,0)</f>
        <v>0</v>
      </c>
      <c r="G208" s="1842">
        <v>0</v>
      </c>
      <c r="I208" s="2217">
        <f t="shared" si="15"/>
        <v>0</v>
      </c>
      <c r="P208" s="1818"/>
      <c r="Q208" s="1818"/>
      <c r="R208" s="1818"/>
      <c r="S208" s="1818"/>
      <c r="T208" s="1818"/>
      <c r="U208" s="1818"/>
      <c r="V208" s="1818"/>
      <c r="W208" s="1818"/>
      <c r="X208" s="1818"/>
      <c r="Y208" s="1818"/>
      <c r="Z208" s="1818"/>
      <c r="AA208" s="1818"/>
      <c r="AB208" s="1818"/>
      <c r="AC208" s="1818"/>
      <c r="AD208" s="1818"/>
      <c r="AE208" s="1818"/>
      <c r="AF208" s="1818"/>
      <c r="AG208" s="1818"/>
    </row>
    <row r="209" spans="1:33" s="1817" customFormat="1" ht="18.75">
      <c r="A209" s="1834"/>
      <c r="B209" s="1847" t="s">
        <v>1715</v>
      </c>
      <c r="C209" s="1846">
        <v>6704</v>
      </c>
      <c r="D209" s="1815"/>
      <c r="E209" s="1842">
        <f>+IF('TRIAL-BALANCE'!C$8=C209,1,0)</f>
        <v>0</v>
      </c>
      <c r="G209" s="1842">
        <v>0</v>
      </c>
      <c r="I209" s="2217">
        <f t="shared" si="15"/>
        <v>0</v>
      </c>
      <c r="P209" s="1818"/>
      <c r="Q209" s="1818"/>
      <c r="R209" s="1818"/>
      <c r="S209" s="1818"/>
      <c r="T209" s="1818"/>
      <c r="U209" s="1818"/>
      <c r="V209" s="1818"/>
      <c r="W209" s="1818"/>
      <c r="X209" s="1818"/>
      <c r="Y209" s="1818"/>
      <c r="Z209" s="1818"/>
      <c r="AA209" s="1818"/>
      <c r="AB209" s="1818"/>
      <c r="AC209" s="1818"/>
      <c r="AD209" s="1818"/>
      <c r="AE209" s="1818"/>
      <c r="AF209" s="1818"/>
      <c r="AG209" s="1818"/>
    </row>
    <row r="210" spans="1:33" s="1817" customFormat="1" ht="19.5">
      <c r="A210" s="1834"/>
      <c r="B210" s="1853" t="s">
        <v>1716</v>
      </c>
      <c r="C210" s="1846">
        <v>6705</v>
      </c>
      <c r="D210" s="1815"/>
      <c r="E210" s="1842">
        <f>+IF('TRIAL-BALANCE'!C$8=C210,1,0)</f>
        <v>0</v>
      </c>
      <c r="G210" s="1842">
        <v>0</v>
      </c>
      <c r="I210" s="2217">
        <f t="shared" si="15"/>
        <v>0</v>
      </c>
      <c r="P210" s="1818"/>
      <c r="Q210" s="1818"/>
      <c r="R210" s="1818"/>
      <c r="S210" s="1818"/>
      <c r="T210" s="1818"/>
      <c r="U210" s="1818"/>
      <c r="V210" s="1818"/>
      <c r="W210" s="1818"/>
      <c r="X210" s="1818"/>
      <c r="Y210" s="1818"/>
      <c r="Z210" s="1818"/>
      <c r="AA210" s="1818"/>
      <c r="AB210" s="1818"/>
      <c r="AC210" s="1818"/>
      <c r="AD210" s="1818"/>
      <c r="AE210" s="1818"/>
      <c r="AF210" s="1818"/>
      <c r="AG210" s="1818"/>
    </row>
    <row r="211" spans="1:33" s="1817" customFormat="1" ht="18.75">
      <c r="A211" s="1834"/>
      <c r="B211" s="1847" t="s">
        <v>1717</v>
      </c>
      <c r="C211" s="1846">
        <v>6706</v>
      </c>
      <c r="D211" s="1815"/>
      <c r="E211" s="1842">
        <f>+IF('TRIAL-BALANCE'!C$8=C211,1,0)</f>
        <v>0</v>
      </c>
      <c r="G211" s="1842">
        <v>0</v>
      </c>
      <c r="I211" s="2217">
        <f t="shared" si="15"/>
        <v>0</v>
      </c>
      <c r="P211" s="1818"/>
      <c r="Q211" s="1818"/>
      <c r="R211" s="1818"/>
      <c r="S211" s="1818"/>
      <c r="T211" s="1818"/>
      <c r="U211" s="1818"/>
      <c r="V211" s="1818"/>
      <c r="W211" s="1818"/>
      <c r="X211" s="1818"/>
      <c r="Y211" s="1818"/>
      <c r="Z211" s="1818"/>
      <c r="AA211" s="1818"/>
      <c r="AB211" s="1818"/>
      <c r="AC211" s="1818"/>
      <c r="AD211" s="1818"/>
      <c r="AE211" s="1818"/>
      <c r="AF211" s="1818"/>
      <c r="AG211" s="1818"/>
    </row>
    <row r="212" spans="1:33" s="1817" customFormat="1" ht="19.5" thickBot="1">
      <c r="A212" s="1834"/>
      <c r="B212" s="1848" t="s">
        <v>1718</v>
      </c>
      <c r="C212" s="1849">
        <v>6707</v>
      </c>
      <c r="D212" s="1815"/>
      <c r="E212" s="1850">
        <f>+IF('TRIAL-BALANCE'!C$8=C212,1,0)</f>
        <v>0</v>
      </c>
      <c r="G212" s="1850">
        <v>0</v>
      </c>
      <c r="I212" s="2217">
        <f t="shared" si="15"/>
        <v>0</v>
      </c>
      <c r="P212" s="1818"/>
      <c r="Q212" s="1818"/>
      <c r="R212" s="1818"/>
      <c r="S212" s="1818"/>
      <c r="T212" s="1818"/>
      <c r="U212" s="1818"/>
      <c r="V212" s="1818"/>
      <c r="W212" s="1818"/>
      <c r="X212" s="1818"/>
      <c r="Y212" s="1818"/>
      <c r="Z212" s="1818"/>
      <c r="AA212" s="1818"/>
      <c r="AB212" s="1818"/>
      <c r="AC212" s="1818"/>
      <c r="AD212" s="1818"/>
      <c r="AE212" s="1818"/>
      <c r="AF212" s="1818"/>
      <c r="AG212" s="1818"/>
    </row>
    <row r="213" spans="1:33" s="1817" customFormat="1" ht="9" customHeight="1" thickBot="1">
      <c r="A213" s="1851"/>
      <c r="B213" s="1831"/>
      <c r="C213" s="1852"/>
      <c r="D213" s="1815"/>
      <c r="E213" s="1816"/>
      <c r="G213" s="1816"/>
      <c r="I213" s="1816"/>
      <c r="P213" s="1818"/>
      <c r="Q213" s="1818"/>
      <c r="R213" s="1818"/>
      <c r="S213" s="1818"/>
      <c r="T213" s="1818"/>
      <c r="U213" s="1818"/>
      <c r="V213" s="1818"/>
      <c r="W213" s="1818"/>
      <c r="X213" s="1818"/>
      <c r="Y213" s="1818"/>
      <c r="Z213" s="1818"/>
      <c r="AA213" s="1818"/>
      <c r="AB213" s="1818"/>
      <c r="AC213" s="1818"/>
      <c r="AD213" s="1818"/>
      <c r="AE213" s="1818"/>
      <c r="AF213" s="1818"/>
      <c r="AG213" s="1818"/>
    </row>
    <row r="214" spans="1:33" s="1817" customFormat="1" ht="18.75">
      <c r="A214" s="1834"/>
      <c r="B214" s="1835" t="s">
        <v>1719</v>
      </c>
      <c r="C214" s="1836" t="s">
        <v>1720</v>
      </c>
      <c r="D214" s="1815"/>
      <c r="E214" s="1816"/>
      <c r="G214" s="1816"/>
      <c r="I214" s="1816"/>
      <c r="P214" s="1818"/>
      <c r="Q214" s="1818"/>
      <c r="R214" s="1818"/>
      <c r="S214" s="1818"/>
      <c r="T214" s="1818"/>
      <c r="U214" s="1818"/>
      <c r="V214" s="1818"/>
      <c r="W214" s="1818"/>
      <c r="X214" s="1818"/>
      <c r="Y214" s="1818"/>
      <c r="Z214" s="1818"/>
      <c r="AA214" s="1818"/>
      <c r="AB214" s="1818"/>
      <c r="AC214" s="1818"/>
      <c r="AD214" s="1818"/>
      <c r="AE214" s="1818"/>
      <c r="AF214" s="1818"/>
      <c r="AG214" s="1818"/>
    </row>
    <row r="215" spans="1:33" s="1817" customFormat="1" ht="18.75">
      <c r="A215" s="1834"/>
      <c r="B215" s="1855" t="s">
        <v>1721</v>
      </c>
      <c r="C215" s="1856">
        <v>6801</v>
      </c>
      <c r="D215" s="1815"/>
      <c r="E215" s="1839">
        <f>+IF('TRIAL-BALANCE'!C$8=C215,1,0)</f>
        <v>0</v>
      </c>
      <c r="G215" s="1839">
        <v>0</v>
      </c>
      <c r="I215" s="2217">
        <f t="shared" ref="I215:I222" si="16">+E215+G215</f>
        <v>0</v>
      </c>
      <c r="P215" s="1818"/>
      <c r="Q215" s="1818"/>
      <c r="R215" s="1818"/>
      <c r="S215" s="1818"/>
      <c r="T215" s="1818"/>
      <c r="U215" s="1818"/>
      <c r="V215" s="1818"/>
      <c r="W215" s="1818"/>
      <c r="X215" s="1818"/>
      <c r="Y215" s="1818"/>
      <c r="Z215" s="1818"/>
      <c r="AA215" s="1818"/>
      <c r="AB215" s="1818"/>
      <c r="AC215" s="1818"/>
      <c r="AD215" s="1818"/>
      <c r="AE215" s="1818"/>
      <c r="AF215" s="1818"/>
      <c r="AG215" s="1818"/>
    </row>
    <row r="216" spans="1:33" s="1817" customFormat="1" ht="18.75">
      <c r="A216" s="1834"/>
      <c r="B216" s="1847" t="s">
        <v>1551</v>
      </c>
      <c r="C216" s="1846">
        <v>6802</v>
      </c>
      <c r="D216" s="1815"/>
      <c r="E216" s="1842">
        <f>+IF('TRIAL-BALANCE'!C$8=C216,1,0)</f>
        <v>0</v>
      </c>
      <c r="G216" s="1842">
        <v>0</v>
      </c>
      <c r="I216" s="2217">
        <f t="shared" si="16"/>
        <v>0</v>
      </c>
      <c r="P216" s="1818"/>
      <c r="Q216" s="1818"/>
      <c r="R216" s="1818"/>
      <c r="S216" s="1818"/>
      <c r="T216" s="1818"/>
      <c r="U216" s="1818"/>
      <c r="V216" s="1818"/>
      <c r="W216" s="1818"/>
      <c r="X216" s="1818"/>
      <c r="Y216" s="1818"/>
      <c r="Z216" s="1818"/>
      <c r="AA216" s="1818"/>
      <c r="AB216" s="1818"/>
      <c r="AC216" s="1818"/>
      <c r="AD216" s="1818"/>
      <c r="AE216" s="1818"/>
      <c r="AF216" s="1818"/>
      <c r="AG216" s="1818"/>
    </row>
    <row r="217" spans="1:33" s="1817" customFormat="1" ht="18.75">
      <c r="A217" s="1834"/>
      <c r="B217" s="1847" t="s">
        <v>1722</v>
      </c>
      <c r="C217" s="1846">
        <v>6803</v>
      </c>
      <c r="D217" s="1815"/>
      <c r="E217" s="1842">
        <f>+IF('TRIAL-BALANCE'!C$8=C217,1,0)</f>
        <v>0</v>
      </c>
      <c r="G217" s="1842">
        <v>0</v>
      </c>
      <c r="I217" s="2217">
        <f t="shared" si="16"/>
        <v>0</v>
      </c>
      <c r="P217" s="1818"/>
      <c r="Q217" s="1818"/>
      <c r="R217" s="1818"/>
      <c r="S217" s="1818"/>
      <c r="T217" s="1818"/>
      <c r="U217" s="1818"/>
      <c r="V217" s="1818"/>
      <c r="W217" s="1818"/>
      <c r="X217" s="1818"/>
      <c r="Y217" s="1818"/>
      <c r="Z217" s="1818"/>
      <c r="AA217" s="1818"/>
      <c r="AB217" s="1818"/>
      <c r="AC217" s="1818"/>
      <c r="AD217" s="1818"/>
      <c r="AE217" s="1818"/>
      <c r="AF217" s="1818"/>
      <c r="AG217" s="1818"/>
    </row>
    <row r="218" spans="1:33" s="1817" customFormat="1" ht="18.75">
      <c r="A218" s="1834"/>
      <c r="B218" s="1847" t="s">
        <v>1723</v>
      </c>
      <c r="C218" s="1846">
        <v>6804</v>
      </c>
      <c r="D218" s="1815"/>
      <c r="E218" s="1842">
        <f>+IF('TRIAL-BALANCE'!C$8=C218,1,0)</f>
        <v>0</v>
      </c>
      <c r="G218" s="1842">
        <v>0</v>
      </c>
      <c r="I218" s="2217">
        <f t="shared" si="16"/>
        <v>0</v>
      </c>
      <c r="P218" s="1818"/>
      <c r="Q218" s="1818"/>
      <c r="R218" s="1818"/>
      <c r="S218" s="1818"/>
      <c r="T218" s="1818"/>
      <c r="U218" s="1818"/>
      <c r="V218" s="1818"/>
      <c r="W218" s="1818"/>
      <c r="X218" s="1818"/>
      <c r="Y218" s="1818"/>
      <c r="Z218" s="1818"/>
      <c r="AA218" s="1818"/>
      <c r="AB218" s="1818"/>
      <c r="AC218" s="1818"/>
      <c r="AD218" s="1818"/>
      <c r="AE218" s="1818"/>
      <c r="AF218" s="1818"/>
      <c r="AG218" s="1818"/>
    </row>
    <row r="219" spans="1:33" s="1817" customFormat="1" ht="18.75">
      <c r="A219" s="1834"/>
      <c r="B219" s="1847" t="s">
        <v>1724</v>
      </c>
      <c r="C219" s="1846">
        <v>6805</v>
      </c>
      <c r="D219" s="1815"/>
      <c r="E219" s="1842">
        <f>+IF('TRIAL-BALANCE'!C$8=C219,1,0)</f>
        <v>0</v>
      </c>
      <c r="G219" s="1842">
        <v>0</v>
      </c>
      <c r="I219" s="2217">
        <f t="shared" si="16"/>
        <v>0</v>
      </c>
      <c r="P219" s="1818"/>
      <c r="Q219" s="1818"/>
      <c r="R219" s="1818"/>
      <c r="S219" s="1818"/>
      <c r="T219" s="1818"/>
      <c r="U219" s="1818"/>
      <c r="V219" s="1818"/>
      <c r="W219" s="1818"/>
      <c r="X219" s="1818"/>
      <c r="Y219" s="1818"/>
      <c r="Z219" s="1818"/>
      <c r="AA219" s="1818"/>
      <c r="AB219" s="1818"/>
      <c r="AC219" s="1818"/>
      <c r="AD219" s="1818"/>
      <c r="AE219" s="1818"/>
      <c r="AF219" s="1818"/>
      <c r="AG219" s="1818"/>
    </row>
    <row r="220" spans="1:33" s="1817" customFormat="1" ht="19.5">
      <c r="A220" s="1834"/>
      <c r="B220" s="1853" t="s">
        <v>1725</v>
      </c>
      <c r="C220" s="1846">
        <v>6806</v>
      </c>
      <c r="D220" s="1815"/>
      <c r="E220" s="1842">
        <f>+IF('TRIAL-BALANCE'!C$8=C220,1,0)</f>
        <v>0</v>
      </c>
      <c r="G220" s="1842">
        <v>0</v>
      </c>
      <c r="I220" s="2217">
        <f t="shared" si="16"/>
        <v>0</v>
      </c>
      <c r="P220" s="1818"/>
      <c r="Q220" s="1818"/>
      <c r="R220" s="1818"/>
      <c r="S220" s="1818"/>
      <c r="T220" s="1818"/>
      <c r="U220" s="1818"/>
      <c r="V220" s="1818"/>
      <c r="W220" s="1818"/>
      <c r="X220" s="1818"/>
      <c r="Y220" s="1818"/>
      <c r="Z220" s="1818"/>
      <c r="AA220" s="1818"/>
      <c r="AB220" s="1818"/>
      <c r="AC220" s="1818"/>
      <c r="AD220" s="1818"/>
      <c r="AE220" s="1818"/>
      <c r="AF220" s="1818"/>
      <c r="AG220" s="1818"/>
    </row>
    <row r="221" spans="1:33" s="1817" customFormat="1" ht="18.75">
      <c r="A221" s="1834"/>
      <c r="B221" s="1847" t="s">
        <v>1726</v>
      </c>
      <c r="C221" s="1846">
        <v>6807</v>
      </c>
      <c r="D221" s="1815"/>
      <c r="E221" s="1842">
        <f>+IF('TRIAL-BALANCE'!C$8=C221,1,0)</f>
        <v>0</v>
      </c>
      <c r="G221" s="1842">
        <v>0</v>
      </c>
      <c r="I221" s="2217">
        <f t="shared" si="16"/>
        <v>0</v>
      </c>
      <c r="P221" s="1818"/>
      <c r="Q221" s="1818"/>
      <c r="R221" s="1818"/>
      <c r="S221" s="1818"/>
      <c r="T221" s="1818"/>
      <c r="U221" s="1818"/>
      <c r="V221" s="1818"/>
      <c r="W221" s="1818"/>
      <c r="X221" s="1818"/>
      <c r="Y221" s="1818"/>
      <c r="Z221" s="1818"/>
      <c r="AA221" s="1818"/>
      <c r="AB221" s="1818"/>
      <c r="AC221" s="1818"/>
      <c r="AD221" s="1818"/>
      <c r="AE221" s="1818"/>
      <c r="AF221" s="1818"/>
      <c r="AG221" s="1818"/>
    </row>
    <row r="222" spans="1:33" s="1817" customFormat="1" ht="19.5" thickBot="1">
      <c r="A222" s="1834"/>
      <c r="B222" s="1848" t="s">
        <v>1727</v>
      </c>
      <c r="C222" s="1849">
        <v>6808</v>
      </c>
      <c r="D222" s="1815"/>
      <c r="E222" s="1850">
        <f>+IF('TRIAL-BALANCE'!C$8=C222,1,0)</f>
        <v>0</v>
      </c>
      <c r="G222" s="1850">
        <v>0</v>
      </c>
      <c r="I222" s="2217">
        <f t="shared" si="16"/>
        <v>0</v>
      </c>
      <c r="P222" s="1818"/>
      <c r="Q222" s="1818"/>
      <c r="R222" s="1818"/>
      <c r="S222" s="1818"/>
      <c r="T222" s="1818"/>
      <c r="U222" s="1818"/>
      <c r="V222" s="1818"/>
      <c r="W222" s="1818"/>
      <c r="X222" s="1818"/>
      <c r="Y222" s="1818"/>
      <c r="Z222" s="1818"/>
      <c r="AA222" s="1818"/>
      <c r="AB222" s="1818"/>
      <c r="AC222" s="1818"/>
      <c r="AD222" s="1818"/>
      <c r="AE222" s="1818"/>
      <c r="AF222" s="1818"/>
      <c r="AG222" s="1818"/>
    </row>
    <row r="223" spans="1:33" s="1817" customFormat="1" ht="9" customHeight="1" thickBot="1">
      <c r="A223" s="1851"/>
      <c r="B223" s="1831"/>
      <c r="C223" s="1852"/>
      <c r="D223" s="1815"/>
      <c r="E223" s="1816"/>
      <c r="G223" s="1816"/>
      <c r="I223" s="1816"/>
      <c r="P223" s="1818"/>
      <c r="Q223" s="1818"/>
      <c r="R223" s="1818"/>
      <c r="S223" s="1818"/>
      <c r="T223" s="1818"/>
      <c r="U223" s="1818"/>
      <c r="V223" s="1818"/>
      <c r="W223" s="1818"/>
      <c r="X223" s="1818"/>
      <c r="Y223" s="1818"/>
      <c r="Z223" s="1818"/>
      <c r="AA223" s="1818"/>
      <c r="AB223" s="1818"/>
      <c r="AC223" s="1818"/>
      <c r="AD223" s="1818"/>
      <c r="AE223" s="1818"/>
      <c r="AF223" s="1818"/>
      <c r="AG223" s="1818"/>
    </row>
    <row r="224" spans="1:33" s="1817" customFormat="1" ht="18.75">
      <c r="A224" s="1834"/>
      <c r="B224" s="1835" t="s">
        <v>1728</v>
      </c>
      <c r="C224" s="1836" t="s">
        <v>1729</v>
      </c>
      <c r="D224" s="1815"/>
      <c r="E224" s="1816"/>
      <c r="G224" s="1816"/>
      <c r="I224" s="1816"/>
      <c r="P224" s="1818"/>
      <c r="Q224" s="1818"/>
      <c r="R224" s="1818"/>
      <c r="S224" s="1818"/>
      <c r="T224" s="1818"/>
      <c r="U224" s="1818"/>
      <c r="V224" s="1818"/>
      <c r="W224" s="1818"/>
      <c r="X224" s="1818"/>
      <c r="Y224" s="1818"/>
      <c r="Z224" s="1818"/>
      <c r="AA224" s="1818"/>
      <c r="AB224" s="1818"/>
      <c r="AC224" s="1818"/>
      <c r="AD224" s="1818"/>
      <c r="AE224" s="1818"/>
      <c r="AF224" s="1818"/>
      <c r="AG224" s="1818"/>
    </row>
    <row r="225" spans="1:33" s="1817" customFormat="1" ht="18.75">
      <c r="A225" s="1834"/>
      <c r="B225" s="1855" t="s">
        <v>1730</v>
      </c>
      <c r="C225" s="1856">
        <v>6901</v>
      </c>
      <c r="D225" s="1815"/>
      <c r="E225" s="1839">
        <f>+IF('TRIAL-BALANCE'!C$8=C225,1,0)</f>
        <v>0</v>
      </c>
      <c r="G225" s="1839">
        <v>0</v>
      </c>
      <c r="I225" s="2217">
        <f t="shared" ref="I225:I231" si="17">+E225+G225</f>
        <v>0</v>
      </c>
      <c r="P225" s="1818"/>
      <c r="Q225" s="1818"/>
      <c r="R225" s="1818"/>
      <c r="S225" s="1818"/>
      <c r="T225" s="1818"/>
      <c r="U225" s="1818"/>
      <c r="V225" s="1818"/>
      <c r="W225" s="1818"/>
      <c r="X225" s="1818"/>
      <c r="Y225" s="1818"/>
      <c r="Z225" s="1818"/>
      <c r="AA225" s="1818"/>
      <c r="AB225" s="1818"/>
      <c r="AC225" s="1818"/>
      <c r="AD225" s="1818"/>
      <c r="AE225" s="1818"/>
      <c r="AF225" s="1818"/>
      <c r="AG225" s="1818"/>
    </row>
    <row r="226" spans="1:33" s="1817" customFormat="1" ht="18.75">
      <c r="A226" s="1834"/>
      <c r="B226" s="1847" t="s">
        <v>1731</v>
      </c>
      <c r="C226" s="1846">
        <v>6902</v>
      </c>
      <c r="D226" s="1815"/>
      <c r="E226" s="1842">
        <f>+IF('TRIAL-BALANCE'!C$8=C226,1,0)</f>
        <v>0</v>
      </c>
      <c r="G226" s="1842">
        <v>0</v>
      </c>
      <c r="I226" s="2217">
        <f t="shared" si="17"/>
        <v>0</v>
      </c>
      <c r="P226" s="1818"/>
      <c r="Q226" s="1818"/>
      <c r="R226" s="1818"/>
      <c r="S226" s="1818"/>
      <c r="T226" s="1818"/>
      <c r="U226" s="1818"/>
      <c r="V226" s="1818"/>
      <c r="W226" s="1818"/>
      <c r="X226" s="1818"/>
      <c r="Y226" s="1818"/>
      <c r="Z226" s="1818"/>
      <c r="AA226" s="1818"/>
      <c r="AB226" s="1818"/>
      <c r="AC226" s="1818"/>
      <c r="AD226" s="1818"/>
      <c r="AE226" s="1818"/>
      <c r="AF226" s="1818"/>
      <c r="AG226" s="1818"/>
    </row>
    <row r="227" spans="1:33" s="1817" customFormat="1" ht="18.75">
      <c r="A227" s="1834"/>
      <c r="B227" s="1847" t="s">
        <v>1732</v>
      </c>
      <c r="C227" s="1846">
        <v>6903</v>
      </c>
      <c r="D227" s="1815"/>
      <c r="E227" s="1842">
        <f>+IF('TRIAL-BALANCE'!C$8=C227,1,0)</f>
        <v>0</v>
      </c>
      <c r="G227" s="1842">
        <v>0</v>
      </c>
      <c r="I227" s="2217">
        <f t="shared" si="17"/>
        <v>0</v>
      </c>
      <c r="P227" s="1818"/>
      <c r="Q227" s="1818"/>
      <c r="R227" s="1818"/>
      <c r="S227" s="1818"/>
      <c r="T227" s="1818"/>
      <c r="U227" s="1818"/>
      <c r="V227" s="1818"/>
      <c r="W227" s="1818"/>
      <c r="X227" s="1818"/>
      <c r="Y227" s="1818"/>
      <c r="Z227" s="1818"/>
      <c r="AA227" s="1818"/>
      <c r="AB227" s="1818"/>
      <c r="AC227" s="1818"/>
      <c r="AD227" s="1818"/>
      <c r="AE227" s="1818"/>
      <c r="AF227" s="1818"/>
      <c r="AG227" s="1818"/>
    </row>
    <row r="228" spans="1:33" s="1817" customFormat="1" ht="18.75">
      <c r="A228" s="1834"/>
      <c r="B228" s="1847" t="s">
        <v>1733</v>
      </c>
      <c r="C228" s="1846">
        <v>6904</v>
      </c>
      <c r="D228" s="1815"/>
      <c r="E228" s="1842">
        <f>+IF('TRIAL-BALANCE'!C$8=C228,1,0)</f>
        <v>0</v>
      </c>
      <c r="G228" s="1842">
        <v>0</v>
      </c>
      <c r="I228" s="2217">
        <f t="shared" si="17"/>
        <v>0</v>
      </c>
      <c r="P228" s="1818"/>
      <c r="Q228" s="1818"/>
      <c r="R228" s="1818"/>
      <c r="S228" s="1818"/>
      <c r="T228" s="1818"/>
      <c r="U228" s="1818"/>
      <c r="V228" s="1818"/>
      <c r="W228" s="1818"/>
      <c r="X228" s="1818"/>
      <c r="Y228" s="1818"/>
      <c r="Z228" s="1818"/>
      <c r="AA228" s="1818"/>
      <c r="AB228" s="1818"/>
      <c r="AC228" s="1818"/>
      <c r="AD228" s="1818"/>
      <c r="AE228" s="1818"/>
      <c r="AF228" s="1818"/>
      <c r="AG228" s="1818"/>
    </row>
    <row r="229" spans="1:33" s="1817" customFormat="1" ht="19.5">
      <c r="A229" s="1834"/>
      <c r="B229" s="1853" t="s">
        <v>1734</v>
      </c>
      <c r="C229" s="1846">
        <v>6905</v>
      </c>
      <c r="D229" s="1815"/>
      <c r="E229" s="1842">
        <f>+IF('TRIAL-BALANCE'!C$8=C229,1,0)</f>
        <v>0</v>
      </c>
      <c r="G229" s="1842">
        <v>0</v>
      </c>
      <c r="I229" s="2217">
        <f t="shared" si="17"/>
        <v>0</v>
      </c>
      <c r="P229" s="1818"/>
      <c r="Q229" s="1818"/>
      <c r="R229" s="1818"/>
      <c r="S229" s="1818"/>
      <c r="T229" s="1818"/>
      <c r="U229" s="1818"/>
      <c r="V229" s="1818"/>
      <c r="W229" s="1818"/>
      <c r="X229" s="1818"/>
      <c r="Y229" s="1818"/>
      <c r="Z229" s="1818"/>
      <c r="AA229" s="1818"/>
      <c r="AB229" s="1818"/>
      <c r="AC229" s="1818"/>
      <c r="AD229" s="1818"/>
      <c r="AE229" s="1818"/>
      <c r="AF229" s="1818"/>
      <c r="AG229" s="1818"/>
    </row>
    <row r="230" spans="1:33" s="1817" customFormat="1" ht="18.75">
      <c r="A230" s="1834"/>
      <c r="B230" s="1847" t="s">
        <v>1735</v>
      </c>
      <c r="C230" s="1846">
        <v>6906</v>
      </c>
      <c r="D230" s="1815"/>
      <c r="E230" s="1842">
        <f>+IF('TRIAL-BALANCE'!C$8=C230,1,0)</f>
        <v>0</v>
      </c>
      <c r="G230" s="1842">
        <v>0</v>
      </c>
      <c r="I230" s="2217">
        <f t="shared" si="17"/>
        <v>0</v>
      </c>
      <c r="P230" s="1818"/>
      <c r="Q230" s="1818"/>
      <c r="R230" s="1818"/>
      <c r="S230" s="1818"/>
      <c r="T230" s="1818"/>
      <c r="U230" s="1818"/>
      <c r="V230" s="1818"/>
      <c r="W230" s="1818"/>
      <c r="X230" s="1818"/>
      <c r="Y230" s="1818"/>
      <c r="Z230" s="1818"/>
      <c r="AA230" s="1818"/>
      <c r="AB230" s="1818"/>
      <c r="AC230" s="1818"/>
      <c r="AD230" s="1818"/>
      <c r="AE230" s="1818"/>
      <c r="AF230" s="1818"/>
      <c r="AG230" s="1818"/>
    </row>
    <row r="231" spans="1:33" s="1817" customFormat="1" ht="19.5" thickBot="1">
      <c r="A231" s="1834"/>
      <c r="B231" s="1848" t="s">
        <v>1736</v>
      </c>
      <c r="C231" s="1849">
        <v>6907</v>
      </c>
      <c r="D231" s="1815"/>
      <c r="E231" s="1850">
        <f>+IF('TRIAL-BALANCE'!C$8=C231,1,0)</f>
        <v>0</v>
      </c>
      <c r="G231" s="1850">
        <v>0</v>
      </c>
      <c r="I231" s="2217">
        <f t="shared" si="17"/>
        <v>0</v>
      </c>
      <c r="P231" s="1818"/>
      <c r="Q231" s="1818"/>
      <c r="R231" s="1818"/>
      <c r="S231" s="1818"/>
      <c r="T231" s="1818"/>
      <c r="U231" s="1818"/>
      <c r="V231" s="1818"/>
      <c r="W231" s="1818"/>
      <c r="X231" s="1818"/>
      <c r="Y231" s="1818"/>
      <c r="Z231" s="1818"/>
      <c r="AA231" s="1818"/>
      <c r="AB231" s="1818"/>
      <c r="AC231" s="1818"/>
      <c r="AD231" s="1818"/>
      <c r="AE231" s="1818"/>
      <c r="AF231" s="1818"/>
      <c r="AG231" s="1818"/>
    </row>
    <row r="232" spans="1:33" s="1817" customFormat="1" ht="9" customHeight="1" thickBot="1">
      <c r="A232" s="1851"/>
      <c r="B232" s="1831"/>
      <c r="C232" s="1852"/>
      <c r="D232" s="1815"/>
      <c r="E232" s="1816"/>
      <c r="G232" s="1816"/>
      <c r="I232" s="1816"/>
      <c r="P232" s="1818"/>
      <c r="Q232" s="1818"/>
      <c r="R232" s="1818"/>
      <c r="S232" s="1818"/>
      <c r="T232" s="1818"/>
      <c r="U232" s="1818"/>
      <c r="V232" s="1818"/>
      <c r="W232" s="1818"/>
      <c r="X232" s="1818"/>
      <c r="Y232" s="1818"/>
      <c r="Z232" s="1818"/>
      <c r="AA232" s="1818"/>
      <c r="AB232" s="1818"/>
      <c r="AC232" s="1818"/>
      <c r="AD232" s="1818"/>
      <c r="AE232" s="1818"/>
      <c r="AF232" s="1818"/>
      <c r="AG232" s="1818"/>
    </row>
    <row r="233" spans="1:33" s="1817" customFormat="1" ht="18.75">
      <c r="A233" s="1834"/>
      <c r="B233" s="1835" t="s">
        <v>1737</v>
      </c>
      <c r="C233" s="1836" t="s">
        <v>1738</v>
      </c>
      <c r="D233" s="1815"/>
      <c r="E233" s="1816"/>
      <c r="G233" s="1816"/>
      <c r="I233" s="1816"/>
      <c r="P233" s="1818"/>
      <c r="Q233" s="1818"/>
      <c r="R233" s="1818"/>
      <c r="S233" s="1818"/>
      <c r="T233" s="1818"/>
      <c r="U233" s="1818"/>
      <c r="V233" s="1818"/>
      <c r="W233" s="1818"/>
      <c r="X233" s="1818"/>
      <c r="Y233" s="1818"/>
      <c r="Z233" s="1818"/>
      <c r="AA233" s="1818"/>
      <c r="AB233" s="1818"/>
      <c r="AC233" s="1818"/>
      <c r="AD233" s="1818"/>
      <c r="AE233" s="1818"/>
      <c r="AF233" s="1818"/>
      <c r="AG233" s="1818"/>
    </row>
    <row r="234" spans="1:33" s="1817" customFormat="1" ht="18.75">
      <c r="A234" s="1834"/>
      <c r="B234" s="1855" t="s">
        <v>1739</v>
      </c>
      <c r="C234" s="1856">
        <v>7001</v>
      </c>
      <c r="D234" s="1815"/>
      <c r="E234" s="1839">
        <f>+IF('TRIAL-BALANCE'!C$8=C234,1,0)</f>
        <v>0</v>
      </c>
      <c r="G234" s="1839">
        <v>0</v>
      </c>
      <c r="I234" s="2217">
        <f>+E234+G234</f>
        <v>0</v>
      </c>
      <c r="P234" s="1818"/>
      <c r="Q234" s="1818"/>
      <c r="R234" s="1818"/>
      <c r="S234" s="1818"/>
      <c r="T234" s="1818"/>
      <c r="U234" s="1818"/>
      <c r="V234" s="1818"/>
      <c r="W234" s="1818"/>
      <c r="X234" s="1818"/>
      <c r="Y234" s="1818"/>
      <c r="Z234" s="1818"/>
      <c r="AA234" s="1818"/>
      <c r="AB234" s="1818"/>
      <c r="AC234" s="1818"/>
      <c r="AD234" s="1818"/>
      <c r="AE234" s="1818"/>
      <c r="AF234" s="1818"/>
      <c r="AG234" s="1818"/>
    </row>
    <row r="235" spans="1:33" s="1817" customFormat="1" ht="18.75">
      <c r="A235" s="1834"/>
      <c r="B235" s="1847" t="s">
        <v>1740</v>
      </c>
      <c r="C235" s="1846">
        <v>7002</v>
      </c>
      <c r="D235" s="1815"/>
      <c r="E235" s="1842">
        <f>+IF('TRIAL-BALANCE'!C$8=C235,1,0)</f>
        <v>0</v>
      </c>
      <c r="G235" s="1842">
        <v>0</v>
      </c>
      <c r="I235" s="2217">
        <f>+E235+G235</f>
        <v>0</v>
      </c>
      <c r="P235" s="1818"/>
      <c r="Q235" s="1818"/>
      <c r="R235" s="1818"/>
      <c r="S235" s="1818"/>
      <c r="T235" s="1818"/>
      <c r="U235" s="1818"/>
      <c r="V235" s="1818"/>
      <c r="W235" s="1818"/>
      <c r="X235" s="1818"/>
      <c r="Y235" s="1818"/>
      <c r="Z235" s="1818"/>
      <c r="AA235" s="1818"/>
      <c r="AB235" s="1818"/>
      <c r="AC235" s="1818"/>
      <c r="AD235" s="1818"/>
      <c r="AE235" s="1818"/>
      <c r="AF235" s="1818"/>
      <c r="AG235" s="1818"/>
    </row>
    <row r="236" spans="1:33" s="1817" customFormat="1" ht="19.5">
      <c r="A236" s="1834"/>
      <c r="B236" s="1853" t="s">
        <v>1741</v>
      </c>
      <c r="C236" s="1846">
        <v>7003</v>
      </c>
      <c r="D236" s="1815"/>
      <c r="E236" s="1842">
        <f>+IF('TRIAL-BALANCE'!C$8=C236,1,0)</f>
        <v>0</v>
      </c>
      <c r="G236" s="1842">
        <v>0</v>
      </c>
      <c r="I236" s="2217">
        <f>+E236+G236</f>
        <v>0</v>
      </c>
      <c r="P236" s="1818"/>
      <c r="Q236" s="1818"/>
      <c r="R236" s="1818"/>
      <c r="S236" s="1818"/>
      <c r="T236" s="1818"/>
      <c r="U236" s="1818"/>
      <c r="V236" s="1818"/>
      <c r="W236" s="1818"/>
      <c r="X236" s="1818"/>
      <c r="Y236" s="1818"/>
      <c r="Z236" s="1818"/>
      <c r="AA236" s="1818"/>
      <c r="AB236" s="1818"/>
      <c r="AC236" s="1818"/>
      <c r="AD236" s="1818"/>
      <c r="AE236" s="1818"/>
      <c r="AF236" s="1818"/>
      <c r="AG236" s="1818"/>
    </row>
    <row r="237" spans="1:33" s="1817" customFormat="1" ht="19.5" thickBot="1">
      <c r="A237" s="1834"/>
      <c r="B237" s="1848" t="s">
        <v>1742</v>
      </c>
      <c r="C237" s="1849">
        <v>7004</v>
      </c>
      <c r="D237" s="1815"/>
      <c r="E237" s="1850">
        <f>+IF('TRIAL-BALANCE'!C$8=C237,1,0)</f>
        <v>0</v>
      </c>
      <c r="G237" s="1850">
        <v>0</v>
      </c>
      <c r="I237" s="2217">
        <f>+E237+G237</f>
        <v>0</v>
      </c>
      <c r="P237" s="1818"/>
      <c r="Q237" s="1818"/>
      <c r="R237" s="1818"/>
      <c r="S237" s="1818"/>
      <c r="T237" s="1818"/>
      <c r="U237" s="1818"/>
      <c r="V237" s="1818"/>
      <c r="W237" s="1818"/>
      <c r="X237" s="1818"/>
      <c r="Y237" s="1818"/>
      <c r="Z237" s="1818"/>
      <c r="AA237" s="1818"/>
      <c r="AB237" s="1818"/>
      <c r="AC237" s="1818"/>
      <c r="AD237" s="1818"/>
      <c r="AE237" s="1818"/>
      <c r="AF237" s="1818"/>
      <c r="AG237" s="1818"/>
    </row>
    <row r="238" spans="1:33" s="1817" customFormat="1" ht="9" customHeight="1" thickBot="1">
      <c r="A238" s="1851"/>
      <c r="B238" s="1831"/>
      <c r="C238" s="1852"/>
      <c r="D238" s="1815"/>
      <c r="E238" s="1816"/>
      <c r="G238" s="1816"/>
      <c r="I238" s="1816"/>
      <c r="P238" s="1818"/>
      <c r="Q238" s="1818"/>
      <c r="R238" s="1818"/>
      <c r="S238" s="1818"/>
      <c r="T238" s="1818"/>
      <c r="U238" s="1818"/>
      <c r="V238" s="1818"/>
      <c r="W238" s="1818"/>
      <c r="X238" s="1818"/>
      <c r="Y238" s="1818"/>
      <c r="Z238" s="1818"/>
      <c r="AA238" s="1818"/>
      <c r="AB238" s="1818"/>
      <c r="AC238" s="1818"/>
      <c r="AD238" s="1818"/>
      <c r="AE238" s="1818"/>
      <c r="AF238" s="1818"/>
      <c r="AG238" s="1818"/>
    </row>
    <row r="239" spans="1:33" s="1817" customFormat="1" ht="18.75">
      <c r="A239" s="1834"/>
      <c r="B239" s="1835" t="s">
        <v>1743</v>
      </c>
      <c r="C239" s="1836" t="s">
        <v>1744</v>
      </c>
      <c r="D239" s="1815"/>
      <c r="E239" s="1816"/>
      <c r="G239" s="1816"/>
      <c r="I239" s="1816"/>
      <c r="P239" s="1818"/>
      <c r="Q239" s="1818"/>
      <c r="R239" s="1818"/>
      <c r="S239" s="1818"/>
      <c r="T239" s="1818"/>
      <c r="U239" s="1818"/>
      <c r="V239" s="1818"/>
      <c r="W239" s="1818"/>
      <c r="X239" s="1818"/>
      <c r="Y239" s="1818"/>
      <c r="Z239" s="1818"/>
      <c r="AA239" s="1818"/>
      <c r="AB239" s="1818"/>
      <c r="AC239" s="1818"/>
      <c r="AD239" s="1818"/>
      <c r="AE239" s="1818"/>
      <c r="AF239" s="1818"/>
      <c r="AG239" s="1818"/>
    </row>
    <row r="240" spans="1:33" s="1817" customFormat="1" ht="18.75">
      <c r="A240" s="1834"/>
      <c r="B240" s="1855" t="s">
        <v>1745</v>
      </c>
      <c r="C240" s="1856">
        <v>7101</v>
      </c>
      <c r="D240" s="1815"/>
      <c r="E240" s="1839">
        <f>+IF('TRIAL-BALANCE'!C$8=C240,1,0)</f>
        <v>0</v>
      </c>
      <c r="G240" s="1839">
        <v>0</v>
      </c>
      <c r="I240" s="2217">
        <f t="shared" ref="I240:I249" si="18">+E240+G240</f>
        <v>0</v>
      </c>
      <c r="P240" s="1818"/>
      <c r="Q240" s="1818"/>
      <c r="R240" s="1818"/>
      <c r="S240" s="1818"/>
      <c r="T240" s="1818"/>
      <c r="U240" s="1818"/>
      <c r="V240" s="1818"/>
      <c r="W240" s="1818"/>
      <c r="X240" s="1818"/>
      <c r="Y240" s="1818"/>
      <c r="Z240" s="1818"/>
      <c r="AA240" s="1818"/>
      <c r="AB240" s="1818"/>
      <c r="AC240" s="1818"/>
      <c r="AD240" s="1818"/>
      <c r="AE240" s="1818"/>
      <c r="AF240" s="1818"/>
      <c r="AG240" s="1818"/>
    </row>
    <row r="241" spans="1:33" s="1817" customFormat="1" ht="18.75">
      <c r="A241" s="1834"/>
      <c r="B241" s="1847" t="s">
        <v>1746</v>
      </c>
      <c r="C241" s="1846">
        <v>7102</v>
      </c>
      <c r="D241" s="1815"/>
      <c r="E241" s="1842">
        <f>+IF('TRIAL-BALANCE'!C$8=C241,1,0)</f>
        <v>0</v>
      </c>
      <c r="G241" s="1842">
        <v>0</v>
      </c>
      <c r="I241" s="2217">
        <f t="shared" si="18"/>
        <v>0</v>
      </c>
      <c r="P241" s="1818"/>
      <c r="Q241" s="1818"/>
      <c r="R241" s="1818"/>
      <c r="S241" s="1818"/>
      <c r="T241" s="1818"/>
      <c r="U241" s="1818"/>
      <c r="V241" s="1818"/>
      <c r="W241" s="1818"/>
      <c r="X241" s="1818"/>
      <c r="Y241" s="1818"/>
      <c r="Z241" s="1818"/>
      <c r="AA241" s="1818"/>
      <c r="AB241" s="1818"/>
      <c r="AC241" s="1818"/>
      <c r="AD241" s="1818"/>
      <c r="AE241" s="1818"/>
      <c r="AF241" s="1818"/>
      <c r="AG241" s="1818"/>
    </row>
    <row r="242" spans="1:33" s="1817" customFormat="1" ht="18.75">
      <c r="A242" s="1834"/>
      <c r="B242" s="1847" t="s">
        <v>1747</v>
      </c>
      <c r="C242" s="1846">
        <v>7103</v>
      </c>
      <c r="D242" s="1815"/>
      <c r="E242" s="1842">
        <f>+IF('TRIAL-BALANCE'!C$8=C242,1,0)</f>
        <v>0</v>
      </c>
      <c r="G242" s="1842">
        <v>0</v>
      </c>
      <c r="I242" s="2217">
        <f t="shared" si="18"/>
        <v>0</v>
      </c>
      <c r="P242" s="1818"/>
      <c r="Q242" s="1818"/>
      <c r="R242" s="1818"/>
      <c r="S242" s="1818"/>
      <c r="T242" s="1818"/>
      <c r="U242" s="1818"/>
      <c r="V242" s="1818"/>
      <c r="W242" s="1818"/>
      <c r="X242" s="1818"/>
      <c r="Y242" s="1818"/>
      <c r="Z242" s="1818"/>
      <c r="AA242" s="1818"/>
      <c r="AB242" s="1818"/>
      <c r="AC242" s="1818"/>
      <c r="AD242" s="1818"/>
      <c r="AE242" s="1818"/>
      <c r="AF242" s="1818"/>
      <c r="AG242" s="1818"/>
    </row>
    <row r="243" spans="1:33" s="1817" customFormat="1" ht="18.75">
      <c r="A243" s="1834"/>
      <c r="B243" s="1847" t="s">
        <v>1748</v>
      </c>
      <c r="C243" s="1846">
        <v>7104</v>
      </c>
      <c r="D243" s="1815"/>
      <c r="E243" s="1842">
        <f>+IF('TRIAL-BALANCE'!C$8=C243,1,0)</f>
        <v>0</v>
      </c>
      <c r="G243" s="1842">
        <v>0</v>
      </c>
      <c r="I243" s="2217">
        <f t="shared" si="18"/>
        <v>0</v>
      </c>
      <c r="P243" s="1818"/>
      <c r="Q243" s="1818"/>
      <c r="R243" s="1818"/>
      <c r="S243" s="1818"/>
      <c r="T243" s="1818"/>
      <c r="U243" s="1818"/>
      <c r="V243" s="1818"/>
      <c r="W243" s="1818"/>
      <c r="X243" s="1818"/>
      <c r="Y243" s="1818"/>
      <c r="Z243" s="1818"/>
      <c r="AA243" s="1818"/>
      <c r="AB243" s="1818"/>
      <c r="AC243" s="1818"/>
      <c r="AD243" s="1818"/>
      <c r="AE243" s="1818"/>
      <c r="AF243" s="1818"/>
      <c r="AG243" s="1818"/>
    </row>
    <row r="244" spans="1:33" s="1817" customFormat="1" ht="18.75">
      <c r="A244" s="1834"/>
      <c r="B244" s="1847" t="s">
        <v>1749</v>
      </c>
      <c r="C244" s="1846">
        <v>7105</v>
      </c>
      <c r="D244" s="1815"/>
      <c r="E244" s="1842">
        <f>+IF('TRIAL-BALANCE'!C$8=C244,1,0)</f>
        <v>0</v>
      </c>
      <c r="G244" s="1842">
        <v>0</v>
      </c>
      <c r="I244" s="2217">
        <f t="shared" si="18"/>
        <v>0</v>
      </c>
      <c r="P244" s="1818"/>
      <c r="Q244" s="1818"/>
      <c r="R244" s="1818"/>
      <c r="S244" s="1818"/>
      <c r="T244" s="1818"/>
      <c r="U244" s="1818"/>
      <c r="V244" s="1818"/>
      <c r="W244" s="1818"/>
      <c r="X244" s="1818"/>
      <c r="Y244" s="1818"/>
      <c r="Z244" s="1818"/>
      <c r="AA244" s="1818"/>
      <c r="AB244" s="1818"/>
      <c r="AC244" s="1818"/>
      <c r="AD244" s="1818"/>
      <c r="AE244" s="1818"/>
      <c r="AF244" s="1818"/>
      <c r="AG244" s="1818"/>
    </row>
    <row r="245" spans="1:33" s="1817" customFormat="1" ht="18.75">
      <c r="A245" s="1834"/>
      <c r="B245" s="1847" t="s">
        <v>1750</v>
      </c>
      <c r="C245" s="1846">
        <v>7106</v>
      </c>
      <c r="D245" s="1815"/>
      <c r="E245" s="1842">
        <f>+IF('TRIAL-BALANCE'!C$8=C245,1,0)</f>
        <v>0</v>
      </c>
      <c r="G245" s="1842">
        <v>0</v>
      </c>
      <c r="I245" s="2217">
        <f t="shared" si="18"/>
        <v>0</v>
      </c>
      <c r="P245" s="1818"/>
      <c r="Q245" s="1818"/>
      <c r="R245" s="1818"/>
      <c r="S245" s="1818"/>
      <c r="T245" s="1818"/>
      <c r="U245" s="1818"/>
      <c r="V245" s="1818"/>
      <c r="W245" s="1818"/>
      <c r="X245" s="1818"/>
      <c r="Y245" s="1818"/>
      <c r="Z245" s="1818"/>
      <c r="AA245" s="1818"/>
      <c r="AB245" s="1818"/>
      <c r="AC245" s="1818"/>
      <c r="AD245" s="1818"/>
      <c r="AE245" s="1818"/>
      <c r="AF245" s="1818"/>
      <c r="AG245" s="1818"/>
    </row>
    <row r="246" spans="1:33" s="1817" customFormat="1" ht="18.75">
      <c r="A246" s="1834"/>
      <c r="B246" s="1847" t="s">
        <v>1751</v>
      </c>
      <c r="C246" s="1846">
        <v>7107</v>
      </c>
      <c r="D246" s="1815"/>
      <c r="E246" s="1842">
        <f>+IF('TRIAL-BALANCE'!C$8=C246,1,0)</f>
        <v>0</v>
      </c>
      <c r="G246" s="1842">
        <v>0</v>
      </c>
      <c r="I246" s="2217">
        <f t="shared" si="18"/>
        <v>0</v>
      </c>
      <c r="P246" s="1818"/>
      <c r="Q246" s="1818"/>
      <c r="R246" s="1818"/>
      <c r="S246" s="1818"/>
      <c r="T246" s="1818"/>
      <c r="U246" s="1818"/>
      <c r="V246" s="1818"/>
      <c r="W246" s="1818"/>
      <c r="X246" s="1818"/>
      <c r="Y246" s="1818"/>
      <c r="Z246" s="1818"/>
      <c r="AA246" s="1818"/>
      <c r="AB246" s="1818"/>
      <c r="AC246" s="1818"/>
      <c r="AD246" s="1818"/>
      <c r="AE246" s="1818"/>
      <c r="AF246" s="1818"/>
      <c r="AG246" s="1818"/>
    </row>
    <row r="247" spans="1:33" s="1817" customFormat="1" ht="18.75">
      <c r="A247" s="1834"/>
      <c r="B247" s="1847" t="s">
        <v>1752</v>
      </c>
      <c r="C247" s="1846">
        <v>7108</v>
      </c>
      <c r="D247" s="1815"/>
      <c r="E247" s="1842">
        <f>+IF('TRIAL-BALANCE'!C$8=C247,1,0)</f>
        <v>0</v>
      </c>
      <c r="G247" s="1842">
        <v>0</v>
      </c>
      <c r="I247" s="2217">
        <f t="shared" si="18"/>
        <v>0</v>
      </c>
      <c r="P247" s="1818"/>
      <c r="Q247" s="1818"/>
      <c r="R247" s="1818"/>
      <c r="S247" s="1818"/>
      <c r="T247" s="1818"/>
      <c r="U247" s="1818"/>
      <c r="V247" s="1818"/>
      <c r="W247" s="1818"/>
      <c r="X247" s="1818"/>
      <c r="Y247" s="1818"/>
      <c r="Z247" s="1818"/>
      <c r="AA247" s="1818"/>
      <c r="AB247" s="1818"/>
      <c r="AC247" s="1818"/>
      <c r="AD247" s="1818"/>
      <c r="AE247" s="1818"/>
      <c r="AF247" s="1818"/>
      <c r="AG247" s="1818"/>
    </row>
    <row r="248" spans="1:33" s="1817" customFormat="1" ht="19.5">
      <c r="A248" s="1834"/>
      <c r="B248" s="1853" t="s">
        <v>1753</v>
      </c>
      <c r="C248" s="1846">
        <v>7109</v>
      </c>
      <c r="D248" s="1815"/>
      <c r="E248" s="1842">
        <f>+IF('TRIAL-BALANCE'!C$8=C248,1,0)</f>
        <v>0</v>
      </c>
      <c r="G248" s="1842">
        <v>0</v>
      </c>
      <c r="I248" s="2217">
        <f t="shared" si="18"/>
        <v>0</v>
      </c>
      <c r="P248" s="1818"/>
      <c r="Q248" s="1818"/>
      <c r="R248" s="1818"/>
      <c r="S248" s="1818"/>
      <c r="T248" s="1818"/>
      <c r="U248" s="1818"/>
      <c r="V248" s="1818"/>
      <c r="W248" s="1818"/>
      <c r="X248" s="1818"/>
      <c r="Y248" s="1818"/>
      <c r="Z248" s="1818"/>
      <c r="AA248" s="1818"/>
      <c r="AB248" s="1818"/>
      <c r="AC248" s="1818"/>
      <c r="AD248" s="1818"/>
      <c r="AE248" s="1818"/>
      <c r="AF248" s="1818"/>
      <c r="AG248" s="1818"/>
    </row>
    <row r="249" spans="1:33" s="1817" customFormat="1" ht="19.5" thickBot="1">
      <c r="A249" s="1834"/>
      <c r="B249" s="1848" t="s">
        <v>1754</v>
      </c>
      <c r="C249" s="1849">
        <v>7110</v>
      </c>
      <c r="D249" s="1815"/>
      <c r="E249" s="1850">
        <f>+IF('TRIAL-BALANCE'!C$8=C249,1,0)</f>
        <v>0</v>
      </c>
      <c r="G249" s="1850">
        <v>0</v>
      </c>
      <c r="I249" s="2217">
        <f t="shared" si="18"/>
        <v>0</v>
      </c>
      <c r="P249" s="1818"/>
      <c r="Q249" s="1818"/>
      <c r="R249" s="1818"/>
      <c r="S249" s="1818"/>
      <c r="T249" s="1818"/>
      <c r="U249" s="1818"/>
      <c r="V249" s="1818"/>
      <c r="W249" s="1818"/>
      <c r="X249" s="1818"/>
      <c r="Y249" s="1818"/>
      <c r="Z249" s="1818"/>
      <c r="AA249" s="1818"/>
      <c r="AB249" s="1818"/>
      <c r="AC249" s="1818"/>
      <c r="AD249" s="1818"/>
      <c r="AE249" s="1818"/>
      <c r="AF249" s="1818"/>
      <c r="AG249" s="1818"/>
    </row>
    <row r="250" spans="1:33" s="1817" customFormat="1" ht="9" customHeight="1" thickBot="1">
      <c r="A250" s="1851"/>
      <c r="B250" s="1831"/>
      <c r="C250" s="1852"/>
      <c r="D250" s="1815"/>
      <c r="E250" s="1816"/>
      <c r="G250" s="1816"/>
      <c r="I250" s="1816"/>
      <c r="P250" s="1818"/>
      <c r="Q250" s="1818"/>
      <c r="R250" s="1818"/>
      <c r="S250" s="1818"/>
      <c r="T250" s="1818"/>
      <c r="U250" s="1818"/>
      <c r="V250" s="1818"/>
      <c r="W250" s="1818"/>
      <c r="X250" s="1818"/>
      <c r="Y250" s="1818"/>
      <c r="Z250" s="1818"/>
      <c r="AA250" s="1818"/>
      <c r="AB250" s="1818"/>
      <c r="AC250" s="1818"/>
      <c r="AD250" s="1818"/>
      <c r="AE250" s="1818"/>
      <c r="AF250" s="1818"/>
      <c r="AG250" s="1818"/>
    </row>
    <row r="251" spans="1:33" s="1817" customFormat="1" ht="18.75">
      <c r="A251" s="1834"/>
      <c r="B251" s="1835" t="s">
        <v>1755</v>
      </c>
      <c r="C251" s="1836" t="s">
        <v>1756</v>
      </c>
      <c r="D251" s="1815"/>
      <c r="E251" s="1816"/>
      <c r="G251" s="1816"/>
      <c r="I251" s="1816"/>
      <c r="P251" s="1818"/>
      <c r="Q251" s="1818"/>
      <c r="R251" s="1818"/>
      <c r="S251" s="1818"/>
      <c r="T251" s="1818"/>
      <c r="U251" s="1818"/>
      <c r="V251" s="1818"/>
      <c r="W251" s="1818"/>
      <c r="X251" s="1818"/>
      <c r="Y251" s="1818"/>
      <c r="Z251" s="1818"/>
      <c r="AA251" s="1818"/>
      <c r="AB251" s="1818"/>
      <c r="AC251" s="1818"/>
      <c r="AD251" s="1818"/>
      <c r="AE251" s="1818"/>
      <c r="AF251" s="1818"/>
      <c r="AG251" s="1818"/>
    </row>
    <row r="252" spans="1:33" s="1817" customFormat="1" ht="18.75">
      <c r="A252" s="1834"/>
      <c r="B252" s="1855" t="s">
        <v>1757</v>
      </c>
      <c r="C252" s="1856">
        <v>7201</v>
      </c>
      <c r="D252" s="1815"/>
      <c r="E252" s="1816"/>
      <c r="G252" s="1816"/>
      <c r="I252" s="1816"/>
      <c r="P252" s="1818"/>
      <c r="Q252" s="1818"/>
      <c r="R252" s="1818"/>
      <c r="S252" s="1818"/>
      <c r="T252" s="1818"/>
      <c r="U252" s="1818"/>
      <c r="V252" s="1818"/>
      <c r="W252" s="1818"/>
      <c r="X252" s="1818"/>
      <c r="Y252" s="1818"/>
      <c r="Z252" s="1818"/>
      <c r="AA252" s="1818"/>
      <c r="AB252" s="1818"/>
      <c r="AC252" s="1818"/>
      <c r="AD252" s="1818"/>
      <c r="AE252" s="1818"/>
      <c r="AF252" s="1818"/>
      <c r="AG252" s="1818"/>
    </row>
    <row r="253" spans="1:33" s="1817" customFormat="1" ht="18.75">
      <c r="A253" s="1834"/>
      <c r="B253" s="1847" t="s">
        <v>1758</v>
      </c>
      <c r="C253" s="1846">
        <v>7202</v>
      </c>
      <c r="D253" s="1815"/>
      <c r="E253" s="1816"/>
      <c r="G253" s="1816"/>
      <c r="I253" s="1816"/>
      <c r="P253" s="1818"/>
      <c r="Q253" s="1818"/>
      <c r="R253" s="1818"/>
      <c r="S253" s="1818"/>
      <c r="T253" s="1818"/>
      <c r="U253" s="1818"/>
      <c r="V253" s="1818"/>
      <c r="W253" s="1818"/>
      <c r="X253" s="1818"/>
      <c r="Y253" s="1818"/>
      <c r="Z253" s="1818"/>
      <c r="AA253" s="1818"/>
      <c r="AB253" s="1818"/>
      <c r="AC253" s="1818"/>
      <c r="AD253" s="1818"/>
      <c r="AE253" s="1818"/>
      <c r="AF253" s="1818"/>
      <c r="AG253" s="1818"/>
    </row>
    <row r="254" spans="1:33" s="1817" customFormat="1" ht="18.75">
      <c r="A254" s="1834"/>
      <c r="B254" s="1847" t="s">
        <v>1759</v>
      </c>
      <c r="C254" s="1846">
        <v>7203</v>
      </c>
      <c r="D254" s="1815"/>
      <c r="E254" s="1816"/>
      <c r="G254" s="1816"/>
      <c r="I254" s="1816"/>
      <c r="P254" s="1818"/>
      <c r="Q254" s="1818"/>
      <c r="R254" s="1818"/>
      <c r="S254" s="1818"/>
      <c r="T254" s="1818"/>
      <c r="U254" s="1818"/>
      <c r="V254" s="1818"/>
      <c r="W254" s="1818"/>
      <c r="X254" s="1818"/>
      <c r="Y254" s="1818"/>
      <c r="Z254" s="1818"/>
      <c r="AA254" s="1818"/>
      <c r="AB254" s="1818"/>
      <c r="AC254" s="1818"/>
      <c r="AD254" s="1818"/>
      <c r="AE254" s="1818"/>
      <c r="AF254" s="1818"/>
      <c r="AG254" s="1818"/>
    </row>
    <row r="255" spans="1:33" s="1817" customFormat="1" ht="18.75">
      <c r="A255" s="1834"/>
      <c r="B255" s="1847" t="s">
        <v>1760</v>
      </c>
      <c r="C255" s="1846">
        <v>7204</v>
      </c>
      <c r="D255" s="1815"/>
      <c r="E255" s="1816"/>
      <c r="G255" s="1816"/>
      <c r="I255" s="1816"/>
      <c r="P255" s="1818"/>
      <c r="Q255" s="1818"/>
      <c r="R255" s="1818"/>
      <c r="S255" s="1818"/>
      <c r="T255" s="1818"/>
      <c r="U255" s="1818"/>
      <c r="V255" s="1818"/>
      <c r="W255" s="1818"/>
      <c r="X255" s="1818"/>
      <c r="Y255" s="1818"/>
      <c r="Z255" s="1818"/>
      <c r="AA255" s="1818"/>
      <c r="AB255" s="1818"/>
      <c r="AC255" s="1818"/>
      <c r="AD255" s="1818"/>
      <c r="AE255" s="1818"/>
      <c r="AF255" s="1818"/>
      <c r="AG255" s="1818"/>
    </row>
    <row r="256" spans="1:33" s="1817" customFormat="1" ht="18.75">
      <c r="A256" s="1834"/>
      <c r="B256" s="1847" t="s">
        <v>1761</v>
      </c>
      <c r="C256" s="1846">
        <v>7205</v>
      </c>
      <c r="D256" s="1815"/>
      <c r="E256" s="1816"/>
      <c r="G256" s="1816"/>
      <c r="I256" s="1816"/>
      <c r="P256" s="1818"/>
      <c r="Q256" s="1818"/>
      <c r="R256" s="1818"/>
      <c r="S256" s="1818"/>
      <c r="T256" s="1818"/>
      <c r="U256" s="1818"/>
      <c r="V256" s="1818"/>
      <c r="W256" s="1818"/>
      <c r="X256" s="1818"/>
      <c r="Y256" s="1818"/>
      <c r="Z256" s="1818"/>
      <c r="AA256" s="1818"/>
      <c r="AB256" s="1818"/>
      <c r="AC256" s="1818"/>
      <c r="AD256" s="1818"/>
      <c r="AE256" s="1818"/>
      <c r="AF256" s="1818"/>
      <c r="AG256" s="1818"/>
    </row>
    <row r="257" spans="1:33" s="1817" customFormat="1" ht="18.75">
      <c r="A257" s="1834"/>
      <c r="B257" s="1847" t="s">
        <v>1762</v>
      </c>
      <c r="C257" s="1846">
        <v>7206</v>
      </c>
      <c r="D257" s="1815"/>
      <c r="E257" s="1816"/>
      <c r="G257" s="1816"/>
      <c r="I257" s="1816"/>
      <c r="P257" s="1818"/>
      <c r="Q257" s="1818"/>
      <c r="R257" s="1818"/>
      <c r="S257" s="1818"/>
      <c r="T257" s="1818"/>
      <c r="U257" s="1818"/>
      <c r="V257" s="1818"/>
      <c r="W257" s="1818"/>
      <c r="X257" s="1818"/>
      <c r="Y257" s="1818"/>
      <c r="Z257" s="1818"/>
      <c r="AA257" s="1818"/>
      <c r="AB257" s="1818"/>
      <c r="AC257" s="1818"/>
      <c r="AD257" s="1818"/>
      <c r="AE257" s="1818"/>
      <c r="AF257" s="1818"/>
      <c r="AG257" s="1818"/>
    </row>
    <row r="258" spans="1:33" s="1817" customFormat="1" ht="18.75">
      <c r="A258" s="1834"/>
      <c r="B258" s="1847" t="s">
        <v>1763</v>
      </c>
      <c r="C258" s="1846">
        <v>7207</v>
      </c>
      <c r="D258" s="1815"/>
      <c r="E258" s="1816"/>
      <c r="G258" s="1816"/>
      <c r="I258" s="1816"/>
      <c r="P258" s="1818"/>
      <c r="Q258" s="1818"/>
      <c r="R258" s="1818"/>
      <c r="S258" s="1818"/>
      <c r="T258" s="1818"/>
      <c r="U258" s="1818"/>
      <c r="V258" s="1818"/>
      <c r="W258" s="1818"/>
      <c r="X258" s="1818"/>
      <c r="Y258" s="1818"/>
      <c r="Z258" s="1818"/>
      <c r="AA258" s="1818"/>
      <c r="AB258" s="1818"/>
      <c r="AC258" s="1818"/>
      <c r="AD258" s="1818"/>
      <c r="AE258" s="1818"/>
      <c r="AF258" s="1818"/>
      <c r="AG258" s="1818"/>
    </row>
    <row r="259" spans="1:33" s="1817" customFormat="1" ht="18.75">
      <c r="A259" s="1834"/>
      <c r="B259" s="1847" t="s">
        <v>1764</v>
      </c>
      <c r="C259" s="1846">
        <v>7208</v>
      </c>
      <c r="D259" s="1815"/>
      <c r="E259" s="1816"/>
      <c r="G259" s="1816"/>
      <c r="I259" s="1816"/>
      <c r="P259" s="1818"/>
      <c r="Q259" s="1818"/>
      <c r="R259" s="1818"/>
      <c r="S259" s="1818"/>
      <c r="T259" s="1818"/>
      <c r="U259" s="1818"/>
      <c r="V259" s="1818"/>
      <c r="W259" s="1818"/>
      <c r="X259" s="1818"/>
      <c r="Y259" s="1818"/>
      <c r="Z259" s="1818"/>
      <c r="AA259" s="1818"/>
      <c r="AB259" s="1818"/>
      <c r="AC259" s="1818"/>
      <c r="AD259" s="1818"/>
      <c r="AE259" s="1818"/>
      <c r="AF259" s="1818"/>
      <c r="AG259" s="1818"/>
    </row>
    <row r="260" spans="1:33" s="1817" customFormat="1" ht="18.75">
      <c r="A260" s="1834"/>
      <c r="B260" s="1847" t="s">
        <v>1765</v>
      </c>
      <c r="C260" s="1846">
        <v>7209</v>
      </c>
      <c r="D260" s="1815"/>
      <c r="E260" s="1816"/>
      <c r="G260" s="1816"/>
      <c r="I260" s="1816"/>
      <c r="P260" s="1818"/>
      <c r="Q260" s="1818"/>
      <c r="R260" s="1818"/>
      <c r="S260" s="1818"/>
      <c r="T260" s="1818"/>
      <c r="U260" s="1818"/>
      <c r="V260" s="1818"/>
      <c r="W260" s="1818"/>
      <c r="X260" s="1818"/>
      <c r="Y260" s="1818"/>
      <c r="Z260" s="1818"/>
      <c r="AA260" s="1818"/>
      <c r="AB260" s="1818"/>
      <c r="AC260" s="1818"/>
      <c r="AD260" s="1818"/>
      <c r="AE260" s="1818"/>
      <c r="AF260" s="1818"/>
      <c r="AG260" s="1818"/>
    </row>
    <row r="261" spans="1:33" s="1817" customFormat="1" ht="18.75">
      <c r="A261" s="1834"/>
      <c r="B261" s="1847" t="s">
        <v>1766</v>
      </c>
      <c r="C261" s="1846">
        <v>7210</v>
      </c>
      <c r="D261" s="1815"/>
      <c r="E261" s="1816"/>
      <c r="G261" s="1816"/>
      <c r="I261" s="1816"/>
      <c r="P261" s="1818"/>
      <c r="Q261" s="1818"/>
      <c r="R261" s="1818"/>
      <c r="S261" s="1818"/>
      <c r="T261" s="1818"/>
      <c r="U261" s="1818"/>
      <c r="V261" s="1818"/>
      <c r="W261" s="1818"/>
      <c r="X261" s="1818"/>
      <c r="Y261" s="1818"/>
      <c r="Z261" s="1818"/>
      <c r="AA261" s="1818"/>
      <c r="AB261" s="1818"/>
      <c r="AC261" s="1818"/>
      <c r="AD261" s="1818"/>
      <c r="AE261" s="1818"/>
      <c r="AF261" s="1818"/>
      <c r="AG261" s="1818"/>
    </row>
    <row r="262" spans="1:33" s="1817" customFormat="1" ht="18.75">
      <c r="A262" s="1834"/>
      <c r="B262" s="1847" t="s">
        <v>1767</v>
      </c>
      <c r="C262" s="1846">
        <v>7211</v>
      </c>
      <c r="D262" s="1815"/>
      <c r="E262" s="1816"/>
      <c r="G262" s="1816"/>
      <c r="I262" s="1816"/>
      <c r="P262" s="1818"/>
      <c r="Q262" s="1818"/>
      <c r="R262" s="1818"/>
      <c r="S262" s="1818"/>
      <c r="T262" s="1818"/>
      <c r="U262" s="1818"/>
      <c r="V262" s="1818"/>
      <c r="W262" s="1818"/>
      <c r="X262" s="1818"/>
      <c r="Y262" s="1818"/>
      <c r="Z262" s="1818"/>
      <c r="AA262" s="1818"/>
      <c r="AB262" s="1818"/>
      <c r="AC262" s="1818"/>
      <c r="AD262" s="1818"/>
      <c r="AE262" s="1818"/>
      <c r="AF262" s="1818"/>
      <c r="AG262" s="1818"/>
    </row>
    <row r="263" spans="1:33" s="1817" customFormat="1" ht="18.75">
      <c r="A263" s="1834"/>
      <c r="B263" s="1847" t="s">
        <v>1768</v>
      </c>
      <c r="C263" s="1846">
        <v>7212</v>
      </c>
      <c r="D263" s="1815"/>
      <c r="E263" s="1816"/>
      <c r="G263" s="1816"/>
      <c r="I263" s="1816"/>
      <c r="P263" s="1818"/>
      <c r="Q263" s="1818"/>
      <c r="R263" s="1818"/>
      <c r="S263" s="1818"/>
      <c r="T263" s="1818"/>
      <c r="U263" s="1818"/>
      <c r="V263" s="1818"/>
      <c r="W263" s="1818"/>
      <c r="X263" s="1818"/>
      <c r="Y263" s="1818"/>
      <c r="Z263" s="1818"/>
      <c r="AA263" s="1818"/>
      <c r="AB263" s="1818"/>
      <c r="AC263" s="1818"/>
      <c r="AD263" s="1818"/>
      <c r="AE263" s="1818"/>
      <c r="AF263" s="1818"/>
      <c r="AG263" s="1818"/>
    </row>
    <row r="264" spans="1:33" s="1817" customFormat="1" ht="18.75">
      <c r="A264" s="1834"/>
      <c r="B264" s="1847" t="s">
        <v>1769</v>
      </c>
      <c r="C264" s="1846">
        <v>7213</v>
      </c>
      <c r="D264" s="1815"/>
      <c r="E264" s="1816"/>
      <c r="G264" s="1816"/>
      <c r="I264" s="1816"/>
      <c r="P264" s="1818"/>
      <c r="Q264" s="1818"/>
      <c r="R264" s="1818"/>
      <c r="S264" s="1818"/>
      <c r="T264" s="1818"/>
      <c r="U264" s="1818"/>
      <c r="V264" s="1818"/>
      <c r="W264" s="1818"/>
      <c r="X264" s="1818"/>
      <c r="Y264" s="1818"/>
      <c r="Z264" s="1818"/>
      <c r="AA264" s="1818"/>
      <c r="AB264" s="1818"/>
      <c r="AC264" s="1818"/>
      <c r="AD264" s="1818"/>
      <c r="AE264" s="1818"/>
      <c r="AF264" s="1818"/>
      <c r="AG264" s="1818"/>
    </row>
    <row r="265" spans="1:33" s="1817" customFormat="1" ht="18.75">
      <c r="A265" s="1834"/>
      <c r="B265" s="1847" t="s">
        <v>1770</v>
      </c>
      <c r="C265" s="1846">
        <v>7214</v>
      </c>
      <c r="D265" s="1815"/>
      <c r="E265" s="1816"/>
      <c r="G265" s="1816"/>
      <c r="I265" s="1816"/>
      <c r="P265" s="1818"/>
      <c r="Q265" s="1818"/>
      <c r="R265" s="1818"/>
      <c r="S265" s="1818"/>
      <c r="T265" s="1818"/>
      <c r="U265" s="1818"/>
      <c r="V265" s="1818"/>
      <c r="W265" s="1818"/>
      <c r="X265" s="1818"/>
      <c r="Y265" s="1818"/>
      <c r="Z265" s="1818"/>
      <c r="AA265" s="1818"/>
      <c r="AB265" s="1818"/>
      <c r="AC265" s="1818"/>
      <c r="AD265" s="1818"/>
      <c r="AE265" s="1818"/>
      <c r="AF265" s="1818"/>
      <c r="AG265" s="1818"/>
    </row>
    <row r="266" spans="1:33" s="1817" customFormat="1" ht="18.75">
      <c r="A266" s="1834"/>
      <c r="B266" s="1847" t="s">
        <v>1771</v>
      </c>
      <c r="C266" s="1846">
        <v>7215</v>
      </c>
      <c r="D266" s="1815"/>
      <c r="E266" s="1816"/>
      <c r="G266" s="1816"/>
      <c r="I266" s="1816"/>
      <c r="P266" s="1818"/>
      <c r="Q266" s="1818"/>
      <c r="R266" s="1818"/>
      <c r="S266" s="1818"/>
      <c r="T266" s="1818"/>
      <c r="U266" s="1818"/>
      <c r="V266" s="1818"/>
      <c r="W266" s="1818"/>
      <c r="X266" s="1818"/>
      <c r="Y266" s="1818"/>
      <c r="Z266" s="1818"/>
      <c r="AA266" s="1818"/>
      <c r="AB266" s="1818"/>
      <c r="AC266" s="1818"/>
      <c r="AD266" s="1818"/>
      <c r="AE266" s="1818"/>
      <c r="AF266" s="1818"/>
      <c r="AG266" s="1818"/>
    </row>
    <row r="267" spans="1:33" s="1817" customFormat="1" ht="18.75">
      <c r="A267" s="1834"/>
      <c r="B267" s="1847" t="s">
        <v>1772</v>
      </c>
      <c r="C267" s="1846">
        <v>7216</v>
      </c>
      <c r="D267" s="1815"/>
      <c r="E267" s="1816"/>
      <c r="G267" s="1816"/>
      <c r="I267" s="1816"/>
      <c r="P267" s="1818"/>
      <c r="Q267" s="1818"/>
      <c r="R267" s="1818"/>
      <c r="S267" s="1818"/>
      <c r="T267" s="1818"/>
      <c r="U267" s="1818"/>
      <c r="V267" s="1818"/>
      <c r="W267" s="1818"/>
      <c r="X267" s="1818"/>
      <c r="Y267" s="1818"/>
      <c r="Z267" s="1818"/>
      <c r="AA267" s="1818"/>
      <c r="AB267" s="1818"/>
      <c r="AC267" s="1818"/>
      <c r="AD267" s="1818"/>
      <c r="AE267" s="1818"/>
      <c r="AF267" s="1818"/>
      <c r="AG267" s="1818"/>
    </row>
    <row r="268" spans="1:33" s="1817" customFormat="1" ht="18.75">
      <c r="A268" s="1834"/>
      <c r="B268" s="1847" t="s">
        <v>1773</v>
      </c>
      <c r="C268" s="1846">
        <v>7217</v>
      </c>
      <c r="D268" s="1815"/>
      <c r="E268" s="1816"/>
      <c r="G268" s="1816"/>
      <c r="I268" s="1816"/>
      <c r="P268" s="1818"/>
      <c r="Q268" s="1818"/>
      <c r="R268" s="1818"/>
      <c r="S268" s="1818"/>
      <c r="T268" s="1818"/>
      <c r="U268" s="1818"/>
      <c r="V268" s="1818"/>
      <c r="W268" s="1818"/>
      <c r="X268" s="1818"/>
      <c r="Y268" s="1818"/>
      <c r="Z268" s="1818"/>
      <c r="AA268" s="1818"/>
      <c r="AB268" s="1818"/>
      <c r="AC268" s="1818"/>
      <c r="AD268" s="1818"/>
      <c r="AE268" s="1818"/>
      <c r="AF268" s="1818"/>
      <c r="AG268" s="1818"/>
    </row>
    <row r="269" spans="1:33" s="1817" customFormat="1" ht="18.75">
      <c r="A269" s="1834"/>
      <c r="B269" s="1847" t="s">
        <v>1774</v>
      </c>
      <c r="C269" s="1846">
        <v>7218</v>
      </c>
      <c r="D269" s="1815"/>
      <c r="E269" s="1816"/>
      <c r="G269" s="1816"/>
      <c r="I269" s="1816"/>
      <c r="P269" s="1818"/>
      <c r="Q269" s="1818"/>
      <c r="R269" s="1818"/>
      <c r="S269" s="1818"/>
      <c r="T269" s="1818"/>
      <c r="U269" s="1818"/>
      <c r="V269" s="1818"/>
      <c r="W269" s="1818"/>
      <c r="X269" s="1818"/>
      <c r="Y269" s="1818"/>
      <c r="Z269" s="1818"/>
      <c r="AA269" s="1818"/>
      <c r="AB269" s="1818"/>
      <c r="AC269" s="1818"/>
      <c r="AD269" s="1818"/>
      <c r="AE269" s="1818"/>
      <c r="AF269" s="1818"/>
      <c r="AG269" s="1818"/>
    </row>
    <row r="270" spans="1:33" s="1817" customFormat="1" ht="18.75">
      <c r="A270" s="1834"/>
      <c r="B270" s="1847" t="s">
        <v>1775</v>
      </c>
      <c r="C270" s="1846">
        <v>7219</v>
      </c>
      <c r="D270" s="1815"/>
      <c r="E270" s="1816"/>
      <c r="G270" s="1816"/>
      <c r="I270" s="1816"/>
      <c r="P270" s="1818"/>
      <c r="Q270" s="1818"/>
      <c r="R270" s="1818"/>
      <c r="S270" s="1818"/>
      <c r="T270" s="1818"/>
      <c r="U270" s="1818"/>
      <c r="V270" s="1818"/>
      <c r="W270" s="1818"/>
      <c r="X270" s="1818"/>
      <c r="Y270" s="1818"/>
      <c r="Z270" s="1818"/>
      <c r="AA270" s="1818"/>
      <c r="AB270" s="1818"/>
      <c r="AC270" s="1818"/>
      <c r="AD270" s="1818"/>
      <c r="AE270" s="1818"/>
      <c r="AF270" s="1818"/>
      <c r="AG270" s="1818"/>
    </row>
    <row r="271" spans="1:33" s="1817" customFormat="1" ht="18.75">
      <c r="A271" s="1834"/>
      <c r="B271" s="1847" t="s">
        <v>1776</v>
      </c>
      <c r="C271" s="1846">
        <v>7220</v>
      </c>
      <c r="D271" s="1815"/>
      <c r="E271" s="1816"/>
      <c r="G271" s="1816"/>
      <c r="I271" s="1816"/>
      <c r="P271" s="1818"/>
      <c r="Q271" s="1818"/>
      <c r="R271" s="1818"/>
      <c r="S271" s="1818"/>
      <c r="T271" s="1818"/>
      <c r="U271" s="1818"/>
      <c r="V271" s="1818"/>
      <c r="W271" s="1818"/>
      <c r="X271" s="1818"/>
      <c r="Y271" s="1818"/>
      <c r="Z271" s="1818"/>
      <c r="AA271" s="1818"/>
      <c r="AB271" s="1818"/>
      <c r="AC271" s="1818"/>
      <c r="AD271" s="1818"/>
      <c r="AE271" s="1818"/>
      <c r="AF271" s="1818"/>
      <c r="AG271" s="1818"/>
    </row>
    <row r="272" spans="1:33" s="1817" customFormat="1" ht="18.75">
      <c r="A272" s="1834"/>
      <c r="B272" s="1847" t="s">
        <v>1777</v>
      </c>
      <c r="C272" s="1846">
        <v>7221</v>
      </c>
      <c r="D272" s="1815"/>
      <c r="E272" s="1816"/>
      <c r="G272" s="1816"/>
      <c r="I272" s="1816"/>
      <c r="P272" s="1818"/>
      <c r="Q272" s="1818"/>
      <c r="R272" s="1818"/>
      <c r="S272" s="1818"/>
      <c r="T272" s="1818"/>
      <c r="U272" s="1818"/>
      <c r="V272" s="1818"/>
      <c r="W272" s="1818"/>
      <c r="X272" s="1818"/>
      <c r="Y272" s="1818"/>
      <c r="Z272" s="1818"/>
      <c r="AA272" s="1818"/>
      <c r="AB272" s="1818"/>
      <c r="AC272" s="1818"/>
      <c r="AD272" s="1818"/>
      <c r="AE272" s="1818"/>
      <c r="AF272" s="1818"/>
      <c r="AG272" s="1818"/>
    </row>
    <row r="273" spans="1:33" s="1817" customFormat="1" ht="18.75">
      <c r="A273" s="1834"/>
      <c r="B273" s="1847" t="s">
        <v>1778</v>
      </c>
      <c r="C273" s="1846">
        <v>7222</v>
      </c>
      <c r="D273" s="1815"/>
      <c r="E273" s="1816"/>
      <c r="G273" s="1816"/>
      <c r="I273" s="1816"/>
      <c r="P273" s="1818"/>
      <c r="Q273" s="1818"/>
      <c r="R273" s="1818"/>
      <c r="S273" s="1818"/>
      <c r="T273" s="1818"/>
      <c r="U273" s="1818"/>
      <c r="V273" s="1818"/>
      <c r="W273" s="1818"/>
      <c r="X273" s="1818"/>
      <c r="Y273" s="1818"/>
      <c r="Z273" s="1818"/>
      <c r="AA273" s="1818"/>
      <c r="AB273" s="1818"/>
      <c r="AC273" s="1818"/>
      <c r="AD273" s="1818"/>
      <c r="AE273" s="1818"/>
      <c r="AF273" s="1818"/>
      <c r="AG273" s="1818"/>
    </row>
    <row r="274" spans="1:33" s="1817" customFormat="1" ht="18.75">
      <c r="A274" s="1834"/>
      <c r="B274" s="1847" t="s">
        <v>1779</v>
      </c>
      <c r="C274" s="1846">
        <v>7223</v>
      </c>
      <c r="D274" s="1815"/>
      <c r="E274" s="1816"/>
      <c r="G274" s="1816"/>
      <c r="I274" s="1816"/>
      <c r="P274" s="1818"/>
      <c r="Q274" s="1818"/>
      <c r="R274" s="1818"/>
      <c r="S274" s="1818"/>
      <c r="T274" s="1818"/>
      <c r="U274" s="1818"/>
      <c r="V274" s="1818"/>
      <c r="W274" s="1818"/>
      <c r="X274" s="1818"/>
      <c r="Y274" s="1818"/>
      <c r="Z274" s="1818"/>
      <c r="AA274" s="1818"/>
      <c r="AB274" s="1818"/>
      <c r="AC274" s="1818"/>
      <c r="AD274" s="1818"/>
      <c r="AE274" s="1818"/>
      <c r="AF274" s="1818"/>
      <c r="AG274" s="1818"/>
    </row>
    <row r="275" spans="1:33" s="1817" customFormat="1" ht="18.75">
      <c r="A275" s="1834"/>
      <c r="B275" s="1847" t="s">
        <v>1780</v>
      </c>
      <c r="C275" s="1846">
        <v>7224</v>
      </c>
      <c r="D275" s="1815"/>
      <c r="E275" s="1816"/>
      <c r="G275" s="1816"/>
      <c r="I275" s="1816"/>
      <c r="P275" s="1818"/>
      <c r="Q275" s="1818"/>
      <c r="R275" s="1818"/>
      <c r="S275" s="1818"/>
      <c r="T275" s="1818"/>
      <c r="U275" s="1818"/>
      <c r="V275" s="1818"/>
      <c r="W275" s="1818"/>
      <c r="X275" s="1818"/>
      <c r="Y275" s="1818"/>
      <c r="Z275" s="1818"/>
      <c r="AA275" s="1818"/>
      <c r="AB275" s="1818"/>
      <c r="AC275" s="1818"/>
      <c r="AD275" s="1818"/>
      <c r="AE275" s="1818"/>
      <c r="AF275" s="1818"/>
      <c r="AG275" s="1818"/>
    </row>
    <row r="276" spans="1:33" s="1817" customFormat="1" ht="20.25" thickBot="1">
      <c r="A276" s="1834"/>
      <c r="B276" s="1867" t="s">
        <v>1781</v>
      </c>
      <c r="C276" s="1849">
        <v>7225</v>
      </c>
      <c r="D276" s="1815"/>
      <c r="E276" s="1868">
        <f>+IF('TRIAL-BALANCE'!C$8=C276,1,0)</f>
        <v>0</v>
      </c>
      <c r="G276" s="1868">
        <v>0</v>
      </c>
      <c r="I276" s="2217">
        <f>+E276+G276</f>
        <v>0</v>
      </c>
      <c r="P276" s="1818"/>
      <c r="Q276" s="1818"/>
      <c r="R276" s="1818"/>
      <c r="S276" s="1818"/>
      <c r="T276" s="1818"/>
      <c r="U276" s="1818"/>
      <c r="V276" s="1818"/>
      <c r="W276" s="1818"/>
      <c r="X276" s="1818"/>
      <c r="Y276" s="1818"/>
      <c r="Z276" s="1818"/>
      <c r="AA276" s="1818"/>
      <c r="AB276" s="1818"/>
      <c r="AC276" s="1818"/>
      <c r="AD276" s="1818"/>
      <c r="AE276" s="1818"/>
      <c r="AF276" s="1818"/>
      <c r="AG276" s="1818"/>
    </row>
    <row r="277" spans="1:33" s="1817" customFormat="1" ht="9" customHeight="1" thickBot="1">
      <c r="A277" s="1851"/>
      <c r="B277" s="1831"/>
      <c r="C277" s="1852"/>
      <c r="D277" s="1815"/>
      <c r="E277" s="1816"/>
      <c r="G277" s="1816"/>
      <c r="I277" s="1816"/>
      <c r="P277" s="1818"/>
      <c r="Q277" s="1818"/>
      <c r="R277" s="1818"/>
      <c r="S277" s="1818"/>
      <c r="T277" s="1818"/>
      <c r="U277" s="1818"/>
      <c r="V277" s="1818"/>
      <c r="W277" s="1818"/>
      <c r="X277" s="1818"/>
      <c r="Y277" s="1818"/>
      <c r="Z277" s="1818"/>
      <c r="AA277" s="1818"/>
      <c r="AB277" s="1818"/>
      <c r="AC277" s="1818"/>
      <c r="AD277" s="1818"/>
      <c r="AE277" s="1818"/>
      <c r="AF277" s="1818"/>
      <c r="AG277" s="1818"/>
    </row>
    <row r="278" spans="1:33" s="1817" customFormat="1" ht="18.75">
      <c r="A278" s="1834"/>
      <c r="B278" s="1835" t="s">
        <v>1782</v>
      </c>
      <c r="C278" s="1836" t="s">
        <v>1783</v>
      </c>
      <c r="D278" s="1815"/>
      <c r="E278" s="1816"/>
      <c r="G278" s="1816"/>
      <c r="I278" s="1816"/>
      <c r="P278" s="1818"/>
      <c r="Q278" s="1818"/>
      <c r="R278" s="1818"/>
      <c r="S278" s="1818"/>
      <c r="T278" s="1818"/>
      <c r="U278" s="1818"/>
      <c r="V278" s="1818"/>
      <c r="W278" s="1818"/>
      <c r="X278" s="1818"/>
      <c r="Y278" s="1818"/>
      <c r="Z278" s="1818"/>
      <c r="AA278" s="1818"/>
      <c r="AB278" s="1818"/>
      <c r="AC278" s="1818"/>
      <c r="AD278" s="1818"/>
      <c r="AE278" s="1818"/>
      <c r="AF278" s="1818"/>
      <c r="AG278" s="1818"/>
    </row>
    <row r="279" spans="1:33" s="1817" customFormat="1" ht="18.75">
      <c r="A279" s="1834"/>
      <c r="B279" s="1855" t="s">
        <v>1784</v>
      </c>
      <c r="C279" s="1856">
        <v>7301</v>
      </c>
      <c r="D279" s="1815"/>
      <c r="E279" s="1839">
        <f>+IF('TRIAL-BALANCE'!C$8=C279,1,0)</f>
        <v>0</v>
      </c>
      <c r="G279" s="1839">
        <v>0</v>
      </c>
      <c r="I279" s="2217">
        <f t="shared" ref="I279:I300" si="19">+E279+G279</f>
        <v>0</v>
      </c>
      <c r="P279" s="1818"/>
      <c r="Q279" s="1818"/>
      <c r="R279" s="1818"/>
      <c r="S279" s="1818"/>
      <c r="T279" s="1818"/>
      <c r="U279" s="1818"/>
      <c r="V279" s="1818"/>
      <c r="W279" s="1818"/>
      <c r="X279" s="1818"/>
      <c r="Y279" s="1818"/>
      <c r="Z279" s="1818"/>
      <c r="AA279" s="1818"/>
      <c r="AB279" s="1818"/>
      <c r="AC279" s="1818"/>
      <c r="AD279" s="1818"/>
      <c r="AE279" s="1818"/>
      <c r="AF279" s="1818"/>
      <c r="AG279" s="1818"/>
    </row>
    <row r="280" spans="1:33" s="1817" customFormat="1" ht="18.75">
      <c r="A280" s="1834"/>
      <c r="B280" s="1847" t="s">
        <v>1785</v>
      </c>
      <c r="C280" s="1846">
        <v>7302</v>
      </c>
      <c r="D280" s="1815"/>
      <c r="E280" s="1842">
        <f>+IF('TRIAL-BALANCE'!C$8=C280,1,0)</f>
        <v>0</v>
      </c>
      <c r="G280" s="1842">
        <v>0</v>
      </c>
      <c r="I280" s="2217">
        <f t="shared" si="19"/>
        <v>0</v>
      </c>
      <c r="P280" s="1818"/>
      <c r="Q280" s="1818"/>
      <c r="R280" s="1818"/>
      <c r="S280" s="1818"/>
      <c r="T280" s="1818"/>
      <c r="U280" s="1818"/>
      <c r="V280" s="1818"/>
      <c r="W280" s="1818"/>
      <c r="X280" s="1818"/>
      <c r="Y280" s="1818"/>
      <c r="Z280" s="1818"/>
      <c r="AA280" s="1818"/>
      <c r="AB280" s="1818"/>
      <c r="AC280" s="1818"/>
      <c r="AD280" s="1818"/>
      <c r="AE280" s="1818"/>
      <c r="AF280" s="1818"/>
      <c r="AG280" s="1818"/>
    </row>
    <row r="281" spans="1:33" s="1817" customFormat="1" ht="18.75">
      <c r="A281" s="1834"/>
      <c r="B281" s="1847" t="s">
        <v>1786</v>
      </c>
      <c r="C281" s="1846">
        <v>7303</v>
      </c>
      <c r="D281" s="1815"/>
      <c r="E281" s="1842">
        <f>+IF('TRIAL-BALANCE'!C$8=C281,1,0)</f>
        <v>0</v>
      </c>
      <c r="G281" s="1842">
        <v>0</v>
      </c>
      <c r="I281" s="2217">
        <f t="shared" si="19"/>
        <v>0</v>
      </c>
      <c r="P281" s="1818"/>
      <c r="Q281" s="1818"/>
      <c r="R281" s="1818"/>
      <c r="S281" s="1818"/>
      <c r="T281" s="1818"/>
      <c r="U281" s="1818"/>
      <c r="V281" s="1818"/>
      <c r="W281" s="1818"/>
      <c r="X281" s="1818"/>
      <c r="Y281" s="1818"/>
      <c r="Z281" s="1818"/>
      <c r="AA281" s="1818"/>
      <c r="AB281" s="1818"/>
      <c r="AC281" s="1818"/>
      <c r="AD281" s="1818"/>
      <c r="AE281" s="1818"/>
      <c r="AF281" s="1818"/>
      <c r="AG281" s="1818"/>
    </row>
    <row r="282" spans="1:33" s="1817" customFormat="1" ht="18.75">
      <c r="A282" s="1834"/>
      <c r="B282" s="1847" t="s">
        <v>1787</v>
      </c>
      <c r="C282" s="1846">
        <v>7304</v>
      </c>
      <c r="D282" s="1815"/>
      <c r="E282" s="1842">
        <f>+IF('TRIAL-BALANCE'!C$8=C282,1,0)</f>
        <v>0</v>
      </c>
      <c r="G282" s="1842">
        <v>0</v>
      </c>
      <c r="I282" s="2217">
        <f t="shared" si="19"/>
        <v>0</v>
      </c>
      <c r="P282" s="1818"/>
      <c r="Q282" s="1818"/>
      <c r="R282" s="1818"/>
      <c r="S282" s="1818"/>
      <c r="T282" s="1818"/>
      <c r="U282" s="1818"/>
      <c r="V282" s="1818"/>
      <c r="W282" s="1818"/>
      <c r="X282" s="1818"/>
      <c r="Y282" s="1818"/>
      <c r="Z282" s="1818"/>
      <c r="AA282" s="1818"/>
      <c r="AB282" s="1818"/>
      <c r="AC282" s="1818"/>
      <c r="AD282" s="1818"/>
      <c r="AE282" s="1818"/>
      <c r="AF282" s="1818"/>
      <c r="AG282" s="1818"/>
    </row>
    <row r="283" spans="1:33" s="1817" customFormat="1" ht="18.75">
      <c r="A283" s="1834"/>
      <c r="B283" s="1847" t="s">
        <v>1788</v>
      </c>
      <c r="C283" s="1846">
        <v>7305</v>
      </c>
      <c r="D283" s="1815"/>
      <c r="E283" s="1842">
        <f>+IF('TRIAL-BALANCE'!C$8=C283,1,0)</f>
        <v>0</v>
      </c>
      <c r="G283" s="1842">
        <v>0</v>
      </c>
      <c r="I283" s="2217">
        <f t="shared" si="19"/>
        <v>0</v>
      </c>
      <c r="P283" s="1818"/>
      <c r="Q283" s="1818"/>
      <c r="R283" s="1818"/>
      <c r="S283" s="1818"/>
      <c r="T283" s="1818"/>
      <c r="U283" s="1818"/>
      <c r="V283" s="1818"/>
      <c r="W283" s="1818"/>
      <c r="X283" s="1818"/>
      <c r="Y283" s="1818"/>
      <c r="Z283" s="1818"/>
      <c r="AA283" s="1818"/>
      <c r="AB283" s="1818"/>
      <c r="AC283" s="1818"/>
      <c r="AD283" s="1818"/>
      <c r="AE283" s="1818"/>
      <c r="AF283" s="1818"/>
      <c r="AG283" s="1818"/>
    </row>
    <row r="284" spans="1:33" s="1817" customFormat="1" ht="18.75">
      <c r="A284" s="1834"/>
      <c r="B284" s="1847" t="s">
        <v>1789</v>
      </c>
      <c r="C284" s="1846">
        <v>7306</v>
      </c>
      <c r="D284" s="1815"/>
      <c r="E284" s="1842">
        <f>+IF('TRIAL-BALANCE'!C$8=C284,1,0)</f>
        <v>0</v>
      </c>
      <c r="G284" s="1842">
        <v>0</v>
      </c>
      <c r="I284" s="2217">
        <f t="shared" si="19"/>
        <v>0</v>
      </c>
      <c r="P284" s="1818"/>
      <c r="Q284" s="1818"/>
      <c r="R284" s="1818"/>
      <c r="S284" s="1818"/>
      <c r="T284" s="1818"/>
      <c r="U284" s="1818"/>
      <c r="V284" s="1818"/>
      <c r="W284" s="1818"/>
      <c r="X284" s="1818"/>
      <c r="Y284" s="1818"/>
      <c r="Z284" s="1818"/>
      <c r="AA284" s="1818"/>
      <c r="AB284" s="1818"/>
      <c r="AC284" s="1818"/>
      <c r="AD284" s="1818"/>
      <c r="AE284" s="1818"/>
      <c r="AF284" s="1818"/>
      <c r="AG284" s="1818"/>
    </row>
    <row r="285" spans="1:33" s="1817" customFormat="1" ht="18.75">
      <c r="A285" s="1834"/>
      <c r="B285" s="1847" t="s">
        <v>1790</v>
      </c>
      <c r="C285" s="1846">
        <v>7307</v>
      </c>
      <c r="D285" s="1815"/>
      <c r="E285" s="1842">
        <f>+IF('TRIAL-BALANCE'!C$8=C285,1,0)</f>
        <v>0</v>
      </c>
      <c r="G285" s="1842">
        <v>0</v>
      </c>
      <c r="I285" s="2217">
        <f t="shared" si="19"/>
        <v>0</v>
      </c>
      <c r="P285" s="1818"/>
      <c r="Q285" s="1818"/>
      <c r="R285" s="1818"/>
      <c r="S285" s="1818"/>
      <c r="T285" s="1818"/>
      <c r="U285" s="1818"/>
      <c r="V285" s="1818"/>
      <c r="W285" s="1818"/>
      <c r="X285" s="1818"/>
      <c r="Y285" s="1818"/>
      <c r="Z285" s="1818"/>
      <c r="AA285" s="1818"/>
      <c r="AB285" s="1818"/>
      <c r="AC285" s="1818"/>
      <c r="AD285" s="1818"/>
      <c r="AE285" s="1818"/>
      <c r="AF285" s="1818"/>
      <c r="AG285" s="1818"/>
    </row>
    <row r="286" spans="1:33" s="1817" customFormat="1" ht="18.75">
      <c r="A286" s="1834"/>
      <c r="B286" s="1847" t="s">
        <v>1791</v>
      </c>
      <c r="C286" s="1846">
        <v>7308</v>
      </c>
      <c r="D286" s="1815"/>
      <c r="E286" s="1842">
        <f>+IF('TRIAL-BALANCE'!C$8=C286,1,0)</f>
        <v>0</v>
      </c>
      <c r="G286" s="1842">
        <v>0</v>
      </c>
      <c r="I286" s="2217">
        <f t="shared" si="19"/>
        <v>0</v>
      </c>
      <c r="P286" s="1818"/>
      <c r="Q286" s="1818"/>
      <c r="R286" s="1818"/>
      <c r="S286" s="1818"/>
      <c r="T286" s="1818"/>
      <c r="U286" s="1818"/>
      <c r="V286" s="1818"/>
      <c r="W286" s="1818"/>
      <c r="X286" s="1818"/>
      <c r="Y286" s="1818"/>
      <c r="Z286" s="1818"/>
      <c r="AA286" s="1818"/>
      <c r="AB286" s="1818"/>
      <c r="AC286" s="1818"/>
      <c r="AD286" s="1818"/>
      <c r="AE286" s="1818"/>
      <c r="AF286" s="1818"/>
      <c r="AG286" s="1818"/>
    </row>
    <row r="287" spans="1:33" s="1817" customFormat="1" ht="18.75">
      <c r="A287" s="1834"/>
      <c r="B287" s="1847" t="s">
        <v>1792</v>
      </c>
      <c r="C287" s="1846">
        <v>7309</v>
      </c>
      <c r="D287" s="1815"/>
      <c r="E287" s="1842">
        <f>+IF('TRIAL-BALANCE'!C$8=C287,1,0)</f>
        <v>0</v>
      </c>
      <c r="G287" s="1842">
        <v>0</v>
      </c>
      <c r="I287" s="2217">
        <f t="shared" si="19"/>
        <v>0</v>
      </c>
      <c r="P287" s="1818"/>
      <c r="Q287" s="1818"/>
      <c r="R287" s="1818"/>
      <c r="S287" s="1818"/>
      <c r="T287" s="1818"/>
      <c r="U287" s="1818"/>
      <c r="V287" s="1818"/>
      <c r="W287" s="1818"/>
      <c r="X287" s="1818"/>
      <c r="Y287" s="1818"/>
      <c r="Z287" s="1818"/>
      <c r="AA287" s="1818"/>
      <c r="AB287" s="1818"/>
      <c r="AC287" s="1818"/>
      <c r="AD287" s="1818"/>
      <c r="AE287" s="1818"/>
      <c r="AF287" s="1818"/>
      <c r="AG287" s="1818"/>
    </row>
    <row r="288" spans="1:33" s="1817" customFormat="1" ht="18.75">
      <c r="A288" s="1834"/>
      <c r="B288" s="1847" t="s">
        <v>1793</v>
      </c>
      <c r="C288" s="1846">
        <v>7310</v>
      </c>
      <c r="D288" s="1815"/>
      <c r="E288" s="1842">
        <f>+IF('TRIAL-BALANCE'!C$8=C288,1,0)</f>
        <v>0</v>
      </c>
      <c r="G288" s="1842">
        <v>0</v>
      </c>
      <c r="I288" s="2217">
        <f t="shared" si="19"/>
        <v>0</v>
      </c>
      <c r="P288" s="1818"/>
      <c r="Q288" s="1818"/>
      <c r="R288" s="1818"/>
      <c r="S288" s="1818"/>
      <c r="T288" s="1818"/>
      <c r="U288" s="1818"/>
      <c r="V288" s="1818"/>
      <c r="W288" s="1818"/>
      <c r="X288" s="1818"/>
      <c r="Y288" s="1818"/>
      <c r="Z288" s="1818"/>
      <c r="AA288" s="1818"/>
      <c r="AB288" s="1818"/>
      <c r="AC288" s="1818"/>
      <c r="AD288" s="1818"/>
      <c r="AE288" s="1818"/>
      <c r="AF288" s="1818"/>
      <c r="AG288" s="1818"/>
    </row>
    <row r="289" spans="1:33" s="1817" customFormat="1" ht="18.75">
      <c r="A289" s="1834"/>
      <c r="B289" s="1847" t="s">
        <v>1794</v>
      </c>
      <c r="C289" s="1846">
        <v>7311</v>
      </c>
      <c r="D289" s="1815"/>
      <c r="E289" s="1842">
        <f>+IF('TRIAL-BALANCE'!C$8=C289,1,0)</f>
        <v>0</v>
      </c>
      <c r="G289" s="1842">
        <v>0</v>
      </c>
      <c r="I289" s="2217">
        <f t="shared" si="19"/>
        <v>0</v>
      </c>
      <c r="P289" s="1818"/>
      <c r="Q289" s="1818"/>
      <c r="R289" s="1818"/>
      <c r="S289" s="1818"/>
      <c r="T289" s="1818"/>
      <c r="U289" s="1818"/>
      <c r="V289" s="1818"/>
      <c r="W289" s="1818"/>
      <c r="X289" s="1818"/>
      <c r="Y289" s="1818"/>
      <c r="Z289" s="1818"/>
      <c r="AA289" s="1818"/>
      <c r="AB289" s="1818"/>
      <c r="AC289" s="1818"/>
      <c r="AD289" s="1818"/>
      <c r="AE289" s="1818"/>
      <c r="AF289" s="1818"/>
      <c r="AG289" s="1818"/>
    </row>
    <row r="290" spans="1:33" s="1817" customFormat="1" ht="18.75">
      <c r="A290" s="1834"/>
      <c r="B290" s="1847" t="s">
        <v>1795</v>
      </c>
      <c r="C290" s="1846">
        <v>7312</v>
      </c>
      <c r="D290" s="1815"/>
      <c r="E290" s="1842">
        <f>+IF('TRIAL-BALANCE'!C$8=C290,1,0)</f>
        <v>0</v>
      </c>
      <c r="G290" s="1842">
        <v>0</v>
      </c>
      <c r="I290" s="2217">
        <f t="shared" si="19"/>
        <v>0</v>
      </c>
      <c r="P290" s="1818"/>
      <c r="Q290" s="1818"/>
      <c r="R290" s="1818"/>
      <c r="S290" s="1818"/>
      <c r="T290" s="1818"/>
      <c r="U290" s="1818"/>
      <c r="V290" s="1818"/>
      <c r="W290" s="1818"/>
      <c r="X290" s="1818"/>
      <c r="Y290" s="1818"/>
      <c r="Z290" s="1818"/>
      <c r="AA290" s="1818"/>
      <c r="AB290" s="1818"/>
      <c r="AC290" s="1818"/>
      <c r="AD290" s="1818"/>
      <c r="AE290" s="1818"/>
      <c r="AF290" s="1818"/>
      <c r="AG290" s="1818"/>
    </row>
    <row r="291" spans="1:33" s="1817" customFormat="1" ht="18.75">
      <c r="A291" s="1834"/>
      <c r="B291" s="1847" t="s">
        <v>1796</v>
      </c>
      <c r="C291" s="1846">
        <v>7313</v>
      </c>
      <c r="D291" s="1815"/>
      <c r="E291" s="1842">
        <f>+IF('TRIAL-BALANCE'!C$8=C291,1,0)</f>
        <v>0</v>
      </c>
      <c r="G291" s="1842">
        <v>0</v>
      </c>
      <c r="I291" s="2217">
        <f t="shared" si="19"/>
        <v>0</v>
      </c>
      <c r="P291" s="1818"/>
      <c r="Q291" s="1818"/>
      <c r="R291" s="1818"/>
      <c r="S291" s="1818"/>
      <c r="T291" s="1818"/>
      <c r="U291" s="1818"/>
      <c r="V291" s="1818"/>
      <c r="W291" s="1818"/>
      <c r="X291" s="1818"/>
      <c r="Y291" s="1818"/>
      <c r="Z291" s="1818"/>
      <c r="AA291" s="1818"/>
      <c r="AB291" s="1818"/>
      <c r="AC291" s="1818"/>
      <c r="AD291" s="1818"/>
      <c r="AE291" s="1818"/>
      <c r="AF291" s="1818"/>
      <c r="AG291" s="1818"/>
    </row>
    <row r="292" spans="1:33" s="1817" customFormat="1" ht="18.75">
      <c r="A292" s="1834"/>
      <c r="B292" s="1847" t="s">
        <v>1797</v>
      </c>
      <c r="C292" s="1846">
        <v>7314</v>
      </c>
      <c r="D292" s="1815"/>
      <c r="E292" s="1842">
        <f>+IF('TRIAL-BALANCE'!C$8=C292,1,0)</f>
        <v>0</v>
      </c>
      <c r="G292" s="1842">
        <v>0</v>
      </c>
      <c r="I292" s="2217">
        <f t="shared" si="19"/>
        <v>0</v>
      </c>
      <c r="P292" s="1818"/>
      <c r="Q292" s="1818"/>
      <c r="R292" s="1818"/>
      <c r="S292" s="1818"/>
      <c r="T292" s="1818"/>
      <c r="U292" s="1818"/>
      <c r="V292" s="1818"/>
      <c r="W292" s="1818"/>
      <c r="X292" s="1818"/>
      <c r="Y292" s="1818"/>
      <c r="Z292" s="1818"/>
      <c r="AA292" s="1818"/>
      <c r="AB292" s="1818"/>
      <c r="AC292" s="1818"/>
      <c r="AD292" s="1818"/>
      <c r="AE292" s="1818"/>
      <c r="AF292" s="1818"/>
      <c r="AG292" s="1818"/>
    </row>
    <row r="293" spans="1:33" s="1817" customFormat="1" ht="18.75">
      <c r="A293" s="1834"/>
      <c r="B293" s="1847" t="s">
        <v>1798</v>
      </c>
      <c r="C293" s="1846">
        <v>7315</v>
      </c>
      <c r="D293" s="1815"/>
      <c r="E293" s="1842">
        <f>+IF('TRIAL-BALANCE'!C$8=C293,1,0)</f>
        <v>0</v>
      </c>
      <c r="G293" s="1842">
        <v>0</v>
      </c>
      <c r="I293" s="2217">
        <f t="shared" si="19"/>
        <v>0</v>
      </c>
      <c r="P293" s="1818"/>
      <c r="Q293" s="1818"/>
      <c r="R293" s="1818"/>
      <c r="S293" s="1818"/>
      <c r="T293" s="1818"/>
      <c r="U293" s="1818"/>
      <c r="V293" s="1818"/>
      <c r="W293" s="1818"/>
      <c r="X293" s="1818"/>
      <c r="Y293" s="1818"/>
      <c r="Z293" s="1818"/>
      <c r="AA293" s="1818"/>
      <c r="AB293" s="1818"/>
      <c r="AC293" s="1818"/>
      <c r="AD293" s="1818"/>
      <c r="AE293" s="1818"/>
      <c r="AF293" s="1818"/>
      <c r="AG293" s="1818"/>
    </row>
    <row r="294" spans="1:33" s="1817" customFormat="1" ht="18.75">
      <c r="A294" s="1834"/>
      <c r="B294" s="1847" t="s">
        <v>1799</v>
      </c>
      <c r="C294" s="1846">
        <v>7316</v>
      </c>
      <c r="D294" s="1815"/>
      <c r="E294" s="1842">
        <f>+IF('TRIAL-BALANCE'!C$8=C294,1,0)</f>
        <v>0</v>
      </c>
      <c r="G294" s="1842">
        <v>0</v>
      </c>
      <c r="I294" s="2217">
        <f t="shared" si="19"/>
        <v>0</v>
      </c>
      <c r="P294" s="1818"/>
      <c r="Q294" s="1818"/>
      <c r="R294" s="1818"/>
      <c r="S294" s="1818"/>
      <c r="T294" s="1818"/>
      <c r="U294" s="1818"/>
      <c r="V294" s="1818"/>
      <c r="W294" s="1818"/>
      <c r="X294" s="1818"/>
      <c r="Y294" s="1818"/>
      <c r="Z294" s="1818"/>
      <c r="AA294" s="1818"/>
      <c r="AB294" s="1818"/>
      <c r="AC294" s="1818"/>
      <c r="AD294" s="1818"/>
      <c r="AE294" s="1818"/>
      <c r="AF294" s="1818"/>
      <c r="AG294" s="1818"/>
    </row>
    <row r="295" spans="1:33" s="1817" customFormat="1" ht="18.75">
      <c r="A295" s="1834"/>
      <c r="B295" s="1847" t="s">
        <v>1800</v>
      </c>
      <c r="C295" s="1846">
        <v>7317</v>
      </c>
      <c r="D295" s="1815"/>
      <c r="E295" s="1842">
        <f>+IF('TRIAL-BALANCE'!C$8=C295,1,0)</f>
        <v>0</v>
      </c>
      <c r="G295" s="1842">
        <v>0</v>
      </c>
      <c r="I295" s="2217">
        <f t="shared" si="19"/>
        <v>0</v>
      </c>
      <c r="P295" s="1818"/>
      <c r="Q295" s="1818"/>
      <c r="R295" s="1818"/>
      <c r="S295" s="1818"/>
      <c r="T295" s="1818"/>
      <c r="U295" s="1818"/>
      <c r="V295" s="1818"/>
      <c r="W295" s="1818"/>
      <c r="X295" s="1818"/>
      <c r="Y295" s="1818"/>
      <c r="Z295" s="1818"/>
      <c r="AA295" s="1818"/>
      <c r="AB295" s="1818"/>
      <c r="AC295" s="1818"/>
      <c r="AD295" s="1818"/>
      <c r="AE295" s="1818"/>
      <c r="AF295" s="1818"/>
      <c r="AG295" s="1818"/>
    </row>
    <row r="296" spans="1:33" s="1817" customFormat="1" ht="18.75">
      <c r="A296" s="1834"/>
      <c r="B296" s="1847" t="s">
        <v>1801</v>
      </c>
      <c r="C296" s="1846">
        <v>7318</v>
      </c>
      <c r="D296" s="1815"/>
      <c r="E296" s="1842">
        <f>+IF('TRIAL-BALANCE'!C$8=C296,1,0)</f>
        <v>0</v>
      </c>
      <c r="G296" s="1842">
        <v>0</v>
      </c>
      <c r="I296" s="2217">
        <f t="shared" si="19"/>
        <v>0</v>
      </c>
      <c r="P296" s="1818"/>
      <c r="Q296" s="1818"/>
      <c r="R296" s="1818"/>
      <c r="S296" s="1818"/>
      <c r="T296" s="1818"/>
      <c r="U296" s="1818"/>
      <c r="V296" s="1818"/>
      <c r="W296" s="1818"/>
      <c r="X296" s="1818"/>
      <c r="Y296" s="1818"/>
      <c r="Z296" s="1818"/>
      <c r="AA296" s="1818"/>
      <c r="AB296" s="1818"/>
      <c r="AC296" s="1818"/>
      <c r="AD296" s="1818"/>
      <c r="AE296" s="1818"/>
      <c r="AF296" s="1818"/>
      <c r="AG296" s="1818"/>
    </row>
    <row r="297" spans="1:33" s="1817" customFormat="1" ht="18.75">
      <c r="A297" s="1834"/>
      <c r="B297" s="1847" t="s">
        <v>1802</v>
      </c>
      <c r="C297" s="1846">
        <v>7319</v>
      </c>
      <c r="D297" s="1815"/>
      <c r="E297" s="1842">
        <f>+IF('TRIAL-BALANCE'!C$8=C297,1,0)</f>
        <v>0</v>
      </c>
      <c r="G297" s="1842">
        <v>0</v>
      </c>
      <c r="I297" s="2217">
        <f t="shared" si="19"/>
        <v>0</v>
      </c>
      <c r="P297" s="1818"/>
      <c r="Q297" s="1818"/>
      <c r="R297" s="1818"/>
      <c r="S297" s="1818"/>
      <c r="T297" s="1818"/>
      <c r="U297" s="1818"/>
      <c r="V297" s="1818"/>
      <c r="W297" s="1818"/>
      <c r="X297" s="1818"/>
      <c r="Y297" s="1818"/>
      <c r="Z297" s="1818"/>
      <c r="AA297" s="1818"/>
      <c r="AB297" s="1818"/>
      <c r="AC297" s="1818"/>
      <c r="AD297" s="1818"/>
      <c r="AE297" s="1818"/>
      <c r="AF297" s="1818"/>
      <c r="AG297" s="1818"/>
    </row>
    <row r="298" spans="1:33" s="1817" customFormat="1" ht="18.75">
      <c r="A298" s="1834"/>
      <c r="B298" s="1847" t="s">
        <v>1803</v>
      </c>
      <c r="C298" s="1846">
        <v>7320</v>
      </c>
      <c r="D298" s="1815"/>
      <c r="E298" s="1842">
        <f>+IF('TRIAL-BALANCE'!C$8=C298,1,0)</f>
        <v>0</v>
      </c>
      <c r="G298" s="1842">
        <v>0</v>
      </c>
      <c r="I298" s="2217">
        <f t="shared" si="19"/>
        <v>0</v>
      </c>
      <c r="P298" s="1818"/>
      <c r="Q298" s="1818"/>
      <c r="R298" s="1818"/>
      <c r="S298" s="1818"/>
      <c r="T298" s="1818"/>
      <c r="U298" s="1818"/>
      <c r="V298" s="1818"/>
      <c r="W298" s="1818"/>
      <c r="X298" s="1818"/>
      <c r="Y298" s="1818"/>
      <c r="Z298" s="1818"/>
      <c r="AA298" s="1818"/>
      <c r="AB298" s="1818"/>
      <c r="AC298" s="1818"/>
      <c r="AD298" s="1818"/>
      <c r="AE298" s="1818"/>
      <c r="AF298" s="1818"/>
      <c r="AG298" s="1818"/>
    </row>
    <row r="299" spans="1:33" s="1817" customFormat="1" ht="18.75">
      <c r="A299" s="1834"/>
      <c r="B299" s="1847" t="s">
        <v>1804</v>
      </c>
      <c r="C299" s="1846">
        <v>7321</v>
      </c>
      <c r="D299" s="1815"/>
      <c r="E299" s="1842">
        <f>+IF('TRIAL-BALANCE'!C$8=C299,1,0)</f>
        <v>0</v>
      </c>
      <c r="G299" s="1842">
        <v>0</v>
      </c>
      <c r="I299" s="2217">
        <f t="shared" si="19"/>
        <v>0</v>
      </c>
      <c r="P299" s="1818"/>
      <c r="Q299" s="1818"/>
      <c r="R299" s="1818"/>
      <c r="S299" s="1818"/>
      <c r="T299" s="1818"/>
      <c r="U299" s="1818"/>
      <c r="V299" s="1818"/>
      <c r="W299" s="1818"/>
      <c r="X299" s="1818"/>
      <c r="Y299" s="1818"/>
      <c r="Z299" s="1818"/>
      <c r="AA299" s="1818"/>
      <c r="AB299" s="1818"/>
      <c r="AC299" s="1818"/>
      <c r="AD299" s="1818"/>
      <c r="AE299" s="1818"/>
      <c r="AF299" s="1818"/>
      <c r="AG299" s="1818"/>
    </row>
    <row r="300" spans="1:33" s="1817" customFormat="1" ht="19.5" thickBot="1">
      <c r="A300" s="1834"/>
      <c r="B300" s="1848" t="s">
        <v>1805</v>
      </c>
      <c r="C300" s="1849">
        <v>7322</v>
      </c>
      <c r="D300" s="1815"/>
      <c r="E300" s="1850">
        <f>+IF('TRIAL-BALANCE'!C$8=C300,1,0)</f>
        <v>0</v>
      </c>
      <c r="G300" s="1850">
        <v>0</v>
      </c>
      <c r="I300" s="2217">
        <f t="shared" si="19"/>
        <v>0</v>
      </c>
      <c r="P300" s="1818"/>
      <c r="Q300" s="1818"/>
      <c r="R300" s="1818"/>
      <c r="S300" s="1818"/>
      <c r="T300" s="1818"/>
      <c r="U300" s="1818"/>
      <c r="V300" s="1818"/>
      <c r="W300" s="1818"/>
      <c r="X300" s="1818"/>
      <c r="Y300" s="1818"/>
      <c r="Z300" s="1818"/>
      <c r="AA300" s="1818"/>
      <c r="AB300" s="1818"/>
      <c r="AC300" s="1818"/>
      <c r="AD300" s="1818"/>
      <c r="AE300" s="1818"/>
      <c r="AF300" s="1818"/>
      <c r="AG300" s="1818"/>
    </row>
    <row r="301" spans="1:33" s="1817" customFormat="1" ht="9" customHeight="1" thickBot="1">
      <c r="A301" s="1851"/>
      <c r="B301" s="1831"/>
      <c r="C301" s="1852"/>
      <c r="D301" s="1815"/>
      <c r="E301" s="1816"/>
      <c r="G301" s="1816"/>
      <c r="I301" s="1816"/>
      <c r="P301" s="1818"/>
      <c r="Q301" s="1818"/>
      <c r="R301" s="1818"/>
      <c r="S301" s="1818"/>
      <c r="T301" s="1818"/>
      <c r="U301" s="1818"/>
      <c r="V301" s="1818"/>
      <c r="W301" s="1818"/>
      <c r="X301" s="1818"/>
      <c r="Y301" s="1818"/>
      <c r="Z301" s="1818"/>
      <c r="AA301" s="1818"/>
      <c r="AB301" s="1818"/>
      <c r="AC301" s="1818"/>
      <c r="AD301" s="1818"/>
      <c r="AE301" s="1818"/>
      <c r="AF301" s="1818"/>
      <c r="AG301" s="1818"/>
    </row>
    <row r="302" spans="1:33" s="1817" customFormat="1" ht="18.75">
      <c r="A302" s="1834"/>
      <c r="B302" s="1835" t="s">
        <v>1806</v>
      </c>
      <c r="C302" s="1836" t="s">
        <v>1807</v>
      </c>
      <c r="D302" s="1815"/>
      <c r="E302" s="1816"/>
      <c r="G302" s="1816"/>
      <c r="I302" s="1816"/>
      <c r="P302" s="1818"/>
      <c r="Q302" s="1818"/>
      <c r="R302" s="1818"/>
      <c r="S302" s="1818"/>
      <c r="T302" s="1818"/>
      <c r="U302" s="1818"/>
      <c r="V302" s="1818"/>
      <c r="W302" s="1818"/>
      <c r="X302" s="1818"/>
      <c r="Y302" s="1818"/>
      <c r="Z302" s="1818"/>
      <c r="AA302" s="1818"/>
      <c r="AB302" s="1818"/>
      <c r="AC302" s="1818"/>
      <c r="AD302" s="1818"/>
      <c r="AE302" s="1818"/>
      <c r="AF302" s="1818"/>
      <c r="AG302" s="1818"/>
    </row>
    <row r="303" spans="1:33" s="1817" customFormat="1" ht="18.75">
      <c r="A303" s="1834"/>
      <c r="B303" s="1855" t="s">
        <v>1808</v>
      </c>
      <c r="C303" s="1856">
        <v>7401</v>
      </c>
      <c r="D303" s="1815"/>
      <c r="E303" s="1839">
        <f>+IF('TRIAL-BALANCE'!C$8=C303,1,0)</f>
        <v>0</v>
      </c>
      <c r="G303" s="1839">
        <v>0</v>
      </c>
      <c r="I303" s="2217">
        <f t="shared" ref="I303:I313" si="20">+E303+G303</f>
        <v>0</v>
      </c>
      <c r="P303" s="1818"/>
      <c r="Q303" s="1818"/>
      <c r="R303" s="1818"/>
      <c r="S303" s="1818"/>
      <c r="T303" s="1818"/>
      <c r="U303" s="1818"/>
      <c r="V303" s="1818"/>
      <c r="W303" s="1818"/>
      <c r="X303" s="1818"/>
      <c r="Y303" s="1818"/>
      <c r="Z303" s="1818"/>
      <c r="AA303" s="1818"/>
      <c r="AB303" s="1818"/>
      <c r="AC303" s="1818"/>
      <c r="AD303" s="1818"/>
      <c r="AE303" s="1818"/>
      <c r="AF303" s="1818"/>
      <c r="AG303" s="1818"/>
    </row>
    <row r="304" spans="1:33" s="1817" customFormat="1" ht="18.75">
      <c r="A304" s="1834"/>
      <c r="B304" s="1847" t="s">
        <v>1809</v>
      </c>
      <c r="C304" s="1846">
        <v>7402</v>
      </c>
      <c r="D304" s="1815"/>
      <c r="E304" s="1842">
        <f>+IF('TRIAL-BALANCE'!C$8=C304,1,0)</f>
        <v>0</v>
      </c>
      <c r="G304" s="1842">
        <v>0</v>
      </c>
      <c r="I304" s="2217">
        <f t="shared" si="20"/>
        <v>0</v>
      </c>
      <c r="P304" s="1818"/>
      <c r="Q304" s="1818"/>
      <c r="R304" s="1818"/>
      <c r="S304" s="1818"/>
      <c r="T304" s="1818"/>
      <c r="U304" s="1818"/>
      <c r="V304" s="1818"/>
      <c r="W304" s="1818"/>
      <c r="X304" s="1818"/>
      <c r="Y304" s="1818"/>
      <c r="Z304" s="1818"/>
      <c r="AA304" s="1818"/>
      <c r="AB304" s="1818"/>
      <c r="AC304" s="1818"/>
      <c r="AD304" s="1818"/>
      <c r="AE304" s="1818"/>
      <c r="AF304" s="1818"/>
      <c r="AG304" s="1818"/>
    </row>
    <row r="305" spans="1:33" s="1817" customFormat="1" ht="18.75">
      <c r="A305" s="1834"/>
      <c r="B305" s="1847" t="s">
        <v>1810</v>
      </c>
      <c r="C305" s="1846">
        <v>7403</v>
      </c>
      <c r="D305" s="1815"/>
      <c r="E305" s="1842">
        <f>+IF('TRIAL-BALANCE'!C$8=C305,1,0)</f>
        <v>0</v>
      </c>
      <c r="G305" s="1842">
        <v>0</v>
      </c>
      <c r="I305" s="2217">
        <f t="shared" si="20"/>
        <v>0</v>
      </c>
      <c r="P305" s="1818"/>
      <c r="Q305" s="1818"/>
      <c r="R305" s="1818"/>
      <c r="S305" s="1818"/>
      <c r="T305" s="1818"/>
      <c r="U305" s="1818"/>
      <c r="V305" s="1818"/>
      <c r="W305" s="1818"/>
      <c r="X305" s="1818"/>
      <c r="Y305" s="1818"/>
      <c r="Z305" s="1818"/>
      <c r="AA305" s="1818"/>
      <c r="AB305" s="1818"/>
      <c r="AC305" s="1818"/>
      <c r="AD305" s="1818"/>
      <c r="AE305" s="1818"/>
      <c r="AF305" s="1818"/>
      <c r="AG305" s="1818"/>
    </row>
    <row r="306" spans="1:33" s="1817" customFormat="1" ht="18.75">
      <c r="A306" s="1834"/>
      <c r="B306" s="1847" t="s">
        <v>1811</v>
      </c>
      <c r="C306" s="1846">
        <v>7404</v>
      </c>
      <c r="D306" s="1815"/>
      <c r="E306" s="1842">
        <f>+IF('TRIAL-BALANCE'!C$8=C306,1,0)</f>
        <v>0</v>
      </c>
      <c r="G306" s="1842">
        <v>0</v>
      </c>
      <c r="I306" s="2217">
        <f t="shared" si="20"/>
        <v>0</v>
      </c>
      <c r="P306" s="1818"/>
      <c r="Q306" s="1818"/>
      <c r="R306" s="1818"/>
      <c r="S306" s="1818"/>
      <c r="T306" s="1818"/>
      <c r="U306" s="1818"/>
      <c r="V306" s="1818"/>
      <c r="W306" s="1818"/>
      <c r="X306" s="1818"/>
      <c r="Y306" s="1818"/>
      <c r="Z306" s="1818"/>
      <c r="AA306" s="1818"/>
      <c r="AB306" s="1818"/>
      <c r="AC306" s="1818"/>
      <c r="AD306" s="1818"/>
      <c r="AE306" s="1818"/>
      <c r="AF306" s="1818"/>
      <c r="AG306" s="1818"/>
    </row>
    <row r="307" spans="1:33" s="1817" customFormat="1" ht="18.75">
      <c r="A307" s="1834"/>
      <c r="B307" s="1847" t="s">
        <v>1812</v>
      </c>
      <c r="C307" s="1846">
        <v>7405</v>
      </c>
      <c r="D307" s="1815"/>
      <c r="E307" s="1842">
        <f>+IF('TRIAL-BALANCE'!C$8=C307,1,0)</f>
        <v>0</v>
      </c>
      <c r="G307" s="1842">
        <v>0</v>
      </c>
      <c r="I307" s="2217">
        <f t="shared" si="20"/>
        <v>0</v>
      </c>
      <c r="P307" s="1818"/>
      <c r="Q307" s="1818"/>
      <c r="R307" s="1818"/>
      <c r="S307" s="1818"/>
      <c r="T307" s="1818"/>
      <c r="U307" s="1818"/>
      <c r="V307" s="1818"/>
      <c r="W307" s="1818"/>
      <c r="X307" s="1818"/>
      <c r="Y307" s="1818"/>
      <c r="Z307" s="1818"/>
      <c r="AA307" s="1818"/>
      <c r="AB307" s="1818"/>
      <c r="AC307" s="1818"/>
      <c r="AD307" s="1818"/>
      <c r="AE307" s="1818"/>
      <c r="AF307" s="1818"/>
      <c r="AG307" s="1818"/>
    </row>
    <row r="308" spans="1:33" s="1817" customFormat="1" ht="18.75">
      <c r="A308" s="1834"/>
      <c r="B308" s="1847" t="s">
        <v>1813</v>
      </c>
      <c r="C308" s="1846">
        <v>7406</v>
      </c>
      <c r="D308" s="1815"/>
      <c r="E308" s="1842">
        <f>+IF('TRIAL-BALANCE'!C$8=C308,1,0)</f>
        <v>0</v>
      </c>
      <c r="G308" s="1842">
        <v>0</v>
      </c>
      <c r="I308" s="2217">
        <f t="shared" si="20"/>
        <v>0</v>
      </c>
      <c r="P308" s="1818"/>
      <c r="Q308" s="1818"/>
      <c r="R308" s="1818"/>
      <c r="S308" s="1818"/>
      <c r="T308" s="1818"/>
      <c r="U308" s="1818"/>
      <c r="V308" s="1818"/>
      <c r="W308" s="1818"/>
      <c r="X308" s="1818"/>
      <c r="Y308" s="1818"/>
      <c r="Z308" s="1818"/>
      <c r="AA308" s="1818"/>
      <c r="AB308" s="1818"/>
      <c r="AC308" s="1818"/>
      <c r="AD308" s="1818"/>
      <c r="AE308" s="1818"/>
      <c r="AF308" s="1818"/>
      <c r="AG308" s="1818"/>
    </row>
    <row r="309" spans="1:33" s="1817" customFormat="1" ht="18.75">
      <c r="A309" s="1834"/>
      <c r="B309" s="1847" t="s">
        <v>1814</v>
      </c>
      <c r="C309" s="1846">
        <v>7407</v>
      </c>
      <c r="D309" s="1815"/>
      <c r="E309" s="1842">
        <f>+IF('TRIAL-BALANCE'!C$8=C309,1,0)</f>
        <v>0</v>
      </c>
      <c r="G309" s="1842">
        <v>0</v>
      </c>
      <c r="I309" s="2217">
        <f t="shared" si="20"/>
        <v>0</v>
      </c>
      <c r="P309" s="1818"/>
      <c r="Q309" s="1818"/>
      <c r="R309" s="1818"/>
      <c r="S309" s="1818"/>
      <c r="T309" s="1818"/>
      <c r="U309" s="1818"/>
      <c r="V309" s="1818"/>
      <c r="W309" s="1818"/>
      <c r="X309" s="1818"/>
      <c r="Y309" s="1818"/>
      <c r="Z309" s="1818"/>
      <c r="AA309" s="1818"/>
      <c r="AB309" s="1818"/>
      <c r="AC309" s="1818"/>
      <c r="AD309" s="1818"/>
      <c r="AE309" s="1818"/>
      <c r="AF309" s="1818"/>
      <c r="AG309" s="1818"/>
    </row>
    <row r="310" spans="1:33" s="1817" customFormat="1" ht="18.75">
      <c r="A310" s="1834"/>
      <c r="B310" s="1847" t="s">
        <v>1815</v>
      </c>
      <c r="C310" s="1846">
        <v>7408</v>
      </c>
      <c r="D310" s="1815"/>
      <c r="E310" s="1842">
        <f>+IF('TRIAL-BALANCE'!C$8=C310,1,0)</f>
        <v>0</v>
      </c>
      <c r="G310" s="1842">
        <v>0</v>
      </c>
      <c r="I310" s="2217">
        <f t="shared" si="20"/>
        <v>0</v>
      </c>
      <c r="P310" s="1818"/>
      <c r="Q310" s="1818"/>
      <c r="R310" s="1818"/>
      <c r="S310" s="1818"/>
      <c r="T310" s="1818"/>
      <c r="U310" s="1818"/>
      <c r="V310" s="1818"/>
      <c r="W310" s="1818"/>
      <c r="X310" s="1818"/>
      <c r="Y310" s="1818"/>
      <c r="Z310" s="1818"/>
      <c r="AA310" s="1818"/>
      <c r="AB310" s="1818"/>
      <c r="AC310" s="1818"/>
      <c r="AD310" s="1818"/>
      <c r="AE310" s="1818"/>
      <c r="AF310" s="1818"/>
      <c r="AG310" s="1818"/>
    </row>
    <row r="311" spans="1:33" s="1817" customFormat="1" ht="18.75">
      <c r="A311" s="1834"/>
      <c r="B311" s="1847" t="s">
        <v>1816</v>
      </c>
      <c r="C311" s="1846">
        <v>7409</v>
      </c>
      <c r="D311" s="1815"/>
      <c r="E311" s="1842">
        <f>+IF('TRIAL-BALANCE'!C$8=C311,1,0)</f>
        <v>0</v>
      </c>
      <c r="G311" s="1842">
        <v>0</v>
      </c>
      <c r="I311" s="2217">
        <f t="shared" si="20"/>
        <v>0</v>
      </c>
      <c r="P311" s="1818"/>
      <c r="Q311" s="1818"/>
      <c r="R311" s="1818"/>
      <c r="S311" s="1818"/>
      <c r="T311" s="1818"/>
      <c r="U311" s="1818"/>
      <c r="V311" s="1818"/>
      <c r="W311" s="1818"/>
      <c r="X311" s="1818"/>
      <c r="Y311" s="1818"/>
      <c r="Z311" s="1818"/>
      <c r="AA311" s="1818"/>
      <c r="AB311" s="1818"/>
      <c r="AC311" s="1818"/>
      <c r="AD311" s="1818"/>
      <c r="AE311" s="1818"/>
      <c r="AF311" s="1818"/>
      <c r="AG311" s="1818"/>
    </row>
    <row r="312" spans="1:33" s="1817" customFormat="1" ht="19.5">
      <c r="A312" s="1834"/>
      <c r="B312" s="1853" t="s">
        <v>1817</v>
      </c>
      <c r="C312" s="1846">
        <v>7410</v>
      </c>
      <c r="D312" s="1815"/>
      <c r="E312" s="1842">
        <f>+IF('TRIAL-BALANCE'!C$8=C312,1,0)</f>
        <v>0</v>
      </c>
      <c r="G312" s="1842">
        <v>0</v>
      </c>
      <c r="I312" s="2217">
        <f t="shared" si="20"/>
        <v>0</v>
      </c>
      <c r="P312" s="1818"/>
      <c r="Q312" s="1818"/>
      <c r="R312" s="1818"/>
      <c r="S312" s="1818"/>
      <c r="T312" s="1818"/>
      <c r="U312" s="1818"/>
      <c r="V312" s="1818"/>
      <c r="W312" s="1818"/>
      <c r="X312" s="1818"/>
      <c r="Y312" s="1818"/>
      <c r="Z312" s="1818"/>
      <c r="AA312" s="1818"/>
      <c r="AB312" s="1818"/>
      <c r="AC312" s="1818"/>
      <c r="AD312" s="1818"/>
      <c r="AE312" s="1818"/>
      <c r="AF312" s="1818"/>
      <c r="AG312" s="1818"/>
    </row>
    <row r="313" spans="1:33" s="1817" customFormat="1" ht="19.5" thickBot="1">
      <c r="A313" s="1834"/>
      <c r="B313" s="1848" t="s">
        <v>1818</v>
      </c>
      <c r="C313" s="1849">
        <v>7411</v>
      </c>
      <c r="D313" s="1815"/>
      <c r="E313" s="1850">
        <f>+IF('TRIAL-BALANCE'!C$8=C313,1,0)</f>
        <v>0</v>
      </c>
      <c r="G313" s="1850">
        <v>0</v>
      </c>
      <c r="I313" s="2217">
        <f t="shared" si="20"/>
        <v>0</v>
      </c>
      <c r="P313" s="1818"/>
      <c r="Q313" s="1818"/>
      <c r="R313" s="1818"/>
      <c r="S313" s="1818"/>
      <c r="T313" s="1818"/>
      <c r="U313" s="1818"/>
      <c r="V313" s="1818"/>
      <c r="W313" s="1818"/>
      <c r="X313" s="1818"/>
      <c r="Y313" s="1818"/>
      <c r="Z313" s="1818"/>
      <c r="AA313" s="1818"/>
      <c r="AB313" s="1818"/>
      <c r="AC313" s="1818"/>
      <c r="AD313" s="1818"/>
      <c r="AE313" s="1818"/>
      <c r="AF313" s="1818"/>
      <c r="AG313" s="1818"/>
    </row>
    <row r="314" spans="1:33" s="1817" customFormat="1" ht="9" customHeight="1" thickBot="1">
      <c r="A314" s="1851"/>
      <c r="B314" s="1831"/>
      <c r="C314" s="1852"/>
      <c r="D314" s="1815"/>
      <c r="E314" s="1816"/>
      <c r="G314" s="1816"/>
      <c r="I314" s="1816"/>
      <c r="P314" s="1818"/>
      <c r="Q314" s="1818"/>
      <c r="R314" s="1818"/>
      <c r="S314" s="1818"/>
      <c r="T314" s="1818"/>
      <c r="U314" s="1818"/>
      <c r="V314" s="1818"/>
      <c r="W314" s="1818"/>
      <c r="X314" s="1818"/>
      <c r="Y314" s="1818"/>
      <c r="Z314" s="1818"/>
      <c r="AA314" s="1818"/>
      <c r="AB314" s="1818"/>
      <c r="AC314" s="1818"/>
      <c r="AD314" s="1818"/>
      <c r="AE314" s="1818"/>
      <c r="AF314" s="1818"/>
      <c r="AG314" s="1818"/>
    </row>
    <row r="315" spans="1:33" s="1817" customFormat="1" ht="18.75">
      <c r="A315" s="1834"/>
      <c r="B315" s="1835" t="s">
        <v>1819</v>
      </c>
      <c r="C315" s="1836" t="s">
        <v>1820</v>
      </c>
      <c r="D315" s="1815"/>
      <c r="E315" s="1816"/>
      <c r="G315" s="1816"/>
      <c r="I315" s="1816"/>
      <c r="P315" s="1818"/>
      <c r="Q315" s="1818"/>
      <c r="R315" s="1818"/>
      <c r="S315" s="1818"/>
      <c r="T315" s="1818"/>
      <c r="U315" s="1818"/>
      <c r="V315" s="1818"/>
      <c r="W315" s="1818"/>
      <c r="X315" s="1818"/>
      <c r="Y315" s="1818"/>
      <c r="Z315" s="1818"/>
      <c r="AA315" s="1818"/>
      <c r="AB315" s="1818"/>
      <c r="AC315" s="1818"/>
      <c r="AD315" s="1818"/>
      <c r="AE315" s="1818"/>
      <c r="AF315" s="1818"/>
      <c r="AG315" s="1818"/>
    </row>
    <row r="316" spans="1:33" s="1817" customFormat="1" ht="18.75">
      <c r="A316" s="1834"/>
      <c r="B316" s="1855" t="s">
        <v>1821</v>
      </c>
      <c r="C316" s="1856">
        <v>7501</v>
      </c>
      <c r="D316" s="1815"/>
      <c r="E316" s="1839">
        <f>+IF('TRIAL-BALANCE'!C$8=C316,1,0)</f>
        <v>0</v>
      </c>
      <c r="G316" s="1839">
        <v>0</v>
      </c>
      <c r="I316" s="2217">
        <f>+E316+G316</f>
        <v>0</v>
      </c>
      <c r="P316" s="1818"/>
      <c r="Q316" s="1818"/>
      <c r="R316" s="1818"/>
      <c r="S316" s="1818"/>
      <c r="T316" s="1818"/>
      <c r="U316" s="1818"/>
      <c r="V316" s="1818"/>
      <c r="W316" s="1818"/>
      <c r="X316" s="1818"/>
      <c r="Y316" s="1818"/>
      <c r="Z316" s="1818"/>
      <c r="AA316" s="1818"/>
      <c r="AB316" s="1818"/>
      <c r="AC316" s="1818"/>
      <c r="AD316" s="1818"/>
      <c r="AE316" s="1818"/>
      <c r="AF316" s="1818"/>
      <c r="AG316" s="1818"/>
    </row>
    <row r="317" spans="1:33" s="1817" customFormat="1" ht="18.75">
      <c r="A317" s="1834"/>
      <c r="B317" s="1847" t="s">
        <v>1822</v>
      </c>
      <c r="C317" s="1846">
        <v>7502</v>
      </c>
      <c r="D317" s="1815"/>
      <c r="E317" s="1842">
        <f>+IF('TRIAL-BALANCE'!C$8=C317,1,0)</f>
        <v>0</v>
      </c>
      <c r="G317" s="1842">
        <v>0</v>
      </c>
      <c r="I317" s="2217">
        <f>+E317+G317</f>
        <v>0</v>
      </c>
      <c r="P317" s="1818"/>
      <c r="Q317" s="1818"/>
      <c r="R317" s="1818"/>
      <c r="S317" s="1818"/>
      <c r="T317" s="1818"/>
      <c r="U317" s="1818"/>
      <c r="V317" s="1818"/>
      <c r="W317" s="1818"/>
      <c r="X317" s="1818"/>
      <c r="Y317" s="1818"/>
      <c r="Z317" s="1818"/>
      <c r="AA317" s="1818"/>
      <c r="AB317" s="1818"/>
      <c r="AC317" s="1818"/>
      <c r="AD317" s="1818"/>
      <c r="AE317" s="1818"/>
      <c r="AF317" s="1818"/>
      <c r="AG317" s="1818"/>
    </row>
    <row r="318" spans="1:33" s="1817" customFormat="1" ht="18.75">
      <c r="A318" s="1834"/>
      <c r="B318" s="1847" t="s">
        <v>1823</v>
      </c>
      <c r="C318" s="1846">
        <v>7503</v>
      </c>
      <c r="D318" s="1815"/>
      <c r="E318" s="1842">
        <f>+IF('TRIAL-BALANCE'!C$8=C318,1,0)</f>
        <v>0</v>
      </c>
      <c r="G318" s="1842">
        <v>0</v>
      </c>
      <c r="I318" s="2217">
        <f>+E318+G318</f>
        <v>0</v>
      </c>
      <c r="P318" s="1818"/>
      <c r="Q318" s="1818"/>
      <c r="R318" s="1818"/>
      <c r="S318" s="1818"/>
      <c r="T318" s="1818"/>
      <c r="U318" s="1818"/>
      <c r="V318" s="1818"/>
      <c r="W318" s="1818"/>
      <c r="X318" s="1818"/>
      <c r="Y318" s="1818"/>
      <c r="Z318" s="1818"/>
      <c r="AA318" s="1818"/>
      <c r="AB318" s="1818"/>
      <c r="AC318" s="1818"/>
      <c r="AD318" s="1818"/>
      <c r="AE318" s="1818"/>
      <c r="AF318" s="1818"/>
      <c r="AG318" s="1818"/>
    </row>
    <row r="319" spans="1:33" s="1817" customFormat="1" ht="18.75">
      <c r="A319" s="1834"/>
      <c r="B319" s="1847" t="s">
        <v>1824</v>
      </c>
      <c r="C319" s="1846">
        <v>7504</v>
      </c>
      <c r="D319" s="1815"/>
      <c r="E319" s="1842">
        <f>+IF('TRIAL-BALANCE'!C$8=C319,1,0)</f>
        <v>0</v>
      </c>
      <c r="G319" s="1842">
        <v>0</v>
      </c>
      <c r="I319" s="2217">
        <f>+E319+G319</f>
        <v>0</v>
      </c>
      <c r="P319" s="1818"/>
      <c r="Q319" s="1818"/>
      <c r="R319" s="1818"/>
      <c r="S319" s="1818"/>
      <c r="T319" s="1818"/>
      <c r="U319" s="1818"/>
      <c r="V319" s="1818"/>
      <c r="W319" s="1818"/>
      <c r="X319" s="1818"/>
      <c r="Y319" s="1818"/>
      <c r="Z319" s="1818"/>
      <c r="AA319" s="1818"/>
      <c r="AB319" s="1818"/>
      <c r="AC319" s="1818"/>
      <c r="AD319" s="1818"/>
      <c r="AE319" s="1818"/>
      <c r="AF319" s="1818"/>
      <c r="AG319" s="1818"/>
    </row>
    <row r="320" spans="1:33" s="1817" customFormat="1" ht="20.25" thickBot="1">
      <c r="A320" s="1834"/>
      <c r="B320" s="1867" t="s">
        <v>1825</v>
      </c>
      <c r="C320" s="1849">
        <v>7505</v>
      </c>
      <c r="D320" s="1815"/>
      <c r="E320" s="1850">
        <f>+IF('TRIAL-BALANCE'!C$8=C320,1,0)</f>
        <v>0</v>
      </c>
      <c r="G320" s="1850">
        <v>0</v>
      </c>
      <c r="I320" s="2217">
        <f>+E320+G320</f>
        <v>0</v>
      </c>
      <c r="P320" s="1818"/>
      <c r="Q320" s="1818"/>
      <c r="R320" s="1818"/>
      <c r="S320" s="1818"/>
      <c r="T320" s="1818"/>
      <c r="U320" s="1818"/>
      <c r="V320" s="1818"/>
      <c r="W320" s="1818"/>
      <c r="X320" s="1818"/>
      <c r="Y320" s="1818"/>
      <c r="Z320" s="1818"/>
      <c r="AA320" s="1818"/>
      <c r="AB320" s="1818"/>
      <c r="AC320" s="1818"/>
      <c r="AD320" s="1818"/>
      <c r="AE320" s="1818"/>
      <c r="AF320" s="1818"/>
      <c r="AG320" s="1818"/>
    </row>
    <row r="321" spans="1:33" s="1817" customFormat="1" ht="9" customHeight="1" thickBot="1">
      <c r="A321" s="1851"/>
      <c r="B321" s="1869"/>
      <c r="C321" s="1852"/>
      <c r="D321" s="1815"/>
      <c r="E321" s="1816"/>
      <c r="G321" s="1816"/>
      <c r="I321" s="1816"/>
      <c r="P321" s="1818"/>
      <c r="Q321" s="1818"/>
      <c r="R321" s="1818"/>
      <c r="S321" s="1818"/>
      <c r="T321" s="1818"/>
      <c r="U321" s="1818"/>
      <c r="V321" s="1818"/>
      <c r="W321" s="1818"/>
      <c r="X321" s="1818"/>
      <c r="Y321" s="1818"/>
      <c r="Z321" s="1818"/>
      <c r="AA321" s="1818"/>
      <c r="AB321" s="1818"/>
      <c r="AC321" s="1818"/>
      <c r="AD321" s="1818"/>
      <c r="AE321" s="1818"/>
      <c r="AF321" s="1818"/>
      <c r="AG321" s="1818"/>
    </row>
    <row r="322" spans="1:33" s="1817" customFormat="1" ht="18.75">
      <c r="A322" s="1834"/>
      <c r="B322" s="1835" t="s">
        <v>1826</v>
      </c>
      <c r="C322" s="1836" t="s">
        <v>1827</v>
      </c>
      <c r="D322" s="1815"/>
      <c r="E322" s="1816"/>
      <c r="G322" s="1816"/>
      <c r="I322" s="1816"/>
      <c r="P322" s="1818"/>
      <c r="Q322" s="1818"/>
      <c r="R322" s="1818"/>
      <c r="S322" s="1818"/>
      <c r="T322" s="1818"/>
      <c r="U322" s="1818"/>
      <c r="V322" s="1818"/>
      <c r="W322" s="1818"/>
      <c r="X322" s="1818"/>
      <c r="Y322" s="1818"/>
      <c r="Z322" s="1818"/>
      <c r="AA322" s="1818"/>
      <c r="AB322" s="1818"/>
      <c r="AC322" s="1818"/>
      <c r="AD322" s="1818"/>
      <c r="AE322" s="1818"/>
      <c r="AF322" s="1818"/>
      <c r="AG322" s="1818"/>
    </row>
    <row r="323" spans="1:33" s="1817" customFormat="1" ht="18.75">
      <c r="A323" s="1834"/>
      <c r="B323" s="1855" t="s">
        <v>1828</v>
      </c>
      <c r="C323" s="1856">
        <v>7601</v>
      </c>
      <c r="D323" s="1815"/>
      <c r="E323" s="1839">
        <f>+IF('TRIAL-BALANCE'!C$8=C323,1,0)</f>
        <v>0</v>
      </c>
      <c r="G323" s="1839">
        <v>0</v>
      </c>
      <c r="I323" s="2217">
        <f t="shared" ref="I323:I333" si="21">+E323+G323</f>
        <v>0</v>
      </c>
      <c r="P323" s="1818"/>
      <c r="Q323" s="1818"/>
      <c r="R323" s="1818"/>
      <c r="S323" s="1818"/>
      <c r="T323" s="1818"/>
      <c r="U323" s="1818"/>
      <c r="V323" s="1818"/>
      <c r="W323" s="1818"/>
      <c r="X323" s="1818"/>
      <c r="Y323" s="1818"/>
      <c r="Z323" s="1818"/>
      <c r="AA323" s="1818"/>
      <c r="AB323" s="1818"/>
      <c r="AC323" s="1818"/>
      <c r="AD323" s="1818"/>
      <c r="AE323" s="1818"/>
      <c r="AF323" s="1818"/>
      <c r="AG323" s="1818"/>
    </row>
    <row r="324" spans="1:33" s="1817" customFormat="1" ht="18.75">
      <c r="A324" s="1834"/>
      <c r="B324" s="1847" t="s">
        <v>1829</v>
      </c>
      <c r="C324" s="1846">
        <v>7602</v>
      </c>
      <c r="D324" s="1815"/>
      <c r="E324" s="1842">
        <f>+IF('TRIAL-BALANCE'!C$8=C324,1,0)</f>
        <v>0</v>
      </c>
      <c r="G324" s="1842">
        <v>0</v>
      </c>
      <c r="I324" s="2217">
        <f t="shared" si="21"/>
        <v>0</v>
      </c>
      <c r="P324" s="1818"/>
      <c r="Q324" s="1818"/>
      <c r="R324" s="1818"/>
      <c r="S324" s="1818"/>
      <c r="T324" s="1818"/>
      <c r="U324" s="1818"/>
      <c r="V324" s="1818"/>
      <c r="W324" s="1818"/>
      <c r="X324" s="1818"/>
      <c r="Y324" s="1818"/>
      <c r="Z324" s="1818"/>
      <c r="AA324" s="1818"/>
      <c r="AB324" s="1818"/>
      <c r="AC324" s="1818"/>
      <c r="AD324" s="1818"/>
      <c r="AE324" s="1818"/>
      <c r="AF324" s="1818"/>
      <c r="AG324" s="1818"/>
    </row>
    <row r="325" spans="1:33" s="1817" customFormat="1" ht="18.75">
      <c r="A325" s="1834"/>
      <c r="B325" s="1847" t="s">
        <v>1830</v>
      </c>
      <c r="C325" s="1846">
        <v>7603</v>
      </c>
      <c r="D325" s="1815"/>
      <c r="E325" s="1842">
        <f>+IF('TRIAL-BALANCE'!C$8=C325,1,0)</f>
        <v>0</v>
      </c>
      <c r="G325" s="1842">
        <v>0</v>
      </c>
      <c r="I325" s="2217">
        <f t="shared" si="21"/>
        <v>0</v>
      </c>
      <c r="P325" s="1818"/>
      <c r="Q325" s="1818"/>
      <c r="R325" s="1818"/>
      <c r="S325" s="1818"/>
      <c r="T325" s="1818"/>
      <c r="U325" s="1818"/>
      <c r="V325" s="1818"/>
      <c r="W325" s="1818"/>
      <c r="X325" s="1818"/>
      <c r="Y325" s="1818"/>
      <c r="Z325" s="1818"/>
      <c r="AA325" s="1818"/>
      <c r="AB325" s="1818"/>
      <c r="AC325" s="1818"/>
      <c r="AD325" s="1818"/>
      <c r="AE325" s="1818"/>
      <c r="AF325" s="1818"/>
      <c r="AG325" s="1818"/>
    </row>
    <row r="326" spans="1:33" s="1817" customFormat="1" ht="18.75">
      <c r="A326" s="1834"/>
      <c r="B326" s="1847" t="s">
        <v>1831</v>
      </c>
      <c r="C326" s="1846">
        <v>7604</v>
      </c>
      <c r="D326" s="1815"/>
      <c r="E326" s="1842">
        <f>+IF('TRIAL-BALANCE'!C$8=C326,1,0)</f>
        <v>0</v>
      </c>
      <c r="G326" s="1842">
        <v>0</v>
      </c>
      <c r="I326" s="2217">
        <f t="shared" si="21"/>
        <v>0</v>
      </c>
      <c r="P326" s="1818"/>
      <c r="Q326" s="1818"/>
      <c r="R326" s="1818"/>
      <c r="S326" s="1818"/>
      <c r="T326" s="1818"/>
      <c r="U326" s="1818"/>
      <c r="V326" s="1818"/>
      <c r="W326" s="1818"/>
      <c r="X326" s="1818"/>
      <c r="Y326" s="1818"/>
      <c r="Z326" s="1818"/>
      <c r="AA326" s="1818"/>
      <c r="AB326" s="1818"/>
      <c r="AC326" s="1818"/>
      <c r="AD326" s="1818"/>
      <c r="AE326" s="1818"/>
      <c r="AF326" s="1818"/>
      <c r="AG326" s="1818"/>
    </row>
    <row r="327" spans="1:33" s="1817" customFormat="1" ht="18.75">
      <c r="A327" s="1834"/>
      <c r="B327" s="1847" t="s">
        <v>1832</v>
      </c>
      <c r="C327" s="1846">
        <v>7605</v>
      </c>
      <c r="D327" s="1815"/>
      <c r="E327" s="1842">
        <f>+IF('TRIAL-BALANCE'!C$8=C327,1,0)</f>
        <v>0</v>
      </c>
      <c r="G327" s="1842">
        <v>0</v>
      </c>
      <c r="I327" s="2217">
        <f t="shared" si="21"/>
        <v>0</v>
      </c>
      <c r="P327" s="1818"/>
      <c r="Q327" s="1818"/>
      <c r="R327" s="1818"/>
      <c r="S327" s="1818"/>
      <c r="T327" s="1818"/>
      <c r="U327" s="1818"/>
      <c r="V327" s="1818"/>
      <c r="W327" s="1818"/>
      <c r="X327" s="1818"/>
      <c r="Y327" s="1818"/>
      <c r="Z327" s="1818"/>
      <c r="AA327" s="1818"/>
      <c r="AB327" s="1818"/>
      <c r="AC327" s="1818"/>
      <c r="AD327" s="1818"/>
      <c r="AE327" s="1818"/>
      <c r="AF327" s="1818"/>
      <c r="AG327" s="1818"/>
    </row>
    <row r="328" spans="1:33" s="1817" customFormat="1" ht="18.75">
      <c r="A328" s="1834"/>
      <c r="B328" s="1847" t="s">
        <v>1833</v>
      </c>
      <c r="C328" s="1846">
        <v>7606</v>
      </c>
      <c r="D328" s="1815"/>
      <c r="E328" s="1842">
        <f>+IF('TRIAL-BALANCE'!C$8=C328,1,0)</f>
        <v>0</v>
      </c>
      <c r="G328" s="1842">
        <v>0</v>
      </c>
      <c r="I328" s="2217">
        <f t="shared" si="21"/>
        <v>0</v>
      </c>
      <c r="P328" s="1818"/>
      <c r="Q328" s="1818"/>
      <c r="R328" s="1818"/>
      <c r="S328" s="1818"/>
      <c r="T328" s="1818"/>
      <c r="U328" s="1818"/>
      <c r="V328" s="1818"/>
      <c r="W328" s="1818"/>
      <c r="X328" s="1818"/>
      <c r="Y328" s="1818"/>
      <c r="Z328" s="1818"/>
      <c r="AA328" s="1818"/>
      <c r="AB328" s="1818"/>
      <c r="AC328" s="1818"/>
      <c r="AD328" s="1818"/>
      <c r="AE328" s="1818"/>
      <c r="AF328" s="1818"/>
      <c r="AG328" s="1818"/>
    </row>
    <row r="329" spans="1:33" s="1817" customFormat="1" ht="18.75">
      <c r="A329" s="1834"/>
      <c r="B329" s="1847" t="s">
        <v>1834</v>
      </c>
      <c r="C329" s="1846">
        <v>7607</v>
      </c>
      <c r="D329" s="1815"/>
      <c r="E329" s="1842">
        <f>+IF('TRIAL-BALANCE'!C$8=C329,1,0)</f>
        <v>0</v>
      </c>
      <c r="G329" s="1842">
        <v>0</v>
      </c>
      <c r="I329" s="2217">
        <f t="shared" si="21"/>
        <v>0</v>
      </c>
      <c r="P329" s="1818"/>
      <c r="Q329" s="1818"/>
      <c r="R329" s="1818"/>
      <c r="S329" s="1818"/>
      <c r="T329" s="1818"/>
      <c r="U329" s="1818"/>
      <c r="V329" s="1818"/>
      <c r="W329" s="1818"/>
      <c r="X329" s="1818"/>
      <c r="Y329" s="1818"/>
      <c r="Z329" s="1818"/>
      <c r="AA329" s="1818"/>
      <c r="AB329" s="1818"/>
      <c r="AC329" s="1818"/>
      <c r="AD329" s="1818"/>
      <c r="AE329" s="1818"/>
      <c r="AF329" s="1818"/>
      <c r="AG329" s="1818"/>
    </row>
    <row r="330" spans="1:33" s="1817" customFormat="1" ht="18.75">
      <c r="A330" s="1834"/>
      <c r="B330" s="1847" t="s">
        <v>1835</v>
      </c>
      <c r="C330" s="1846">
        <v>7608</v>
      </c>
      <c r="D330" s="1815"/>
      <c r="E330" s="1842">
        <f>+IF('TRIAL-BALANCE'!C$8=C330,1,0)</f>
        <v>0</v>
      </c>
      <c r="G330" s="1842">
        <v>0</v>
      </c>
      <c r="I330" s="2217">
        <f t="shared" si="21"/>
        <v>0</v>
      </c>
      <c r="P330" s="1818"/>
      <c r="Q330" s="1818"/>
      <c r="R330" s="1818"/>
      <c r="S330" s="1818"/>
      <c r="T330" s="1818"/>
      <c r="U330" s="1818"/>
      <c r="V330" s="1818"/>
      <c r="W330" s="1818"/>
      <c r="X330" s="1818"/>
      <c r="Y330" s="1818"/>
      <c r="Z330" s="1818"/>
      <c r="AA330" s="1818"/>
      <c r="AB330" s="1818"/>
      <c r="AC330" s="1818"/>
      <c r="AD330" s="1818"/>
      <c r="AE330" s="1818"/>
      <c r="AF330" s="1818"/>
      <c r="AG330" s="1818"/>
    </row>
    <row r="331" spans="1:33" s="1817" customFormat="1" ht="18.75">
      <c r="A331" s="1834"/>
      <c r="B331" s="1847" t="s">
        <v>1836</v>
      </c>
      <c r="C331" s="1846">
        <v>7609</v>
      </c>
      <c r="D331" s="1815"/>
      <c r="E331" s="1842">
        <f>+IF('TRIAL-BALANCE'!C$8=C331,1,0)</f>
        <v>0</v>
      </c>
      <c r="G331" s="1842">
        <v>0</v>
      </c>
      <c r="I331" s="2217">
        <f t="shared" si="21"/>
        <v>0</v>
      </c>
      <c r="P331" s="1818"/>
      <c r="Q331" s="1818"/>
      <c r="R331" s="1818"/>
      <c r="S331" s="1818"/>
      <c r="T331" s="1818"/>
      <c r="U331" s="1818"/>
      <c r="V331" s="1818"/>
      <c r="W331" s="1818"/>
      <c r="X331" s="1818"/>
      <c r="Y331" s="1818"/>
      <c r="Z331" s="1818"/>
      <c r="AA331" s="1818"/>
      <c r="AB331" s="1818"/>
      <c r="AC331" s="1818"/>
      <c r="AD331" s="1818"/>
      <c r="AE331" s="1818"/>
      <c r="AF331" s="1818"/>
      <c r="AG331" s="1818"/>
    </row>
    <row r="332" spans="1:33" s="1817" customFormat="1" ht="18.75">
      <c r="A332" s="1834"/>
      <c r="B332" s="1847" t="s">
        <v>1837</v>
      </c>
      <c r="C332" s="1846">
        <v>7610</v>
      </c>
      <c r="D332" s="1815"/>
      <c r="E332" s="1842">
        <f>+IF('TRIAL-BALANCE'!C$8=C332,1,0)</f>
        <v>0</v>
      </c>
      <c r="G332" s="1842">
        <v>0</v>
      </c>
      <c r="I332" s="2217">
        <f t="shared" si="21"/>
        <v>0</v>
      </c>
      <c r="P332" s="1818"/>
      <c r="Q332" s="1818"/>
      <c r="R332" s="1818"/>
      <c r="S332" s="1818"/>
      <c r="T332" s="1818"/>
      <c r="U332" s="1818"/>
      <c r="V332" s="1818"/>
      <c r="W332" s="1818"/>
      <c r="X332" s="1818"/>
      <c r="Y332" s="1818"/>
      <c r="Z332" s="1818"/>
      <c r="AA332" s="1818"/>
      <c r="AB332" s="1818"/>
      <c r="AC332" s="1818"/>
      <c r="AD332" s="1818"/>
      <c r="AE332" s="1818"/>
      <c r="AF332" s="1818"/>
      <c r="AG332" s="1818"/>
    </row>
    <row r="333" spans="1:33" s="1817" customFormat="1" ht="20.25" thickBot="1">
      <c r="A333" s="1834"/>
      <c r="B333" s="1867" t="s">
        <v>1838</v>
      </c>
      <c r="C333" s="1849">
        <v>7611</v>
      </c>
      <c r="D333" s="1815"/>
      <c r="E333" s="1850">
        <f>+IF('TRIAL-BALANCE'!C$8=C333,1,0)</f>
        <v>0</v>
      </c>
      <c r="G333" s="1850">
        <v>0</v>
      </c>
      <c r="I333" s="2217">
        <f t="shared" si="21"/>
        <v>0</v>
      </c>
      <c r="P333" s="1818"/>
      <c r="Q333" s="1818"/>
      <c r="R333" s="1818"/>
      <c r="S333" s="1818"/>
      <c r="T333" s="1818"/>
      <c r="U333" s="1818"/>
      <c r="V333" s="1818"/>
      <c r="W333" s="1818"/>
      <c r="X333" s="1818"/>
      <c r="Y333" s="1818"/>
      <c r="Z333" s="1818"/>
      <c r="AA333" s="1818"/>
      <c r="AB333" s="1818"/>
      <c r="AC333" s="1818"/>
      <c r="AD333" s="1818"/>
      <c r="AE333" s="1818"/>
      <c r="AF333" s="1818"/>
      <c r="AG333" s="1818"/>
    </row>
    <row r="334" spans="1:33" s="1817" customFormat="1" ht="9" customHeight="1" thickBot="1">
      <c r="A334" s="1851"/>
      <c r="B334" s="1831"/>
      <c r="C334" s="1852"/>
      <c r="D334" s="1815"/>
      <c r="E334" s="1816"/>
      <c r="G334" s="1816"/>
      <c r="I334" s="1816"/>
      <c r="P334" s="1818"/>
      <c r="Q334" s="1818"/>
      <c r="R334" s="1818"/>
      <c r="S334" s="1818"/>
      <c r="T334" s="1818"/>
      <c r="U334" s="1818"/>
      <c r="V334" s="1818"/>
      <c r="W334" s="1818"/>
      <c r="X334" s="1818"/>
      <c r="Y334" s="1818"/>
      <c r="Z334" s="1818"/>
      <c r="AA334" s="1818"/>
      <c r="AB334" s="1818"/>
      <c r="AC334" s="1818"/>
      <c r="AD334" s="1818"/>
      <c r="AE334" s="1818"/>
      <c r="AF334" s="1818"/>
      <c r="AG334" s="1818"/>
    </row>
    <row r="335" spans="1:33" s="1817" customFormat="1" ht="18.75">
      <c r="A335" s="1834"/>
      <c r="B335" s="1835" t="s">
        <v>1839</v>
      </c>
      <c r="C335" s="1836" t="s">
        <v>1840</v>
      </c>
      <c r="D335" s="1815"/>
      <c r="E335" s="1816"/>
      <c r="G335" s="1816"/>
      <c r="I335" s="1816"/>
      <c r="P335" s="1818"/>
      <c r="Q335" s="1818"/>
      <c r="R335" s="1818"/>
      <c r="S335" s="1818"/>
      <c r="T335" s="1818"/>
      <c r="U335" s="1818"/>
      <c r="V335" s="1818"/>
      <c r="W335" s="1818"/>
      <c r="X335" s="1818"/>
      <c r="Y335" s="1818"/>
      <c r="Z335" s="1818"/>
      <c r="AA335" s="1818"/>
      <c r="AB335" s="1818"/>
      <c r="AC335" s="1818"/>
      <c r="AD335" s="1818"/>
      <c r="AE335" s="1818"/>
      <c r="AF335" s="1818"/>
      <c r="AG335" s="1818"/>
    </row>
    <row r="336" spans="1:33" s="1817" customFormat="1" ht="18.75">
      <c r="A336" s="1834"/>
      <c r="B336" s="1855" t="s">
        <v>1841</v>
      </c>
      <c r="C336" s="1856">
        <v>7701</v>
      </c>
      <c r="D336" s="1815"/>
      <c r="E336" s="1839">
        <f>+IF('TRIAL-BALANCE'!C$8=C336,1,0)</f>
        <v>0</v>
      </c>
      <c r="G336" s="1839">
        <v>0</v>
      </c>
      <c r="I336" s="2217">
        <f t="shared" ref="I336:I345" si="22">+E336+G336</f>
        <v>0</v>
      </c>
      <c r="P336" s="1818"/>
      <c r="Q336" s="1818"/>
      <c r="R336" s="1818"/>
      <c r="S336" s="1818"/>
      <c r="T336" s="1818"/>
      <c r="U336" s="1818"/>
      <c r="V336" s="1818"/>
      <c r="W336" s="1818"/>
      <c r="X336" s="1818"/>
      <c r="Y336" s="1818"/>
      <c r="Z336" s="1818"/>
      <c r="AA336" s="1818"/>
      <c r="AB336" s="1818"/>
      <c r="AC336" s="1818"/>
      <c r="AD336" s="1818"/>
      <c r="AE336" s="1818"/>
      <c r="AF336" s="1818"/>
      <c r="AG336" s="1818"/>
    </row>
    <row r="337" spans="1:33" s="1817" customFormat="1" ht="18.75">
      <c r="A337" s="1834"/>
      <c r="B337" s="1847" t="s">
        <v>1842</v>
      </c>
      <c r="C337" s="1846">
        <v>7702</v>
      </c>
      <c r="D337" s="1815"/>
      <c r="E337" s="1842">
        <f>+IF('TRIAL-BALANCE'!C$8=C337,1,0)</f>
        <v>0</v>
      </c>
      <c r="G337" s="1842">
        <v>0</v>
      </c>
      <c r="I337" s="2217">
        <f t="shared" si="22"/>
        <v>0</v>
      </c>
      <c r="P337" s="1818"/>
      <c r="Q337" s="1818"/>
      <c r="R337" s="1818"/>
      <c r="S337" s="1818"/>
      <c r="T337" s="1818"/>
      <c r="U337" s="1818"/>
      <c r="V337" s="1818"/>
      <c r="W337" s="1818"/>
      <c r="X337" s="1818"/>
      <c r="Y337" s="1818"/>
      <c r="Z337" s="1818"/>
      <c r="AA337" s="1818"/>
      <c r="AB337" s="1818"/>
      <c r="AC337" s="1818"/>
      <c r="AD337" s="1818"/>
      <c r="AE337" s="1818"/>
      <c r="AF337" s="1818"/>
      <c r="AG337" s="1818"/>
    </row>
    <row r="338" spans="1:33" s="1817" customFormat="1" ht="18.75">
      <c r="A338" s="1834"/>
      <c r="B338" s="1847" t="s">
        <v>1843</v>
      </c>
      <c r="C338" s="1846">
        <v>7703</v>
      </c>
      <c r="D338" s="1815"/>
      <c r="E338" s="1842">
        <f>+IF('TRIAL-BALANCE'!C$8=C338,1,0)</f>
        <v>0</v>
      </c>
      <c r="G338" s="1842">
        <v>0</v>
      </c>
      <c r="I338" s="2217">
        <f t="shared" si="22"/>
        <v>0</v>
      </c>
      <c r="P338" s="1818"/>
      <c r="Q338" s="1818"/>
      <c r="R338" s="1818"/>
      <c r="S338" s="1818"/>
      <c r="T338" s="1818"/>
      <c r="U338" s="1818"/>
      <c r="V338" s="1818"/>
      <c r="W338" s="1818"/>
      <c r="X338" s="1818"/>
      <c r="Y338" s="1818"/>
      <c r="Z338" s="1818"/>
      <c r="AA338" s="1818"/>
      <c r="AB338" s="1818"/>
      <c r="AC338" s="1818"/>
      <c r="AD338" s="1818"/>
      <c r="AE338" s="1818"/>
      <c r="AF338" s="1818"/>
      <c r="AG338" s="1818"/>
    </row>
    <row r="339" spans="1:33" s="1817" customFormat="1" ht="18.75">
      <c r="A339" s="1834"/>
      <c r="B339" s="1847" t="s">
        <v>1844</v>
      </c>
      <c r="C339" s="1846">
        <v>7704</v>
      </c>
      <c r="D339" s="1815"/>
      <c r="E339" s="1842">
        <f>+IF('TRIAL-BALANCE'!C$8=C339,1,0)</f>
        <v>0</v>
      </c>
      <c r="G339" s="1842">
        <v>0</v>
      </c>
      <c r="I339" s="2217">
        <f t="shared" si="22"/>
        <v>0</v>
      </c>
      <c r="P339" s="1818"/>
      <c r="Q339" s="1818"/>
      <c r="R339" s="1818"/>
      <c r="S339" s="1818"/>
      <c r="T339" s="1818"/>
      <c r="U339" s="1818"/>
      <c r="V339" s="1818"/>
      <c r="W339" s="1818"/>
      <c r="X339" s="1818"/>
      <c r="Y339" s="1818"/>
      <c r="Z339" s="1818"/>
      <c r="AA339" s="1818"/>
      <c r="AB339" s="1818"/>
      <c r="AC339" s="1818"/>
      <c r="AD339" s="1818"/>
      <c r="AE339" s="1818"/>
      <c r="AF339" s="1818"/>
      <c r="AG339" s="1818"/>
    </row>
    <row r="340" spans="1:33" s="1817" customFormat="1" ht="18.75">
      <c r="A340" s="1834"/>
      <c r="B340" s="1847" t="s">
        <v>1845</v>
      </c>
      <c r="C340" s="1846">
        <v>7705</v>
      </c>
      <c r="D340" s="1815"/>
      <c r="E340" s="1842">
        <f>+IF('TRIAL-BALANCE'!C$8=C340,1,0)</f>
        <v>0</v>
      </c>
      <c r="G340" s="1842">
        <v>0</v>
      </c>
      <c r="I340" s="2217">
        <f t="shared" si="22"/>
        <v>0</v>
      </c>
      <c r="P340" s="1818"/>
      <c r="Q340" s="1818"/>
      <c r="R340" s="1818"/>
      <c r="S340" s="1818"/>
      <c r="T340" s="1818"/>
      <c r="U340" s="1818"/>
      <c r="V340" s="1818"/>
      <c r="W340" s="1818"/>
      <c r="X340" s="1818"/>
      <c r="Y340" s="1818"/>
      <c r="Z340" s="1818"/>
      <c r="AA340" s="1818"/>
      <c r="AB340" s="1818"/>
      <c r="AC340" s="1818"/>
      <c r="AD340" s="1818"/>
      <c r="AE340" s="1818"/>
      <c r="AF340" s="1818"/>
      <c r="AG340" s="1818"/>
    </row>
    <row r="341" spans="1:33" s="1817" customFormat="1" ht="18.75">
      <c r="A341" s="1834"/>
      <c r="B341" s="1847" t="s">
        <v>1846</v>
      </c>
      <c r="C341" s="1846">
        <v>7706</v>
      </c>
      <c r="D341" s="1815"/>
      <c r="E341" s="1842">
        <f>+IF('TRIAL-BALANCE'!C$8=C341,1,0)</f>
        <v>0</v>
      </c>
      <c r="G341" s="1842">
        <v>0</v>
      </c>
      <c r="I341" s="2217">
        <f t="shared" si="22"/>
        <v>0</v>
      </c>
      <c r="P341" s="1818"/>
      <c r="Q341" s="1818"/>
      <c r="R341" s="1818"/>
      <c r="S341" s="1818"/>
      <c r="T341" s="1818"/>
      <c r="U341" s="1818"/>
      <c r="V341" s="1818"/>
      <c r="W341" s="1818"/>
      <c r="X341" s="1818"/>
      <c r="Y341" s="1818"/>
      <c r="Z341" s="1818"/>
      <c r="AA341" s="1818"/>
      <c r="AB341" s="1818"/>
      <c r="AC341" s="1818"/>
      <c r="AD341" s="1818"/>
      <c r="AE341" s="1818"/>
      <c r="AF341" s="1818"/>
      <c r="AG341" s="1818"/>
    </row>
    <row r="342" spans="1:33" s="1817" customFormat="1" ht="18.75">
      <c r="A342" s="1834"/>
      <c r="B342" s="1847" t="s">
        <v>1847</v>
      </c>
      <c r="C342" s="1846">
        <v>7707</v>
      </c>
      <c r="D342" s="1815"/>
      <c r="E342" s="1842">
        <f>+IF('TRIAL-BALANCE'!C$8=C342,1,0)</f>
        <v>0</v>
      </c>
      <c r="G342" s="1842">
        <v>0</v>
      </c>
      <c r="I342" s="2217">
        <f t="shared" si="22"/>
        <v>0</v>
      </c>
      <c r="P342" s="1818"/>
      <c r="Q342" s="1818"/>
      <c r="R342" s="1818"/>
      <c r="S342" s="1818"/>
      <c r="T342" s="1818"/>
      <c r="U342" s="1818"/>
      <c r="V342" s="1818"/>
      <c r="W342" s="1818"/>
      <c r="X342" s="1818"/>
      <c r="Y342" s="1818"/>
      <c r="Z342" s="1818"/>
      <c r="AA342" s="1818"/>
      <c r="AB342" s="1818"/>
      <c r="AC342" s="1818"/>
      <c r="AD342" s="1818"/>
      <c r="AE342" s="1818"/>
      <c r="AF342" s="1818"/>
      <c r="AG342" s="1818"/>
    </row>
    <row r="343" spans="1:33" s="1817" customFormat="1" ht="18.75">
      <c r="A343" s="1834"/>
      <c r="B343" s="1847" t="s">
        <v>1848</v>
      </c>
      <c r="C343" s="1846">
        <v>7708</v>
      </c>
      <c r="D343" s="1815"/>
      <c r="E343" s="1842">
        <f>+IF('TRIAL-BALANCE'!C$8=C343,1,0)</f>
        <v>0</v>
      </c>
      <c r="G343" s="1842">
        <v>0</v>
      </c>
      <c r="I343" s="2217">
        <f t="shared" si="22"/>
        <v>0</v>
      </c>
      <c r="P343" s="1818"/>
      <c r="Q343" s="1818"/>
      <c r="R343" s="1818"/>
      <c r="S343" s="1818"/>
      <c r="T343" s="1818"/>
      <c r="U343" s="1818"/>
      <c r="V343" s="1818"/>
      <c r="W343" s="1818"/>
      <c r="X343" s="1818"/>
      <c r="Y343" s="1818"/>
      <c r="Z343" s="1818"/>
      <c r="AA343" s="1818"/>
      <c r="AB343" s="1818"/>
      <c r="AC343" s="1818"/>
      <c r="AD343" s="1818"/>
      <c r="AE343" s="1818"/>
      <c r="AF343" s="1818"/>
      <c r="AG343" s="1818"/>
    </row>
    <row r="344" spans="1:33" s="1817" customFormat="1" ht="18.75">
      <c r="A344" s="1834"/>
      <c r="B344" s="1847" t="s">
        <v>1849</v>
      </c>
      <c r="C344" s="1846">
        <v>7709</v>
      </c>
      <c r="D344" s="1815"/>
      <c r="E344" s="1842">
        <f>+IF('TRIAL-BALANCE'!C$8=C344,1,0)</f>
        <v>0</v>
      </c>
      <c r="G344" s="1842">
        <v>0</v>
      </c>
      <c r="I344" s="2217">
        <f t="shared" si="22"/>
        <v>0</v>
      </c>
      <c r="P344" s="1818"/>
      <c r="Q344" s="1818"/>
      <c r="R344" s="1818"/>
      <c r="S344" s="1818"/>
      <c r="T344" s="1818"/>
      <c r="U344" s="1818"/>
      <c r="V344" s="1818"/>
      <c r="W344" s="1818"/>
      <c r="X344" s="1818"/>
      <c r="Y344" s="1818"/>
      <c r="Z344" s="1818"/>
      <c r="AA344" s="1818"/>
      <c r="AB344" s="1818"/>
      <c r="AC344" s="1818"/>
      <c r="AD344" s="1818"/>
      <c r="AE344" s="1818"/>
      <c r="AF344" s="1818"/>
      <c r="AG344" s="1818"/>
    </row>
    <row r="345" spans="1:33" s="1817" customFormat="1" ht="20.25" thickBot="1">
      <c r="A345" s="1834"/>
      <c r="B345" s="1867" t="s">
        <v>1850</v>
      </c>
      <c r="C345" s="1849">
        <v>7710</v>
      </c>
      <c r="D345" s="1815"/>
      <c r="E345" s="1850">
        <f>+IF('TRIAL-BALANCE'!C$8=C345,1,0)</f>
        <v>0</v>
      </c>
      <c r="G345" s="1850">
        <v>0</v>
      </c>
      <c r="I345" s="2217">
        <f t="shared" si="22"/>
        <v>0</v>
      </c>
      <c r="P345" s="1818"/>
      <c r="Q345" s="1818"/>
      <c r="R345" s="1818"/>
      <c r="S345" s="1818"/>
      <c r="T345" s="1818"/>
      <c r="U345" s="1818"/>
      <c r="V345" s="1818"/>
      <c r="W345" s="1818"/>
      <c r="X345" s="1818"/>
      <c r="Y345" s="1818"/>
      <c r="Z345" s="1818"/>
      <c r="AA345" s="1818"/>
      <c r="AB345" s="1818"/>
      <c r="AC345" s="1818"/>
      <c r="AD345" s="1818"/>
      <c r="AE345" s="1818"/>
      <c r="AF345" s="1818"/>
      <c r="AG345" s="1818"/>
    </row>
    <row r="346" spans="1:33" s="1817" customFormat="1" ht="9" customHeight="1" thickBot="1">
      <c r="A346" s="1851"/>
      <c r="B346" s="1831"/>
      <c r="C346" s="1852"/>
      <c r="D346" s="1815"/>
      <c r="E346" s="1816"/>
      <c r="G346" s="1816"/>
      <c r="I346" s="1816"/>
      <c r="P346" s="1818"/>
      <c r="Q346" s="1818"/>
      <c r="R346" s="1818"/>
      <c r="S346" s="1818"/>
      <c r="T346" s="1818"/>
      <c r="U346" s="1818"/>
      <c r="V346" s="1818"/>
      <c r="W346" s="1818"/>
      <c r="X346" s="1818"/>
      <c r="Y346" s="1818"/>
      <c r="Z346" s="1818"/>
      <c r="AA346" s="1818"/>
      <c r="AB346" s="1818"/>
      <c r="AC346" s="1818"/>
      <c r="AD346" s="1818"/>
      <c r="AE346" s="1818"/>
      <c r="AF346" s="1818"/>
      <c r="AG346" s="1818"/>
    </row>
    <row r="347" spans="1:33" s="1817" customFormat="1" ht="18.75">
      <c r="A347" s="1834"/>
      <c r="B347" s="1835" t="s">
        <v>1851</v>
      </c>
      <c r="C347" s="1836" t="s">
        <v>1852</v>
      </c>
      <c r="D347" s="1815"/>
      <c r="E347" s="1816"/>
      <c r="G347" s="1816"/>
      <c r="I347" s="1816"/>
      <c r="P347" s="1818"/>
      <c r="Q347" s="1818"/>
      <c r="R347" s="1818"/>
      <c r="S347" s="1818"/>
      <c r="T347" s="1818"/>
      <c r="U347" s="1818"/>
      <c r="V347" s="1818"/>
      <c r="W347" s="1818"/>
      <c r="X347" s="1818"/>
      <c r="Y347" s="1818"/>
      <c r="Z347" s="1818"/>
      <c r="AA347" s="1818"/>
      <c r="AB347" s="1818"/>
      <c r="AC347" s="1818"/>
      <c r="AD347" s="1818"/>
      <c r="AE347" s="1818"/>
      <c r="AF347" s="1818"/>
      <c r="AG347" s="1818"/>
    </row>
    <row r="348" spans="1:33" s="1817" customFormat="1" ht="18.75">
      <c r="A348" s="1834"/>
      <c r="B348" s="1855" t="s">
        <v>1853</v>
      </c>
      <c r="C348" s="1856">
        <v>7801</v>
      </c>
      <c r="D348" s="1815"/>
      <c r="E348" s="1839">
        <f>+IF('TRIAL-BALANCE'!C$8=C348,1,0)</f>
        <v>0</v>
      </c>
      <c r="G348" s="1839">
        <v>0</v>
      </c>
      <c r="I348" s="2217">
        <f>+E348+G348</f>
        <v>0</v>
      </c>
      <c r="P348" s="1818"/>
      <c r="Q348" s="1818"/>
      <c r="R348" s="1818"/>
      <c r="S348" s="1818"/>
      <c r="T348" s="1818"/>
      <c r="U348" s="1818"/>
      <c r="V348" s="1818"/>
      <c r="W348" s="1818"/>
      <c r="X348" s="1818"/>
      <c r="Y348" s="1818"/>
      <c r="Z348" s="1818"/>
      <c r="AA348" s="1818"/>
      <c r="AB348" s="1818"/>
      <c r="AC348" s="1818"/>
      <c r="AD348" s="1818"/>
      <c r="AE348" s="1818"/>
      <c r="AF348" s="1818"/>
      <c r="AG348" s="1818"/>
    </row>
    <row r="349" spans="1:33" s="1817" customFormat="1" ht="18.75">
      <c r="A349" s="1834"/>
      <c r="B349" s="1847" t="s">
        <v>1854</v>
      </c>
      <c r="C349" s="1846">
        <v>7802</v>
      </c>
      <c r="D349" s="1815"/>
      <c r="E349" s="1842">
        <f>+IF('TRIAL-BALANCE'!C$8=C349,1,0)</f>
        <v>0</v>
      </c>
      <c r="G349" s="1842">
        <v>0</v>
      </c>
      <c r="I349" s="2217">
        <f>+E349+G349</f>
        <v>0</v>
      </c>
      <c r="P349" s="1818"/>
      <c r="Q349" s="1818"/>
      <c r="R349" s="1818"/>
      <c r="S349" s="1818"/>
      <c r="T349" s="1818"/>
      <c r="U349" s="1818"/>
      <c r="V349" s="1818"/>
      <c r="W349" s="1818"/>
      <c r="X349" s="1818"/>
      <c r="Y349" s="1818"/>
      <c r="Z349" s="1818"/>
      <c r="AA349" s="1818"/>
      <c r="AB349" s="1818"/>
      <c r="AC349" s="1818"/>
      <c r="AD349" s="1818"/>
      <c r="AE349" s="1818"/>
      <c r="AF349" s="1818"/>
      <c r="AG349" s="1818"/>
    </row>
    <row r="350" spans="1:33" s="1817" customFormat="1" ht="18.75">
      <c r="A350" s="1834"/>
      <c r="B350" s="1847" t="s">
        <v>1855</v>
      </c>
      <c r="C350" s="1846">
        <v>7803</v>
      </c>
      <c r="D350" s="1815"/>
      <c r="E350" s="1842">
        <f>+IF('TRIAL-BALANCE'!C$8=C350,1,0)</f>
        <v>0</v>
      </c>
      <c r="G350" s="1842">
        <v>0</v>
      </c>
      <c r="I350" s="2217">
        <f>+E350+G350</f>
        <v>0</v>
      </c>
      <c r="P350" s="1818"/>
      <c r="Q350" s="1818"/>
      <c r="R350" s="1818"/>
      <c r="S350" s="1818"/>
      <c r="T350" s="1818"/>
      <c r="U350" s="1818"/>
      <c r="V350" s="1818"/>
      <c r="W350" s="1818"/>
      <c r="X350" s="1818"/>
      <c r="Y350" s="1818"/>
      <c r="Z350" s="1818"/>
      <c r="AA350" s="1818"/>
      <c r="AB350" s="1818"/>
      <c r="AC350" s="1818"/>
      <c r="AD350" s="1818"/>
      <c r="AE350" s="1818"/>
      <c r="AF350" s="1818"/>
      <c r="AG350" s="1818"/>
    </row>
    <row r="351" spans="1:33" s="1817" customFormat="1" ht="18.75">
      <c r="A351" s="1834"/>
      <c r="B351" s="1847" t="s">
        <v>1856</v>
      </c>
      <c r="C351" s="1846">
        <v>7804</v>
      </c>
      <c r="D351" s="1815"/>
      <c r="E351" s="1842">
        <f>+IF('TRIAL-BALANCE'!C$8=C351,1,0)</f>
        <v>0</v>
      </c>
      <c r="G351" s="1842">
        <v>0</v>
      </c>
      <c r="I351" s="2217">
        <f>+E351+G351</f>
        <v>0</v>
      </c>
      <c r="P351" s="1818"/>
      <c r="Q351" s="1818"/>
      <c r="R351" s="1818"/>
      <c r="S351" s="1818"/>
      <c r="T351" s="1818"/>
      <c r="U351" s="1818"/>
      <c r="V351" s="1818"/>
      <c r="W351" s="1818"/>
      <c r="X351" s="1818"/>
      <c r="Y351" s="1818"/>
      <c r="Z351" s="1818"/>
      <c r="AA351" s="1818"/>
      <c r="AB351" s="1818"/>
      <c r="AC351" s="1818"/>
      <c r="AD351" s="1818"/>
      <c r="AE351" s="1818"/>
      <c r="AF351" s="1818"/>
      <c r="AG351" s="1818"/>
    </row>
    <row r="352" spans="1:33" s="1817" customFormat="1" ht="20.25" thickBot="1">
      <c r="A352" s="1834"/>
      <c r="B352" s="1867" t="s">
        <v>1857</v>
      </c>
      <c r="C352" s="1849">
        <v>7805</v>
      </c>
      <c r="D352" s="1815"/>
      <c r="E352" s="1850">
        <f>+IF('TRIAL-BALANCE'!C$8=C352,1,0)</f>
        <v>0</v>
      </c>
      <c r="G352" s="1850">
        <v>0</v>
      </c>
      <c r="I352" s="2217">
        <f>+E352+G352</f>
        <v>0</v>
      </c>
      <c r="P352" s="1818"/>
      <c r="Q352" s="1818"/>
      <c r="R352" s="1818"/>
      <c r="S352" s="1818"/>
      <c r="T352" s="1818"/>
      <c r="U352" s="1818"/>
      <c r="V352" s="1818"/>
      <c r="W352" s="1818"/>
      <c r="X352" s="1818"/>
      <c r="Y352" s="1818"/>
      <c r="Z352" s="1818"/>
      <c r="AA352" s="1818"/>
      <c r="AB352" s="1818"/>
      <c r="AC352" s="1818"/>
      <c r="AD352" s="1818"/>
      <c r="AE352" s="1818"/>
      <c r="AF352" s="1818"/>
      <c r="AG352" s="1818"/>
    </row>
    <row r="353" spans="1:33" s="1872" customFormat="1" ht="15" customHeight="1">
      <c r="A353" s="1870"/>
      <c r="B353" s="1871"/>
      <c r="C353" s="1871"/>
      <c r="E353" s="1816"/>
      <c r="G353" s="1816"/>
      <c r="P353" s="1873"/>
      <c r="Q353" s="1873"/>
      <c r="R353" s="1873"/>
      <c r="S353" s="1873"/>
      <c r="T353" s="1873"/>
      <c r="U353" s="1873"/>
      <c r="V353" s="1873"/>
      <c r="W353" s="1873"/>
      <c r="X353" s="1873"/>
      <c r="Y353" s="1873"/>
      <c r="Z353" s="1873"/>
      <c r="AA353" s="1873"/>
      <c r="AB353" s="1873"/>
      <c r="AC353" s="1873"/>
      <c r="AD353" s="1873"/>
      <c r="AE353" s="1873"/>
      <c r="AF353" s="1873"/>
      <c r="AG353" s="1873"/>
    </row>
    <row r="354" spans="1:33" s="1872" customFormat="1" ht="20.25" customHeight="1" thickBot="1">
      <c r="A354" s="2108" t="s">
        <v>2023</v>
      </c>
      <c r="B354" s="2109"/>
      <c r="C354" s="1871"/>
      <c r="E354" s="1816"/>
      <c r="G354" s="1816"/>
      <c r="P354" s="1873"/>
      <c r="Q354" s="1873"/>
      <c r="R354" s="1873"/>
      <c r="S354" s="1873"/>
      <c r="T354" s="1873"/>
      <c r="U354" s="1873"/>
      <c r="V354" s="1873"/>
      <c r="W354" s="1873"/>
      <c r="X354" s="1873"/>
      <c r="Y354" s="1873"/>
      <c r="Z354" s="1873"/>
      <c r="AA354" s="1873"/>
      <c r="AB354" s="1873"/>
      <c r="AC354" s="1873"/>
      <c r="AD354" s="1873"/>
      <c r="AE354" s="1873"/>
      <c r="AF354" s="1873"/>
      <c r="AG354" s="1873"/>
    </row>
    <row r="355" spans="1:33" s="1872" customFormat="1" ht="18.75" customHeight="1" thickBot="1">
      <c r="A355" s="2097"/>
      <c r="B355" s="2098" t="s">
        <v>2017</v>
      </c>
      <c r="C355" s="2099" t="s">
        <v>2018</v>
      </c>
      <c r="E355" s="1830">
        <f>SUM(E357:E360)</f>
        <v>0</v>
      </c>
      <c r="G355" s="1816"/>
      <c r="P355" s="1873"/>
      <c r="Q355" s="1873"/>
      <c r="R355" s="1873"/>
      <c r="S355" s="1873"/>
      <c r="T355" s="1873"/>
      <c r="U355" s="1873"/>
      <c r="V355" s="1873"/>
      <c r="W355" s="1873"/>
      <c r="X355" s="1873"/>
      <c r="Y355" s="1873"/>
      <c r="Z355" s="1873"/>
      <c r="AA355" s="1873"/>
      <c r="AB355" s="1873"/>
      <c r="AC355" s="1873"/>
      <c r="AD355" s="1873"/>
      <c r="AE355" s="1873"/>
      <c r="AF355" s="1873"/>
      <c r="AG355" s="1873"/>
    </row>
    <row r="356" spans="1:33" s="1872" customFormat="1" ht="15" customHeight="1" thickBot="1">
      <c r="A356" s="2097"/>
      <c r="B356" s="2100" t="s">
        <v>1009</v>
      </c>
      <c r="C356" s="2100" t="s">
        <v>1010</v>
      </c>
      <c r="E356" s="1816"/>
      <c r="G356" s="1816"/>
      <c r="P356" s="1873"/>
      <c r="Q356" s="1873"/>
      <c r="R356" s="1873"/>
      <c r="S356" s="1873"/>
      <c r="T356" s="1873"/>
      <c r="U356" s="1873"/>
      <c r="V356" s="1873"/>
      <c r="W356" s="1873"/>
      <c r="X356" s="1873"/>
      <c r="Y356" s="1873"/>
      <c r="Z356" s="1873"/>
      <c r="AA356" s="1873"/>
      <c r="AB356" s="1873"/>
      <c r="AC356" s="1873"/>
      <c r="AD356" s="1873"/>
      <c r="AE356" s="1873"/>
      <c r="AF356" s="1873"/>
      <c r="AG356" s="1873"/>
    </row>
    <row r="357" spans="1:33" s="1872" customFormat="1" ht="18.75" customHeight="1">
      <c r="A357" s="2101"/>
      <c r="B357" s="2102" t="s">
        <v>2019</v>
      </c>
      <c r="C357" s="2103">
        <v>5500</v>
      </c>
      <c r="D357" s="1874"/>
      <c r="E357" s="1839">
        <f>+IF('TRIAL-BALANCE'!C$8=C357,1,0)</f>
        <v>0</v>
      </c>
      <c r="F357" s="1817"/>
      <c r="G357" s="1816"/>
      <c r="H357" s="1817"/>
      <c r="P357" s="1873"/>
      <c r="Q357" s="1873"/>
      <c r="R357" s="1873"/>
      <c r="S357" s="1873"/>
      <c r="T357" s="1873"/>
      <c r="U357" s="1873"/>
      <c r="V357" s="1873"/>
      <c r="W357" s="1873"/>
      <c r="X357" s="1873"/>
      <c r="Y357" s="1873"/>
      <c r="Z357" s="1873"/>
      <c r="AA357" s="1873"/>
      <c r="AB357" s="1873"/>
      <c r="AC357" s="1873"/>
      <c r="AD357" s="1873"/>
      <c r="AE357" s="1873"/>
      <c r="AF357" s="1873"/>
      <c r="AG357" s="1873"/>
    </row>
    <row r="358" spans="1:33" s="1817" customFormat="1" ht="18.75" customHeight="1">
      <c r="A358" s="2101"/>
      <c r="B358" s="2104" t="s">
        <v>2020</v>
      </c>
      <c r="C358" s="2105">
        <v>5591</v>
      </c>
      <c r="E358" s="1842">
        <f>+IF('TRIAL-BALANCE'!C$8=C358,1,0)</f>
        <v>0</v>
      </c>
      <c r="G358" s="1816"/>
      <c r="P358" s="1818"/>
      <c r="Q358" s="1818"/>
      <c r="R358" s="1818"/>
      <c r="S358" s="1818"/>
      <c r="T358" s="1818"/>
      <c r="U358" s="1818"/>
      <c r="V358" s="1818"/>
      <c r="W358" s="1818"/>
      <c r="X358" s="1818"/>
      <c r="Y358" s="1818"/>
      <c r="Z358" s="1818"/>
      <c r="AA358" s="1818"/>
      <c r="AB358" s="1818"/>
      <c r="AC358" s="1818"/>
      <c r="AD358" s="1818"/>
      <c r="AE358" s="1818"/>
      <c r="AF358" s="1818"/>
      <c r="AG358" s="1818"/>
    </row>
    <row r="359" spans="1:33" s="1817" customFormat="1" ht="18.75" customHeight="1">
      <c r="A359" s="2101"/>
      <c r="B359" s="2104" t="s">
        <v>2021</v>
      </c>
      <c r="C359" s="2105">
        <v>5592</v>
      </c>
      <c r="E359" s="1842">
        <f>+IF('TRIAL-BALANCE'!C$8=C359,1,0)</f>
        <v>0</v>
      </c>
      <c r="G359" s="1816"/>
      <c r="P359" s="1818"/>
      <c r="Q359" s="1818"/>
      <c r="R359" s="1818"/>
      <c r="S359" s="1818"/>
      <c r="T359" s="1818"/>
      <c r="U359" s="1818"/>
      <c r="V359" s="1818"/>
      <c r="W359" s="1818"/>
      <c r="X359" s="1818"/>
      <c r="Y359" s="1818"/>
      <c r="Z359" s="1818"/>
      <c r="AA359" s="1818"/>
      <c r="AB359" s="1818"/>
      <c r="AC359" s="1818"/>
      <c r="AD359" s="1818"/>
      <c r="AE359" s="1818"/>
      <c r="AF359" s="1818"/>
      <c r="AG359" s="1818"/>
    </row>
    <row r="360" spans="1:33" s="1817" customFormat="1" ht="18.75" customHeight="1" thickBot="1">
      <c r="A360" s="2101"/>
      <c r="B360" s="2106" t="s">
        <v>2022</v>
      </c>
      <c r="C360" s="2107">
        <v>5600</v>
      </c>
      <c r="E360" s="1850">
        <f>+IF('TRIAL-BALANCE'!C$8=C360,1,0)</f>
        <v>0</v>
      </c>
      <c r="G360" s="1816"/>
      <c r="P360" s="1818"/>
      <c r="Q360" s="1818"/>
      <c r="R360" s="1818"/>
      <c r="S360" s="1818"/>
      <c r="T360" s="1818"/>
      <c r="U360" s="1818"/>
      <c r="V360" s="1818"/>
      <c r="W360" s="1818"/>
      <c r="X360" s="1818"/>
      <c r="Y360" s="1818"/>
      <c r="Z360" s="1818"/>
      <c r="AA360" s="1818"/>
      <c r="AB360" s="1818"/>
      <c r="AC360" s="1818"/>
      <c r="AD360" s="1818"/>
      <c r="AE360" s="1818"/>
      <c r="AF360" s="1818"/>
      <c r="AG360" s="1818"/>
    </row>
    <row r="361" spans="1:33" s="1817" customFormat="1">
      <c r="A361" s="2110"/>
      <c r="B361" s="2110"/>
      <c r="C361" s="2110"/>
      <c r="E361" s="1816"/>
      <c r="G361" s="1816"/>
      <c r="P361" s="1818"/>
      <c r="Q361" s="1818"/>
      <c r="R361" s="1818"/>
      <c r="S361" s="1818"/>
      <c r="T361" s="1818"/>
      <c r="U361" s="1818"/>
      <c r="V361" s="1818"/>
      <c r="W361" s="1818"/>
      <c r="X361" s="1818"/>
      <c r="Y361" s="1818"/>
      <c r="Z361" s="1818"/>
      <c r="AA361" s="1818"/>
      <c r="AB361" s="1818"/>
      <c r="AC361" s="1818"/>
      <c r="AD361" s="1818"/>
      <c r="AE361" s="1818"/>
      <c r="AF361" s="1818"/>
      <c r="AG361" s="1818"/>
    </row>
    <row r="362" spans="1:33" s="1817" customFormat="1" ht="20.25" customHeight="1">
      <c r="A362" s="2110"/>
      <c r="B362" s="2110"/>
      <c r="C362" s="2110"/>
      <c r="E362" s="1830">
        <f>+E6+E355</f>
        <v>0</v>
      </c>
      <c r="G362" s="1816"/>
      <c r="P362" s="1818"/>
      <c r="Q362" s="1818"/>
      <c r="R362" s="1818"/>
      <c r="S362" s="1818"/>
      <c r="T362" s="1818"/>
      <c r="U362" s="1818"/>
      <c r="V362" s="1818"/>
      <c r="W362" s="1818"/>
      <c r="X362" s="1818"/>
      <c r="Y362" s="1818"/>
      <c r="Z362" s="1818"/>
      <c r="AA362" s="1818"/>
      <c r="AB362" s="1818"/>
      <c r="AC362" s="1818"/>
      <c r="AD362" s="1818"/>
      <c r="AE362" s="1818"/>
      <c r="AF362" s="1818"/>
      <c r="AG362" s="1818"/>
    </row>
    <row r="363" spans="1:33" s="1817" customFormat="1">
      <c r="E363" s="1816"/>
      <c r="G363" s="1816"/>
      <c r="P363" s="1818"/>
      <c r="Q363" s="1818"/>
      <c r="R363" s="1818"/>
      <c r="S363" s="1818"/>
      <c r="T363" s="1818"/>
      <c r="U363" s="1818"/>
      <c r="V363" s="1818"/>
      <c r="W363" s="1818"/>
      <c r="X363" s="1818"/>
      <c r="Y363" s="1818"/>
      <c r="Z363" s="1818"/>
      <c r="AA363" s="1818"/>
      <c r="AB363" s="1818"/>
      <c r="AC363" s="1818"/>
      <c r="AD363" s="1818"/>
      <c r="AE363" s="1818"/>
      <c r="AF363" s="1818"/>
      <c r="AG363" s="1818"/>
    </row>
    <row r="364" spans="1:33" s="1817" customFormat="1">
      <c r="E364" s="1816"/>
      <c r="G364" s="1816"/>
      <c r="P364" s="1818"/>
      <c r="Q364" s="1818"/>
      <c r="R364" s="1818"/>
      <c r="S364" s="1818"/>
      <c r="T364" s="1818"/>
      <c r="U364" s="1818"/>
      <c r="V364" s="1818"/>
      <c r="W364" s="1818"/>
      <c r="X364" s="1818"/>
      <c r="Y364" s="1818"/>
      <c r="Z364" s="1818"/>
      <c r="AA364" s="1818"/>
      <c r="AB364" s="1818"/>
      <c r="AC364" s="1818"/>
      <c r="AD364" s="1818"/>
      <c r="AE364" s="1818"/>
      <c r="AF364" s="1818"/>
      <c r="AG364" s="1818"/>
    </row>
    <row r="365" spans="1:33" s="1817" customFormat="1">
      <c r="E365" s="1816"/>
      <c r="G365" s="1816"/>
      <c r="P365" s="1818"/>
      <c r="Q365" s="1818"/>
      <c r="R365" s="1818"/>
      <c r="S365" s="1818"/>
      <c r="T365" s="1818"/>
      <c r="U365" s="1818"/>
      <c r="V365" s="1818"/>
      <c r="W365" s="1818"/>
      <c r="X365" s="1818"/>
      <c r="Y365" s="1818"/>
      <c r="Z365" s="1818"/>
      <c r="AA365" s="1818"/>
      <c r="AB365" s="1818"/>
      <c r="AC365" s="1818"/>
      <c r="AD365" s="1818"/>
      <c r="AE365" s="1818"/>
      <c r="AF365" s="1818"/>
      <c r="AG365" s="1818"/>
    </row>
    <row r="366" spans="1:33" s="1817" customFormat="1">
      <c r="E366" s="1816"/>
      <c r="G366" s="1816"/>
      <c r="P366" s="1818"/>
      <c r="Q366" s="1818"/>
      <c r="R366" s="1818"/>
      <c r="S366" s="1818"/>
      <c r="T366" s="1818"/>
      <c r="U366" s="1818"/>
      <c r="V366" s="1818"/>
      <c r="W366" s="1818"/>
      <c r="X366" s="1818"/>
      <c r="Y366" s="1818"/>
      <c r="Z366" s="1818"/>
      <c r="AA366" s="1818"/>
      <c r="AB366" s="1818"/>
      <c r="AC366" s="1818"/>
      <c r="AD366" s="1818"/>
      <c r="AE366" s="1818"/>
      <c r="AF366" s="1818"/>
      <c r="AG366" s="1818"/>
    </row>
    <row r="367" spans="1:33" s="1817" customFormat="1">
      <c r="E367" s="1816"/>
      <c r="G367" s="1816"/>
      <c r="P367" s="1818"/>
      <c r="Q367" s="1818"/>
      <c r="R367" s="1818"/>
      <c r="S367" s="1818"/>
      <c r="T367" s="1818"/>
      <c r="U367" s="1818"/>
      <c r="V367" s="1818"/>
      <c r="W367" s="1818"/>
      <c r="X367" s="1818"/>
      <c r="Y367" s="1818"/>
      <c r="Z367" s="1818"/>
      <c r="AA367" s="1818"/>
      <c r="AB367" s="1818"/>
      <c r="AC367" s="1818"/>
      <c r="AD367" s="1818"/>
      <c r="AE367" s="1818"/>
      <c r="AF367" s="1818"/>
      <c r="AG367" s="1818"/>
    </row>
    <row r="368" spans="1:33" s="1817" customFormat="1">
      <c r="E368" s="1816"/>
      <c r="G368" s="1816"/>
      <c r="P368" s="1818"/>
      <c r="Q368" s="1818"/>
      <c r="R368" s="1818"/>
      <c r="S368" s="1818"/>
      <c r="T368" s="1818"/>
      <c r="U368" s="1818"/>
      <c r="V368" s="1818"/>
      <c r="W368" s="1818"/>
      <c r="X368" s="1818"/>
      <c r="Y368" s="1818"/>
      <c r="Z368" s="1818"/>
      <c r="AA368" s="1818"/>
      <c r="AB368" s="1818"/>
      <c r="AC368" s="1818"/>
      <c r="AD368" s="1818"/>
      <c r="AE368" s="1818"/>
      <c r="AF368" s="1818"/>
      <c r="AG368" s="1818"/>
    </row>
    <row r="369" spans="5:33" s="1817" customFormat="1">
      <c r="E369" s="1816"/>
      <c r="G369" s="1816"/>
      <c r="P369" s="1818"/>
      <c r="Q369" s="1818"/>
      <c r="R369" s="1818"/>
      <c r="S369" s="1818"/>
      <c r="T369" s="1818"/>
      <c r="U369" s="1818"/>
      <c r="V369" s="1818"/>
      <c r="W369" s="1818"/>
      <c r="X369" s="1818"/>
      <c r="Y369" s="1818"/>
      <c r="Z369" s="1818"/>
      <c r="AA369" s="1818"/>
      <c r="AB369" s="1818"/>
      <c r="AC369" s="1818"/>
      <c r="AD369" s="1818"/>
      <c r="AE369" s="1818"/>
      <c r="AF369" s="1818"/>
      <c r="AG369" s="1818"/>
    </row>
    <row r="370" spans="5:33" s="1817" customFormat="1">
      <c r="E370" s="1816"/>
      <c r="G370" s="1816"/>
      <c r="P370" s="1818"/>
      <c r="Q370" s="1818"/>
      <c r="R370" s="1818"/>
      <c r="S370" s="1818"/>
      <c r="T370" s="1818"/>
      <c r="U370" s="1818"/>
      <c r="V370" s="1818"/>
      <c r="W370" s="1818"/>
      <c r="X370" s="1818"/>
      <c r="Y370" s="1818"/>
      <c r="Z370" s="1818"/>
      <c r="AA370" s="1818"/>
      <c r="AB370" s="1818"/>
      <c r="AC370" s="1818"/>
      <c r="AD370" s="1818"/>
      <c r="AE370" s="1818"/>
      <c r="AF370" s="1818"/>
      <c r="AG370" s="1818"/>
    </row>
    <row r="371" spans="5:33" s="1817" customFormat="1">
      <c r="E371" s="1816"/>
      <c r="G371" s="1816"/>
      <c r="P371" s="1818"/>
      <c r="Q371" s="1818"/>
      <c r="R371" s="1818"/>
      <c r="S371" s="1818"/>
      <c r="T371" s="1818"/>
      <c r="U371" s="1818"/>
      <c r="V371" s="1818"/>
      <c r="W371" s="1818"/>
      <c r="X371" s="1818"/>
      <c r="Y371" s="1818"/>
      <c r="Z371" s="1818"/>
      <c r="AA371" s="1818"/>
      <c r="AB371" s="1818"/>
      <c r="AC371" s="1818"/>
      <c r="AD371" s="1818"/>
      <c r="AE371" s="1818"/>
      <c r="AF371" s="1818"/>
      <c r="AG371" s="1818"/>
    </row>
    <row r="372" spans="5:33" s="1817" customFormat="1">
      <c r="E372" s="1816"/>
      <c r="G372" s="1816"/>
      <c r="P372" s="1818"/>
      <c r="Q372" s="1818"/>
      <c r="R372" s="1818"/>
      <c r="S372" s="1818"/>
      <c r="T372" s="1818"/>
      <c r="U372" s="1818"/>
      <c r="V372" s="1818"/>
      <c r="W372" s="1818"/>
      <c r="X372" s="1818"/>
      <c r="Y372" s="1818"/>
      <c r="Z372" s="1818"/>
      <c r="AA372" s="1818"/>
      <c r="AB372" s="1818"/>
      <c r="AC372" s="1818"/>
      <c r="AD372" s="1818"/>
      <c r="AE372" s="1818"/>
      <c r="AF372" s="1818"/>
      <c r="AG372" s="1818"/>
    </row>
    <row r="373" spans="5:33" s="1817" customFormat="1">
      <c r="E373" s="1816"/>
      <c r="G373" s="1816"/>
      <c r="P373" s="1818"/>
      <c r="Q373" s="1818"/>
      <c r="R373" s="1818"/>
      <c r="S373" s="1818"/>
      <c r="T373" s="1818"/>
      <c r="U373" s="1818"/>
      <c r="V373" s="1818"/>
      <c r="W373" s="1818"/>
      <c r="X373" s="1818"/>
      <c r="Y373" s="1818"/>
      <c r="Z373" s="1818"/>
      <c r="AA373" s="1818"/>
      <c r="AB373" s="1818"/>
      <c r="AC373" s="1818"/>
      <c r="AD373" s="1818"/>
      <c r="AE373" s="1818"/>
      <c r="AF373" s="1818"/>
      <c r="AG373" s="1818"/>
    </row>
    <row r="374" spans="5:33" s="1817" customFormat="1">
      <c r="E374" s="1816"/>
      <c r="G374" s="1816"/>
      <c r="P374" s="1818"/>
      <c r="Q374" s="1818"/>
      <c r="R374" s="1818"/>
      <c r="S374" s="1818"/>
      <c r="T374" s="1818"/>
      <c r="U374" s="1818"/>
      <c r="V374" s="1818"/>
      <c r="W374" s="1818"/>
      <c r="X374" s="1818"/>
      <c r="Y374" s="1818"/>
      <c r="Z374" s="1818"/>
      <c r="AA374" s="1818"/>
      <c r="AB374" s="1818"/>
      <c r="AC374" s="1818"/>
      <c r="AD374" s="1818"/>
      <c r="AE374" s="1818"/>
      <c r="AF374" s="1818"/>
      <c r="AG374" s="1818"/>
    </row>
    <row r="375" spans="5:33" s="1817" customFormat="1">
      <c r="E375" s="1816"/>
      <c r="G375" s="1816"/>
      <c r="P375" s="1818"/>
      <c r="Q375" s="1818"/>
      <c r="R375" s="1818"/>
      <c r="S375" s="1818"/>
      <c r="T375" s="1818"/>
      <c r="U375" s="1818"/>
      <c r="V375" s="1818"/>
      <c r="W375" s="1818"/>
      <c r="X375" s="1818"/>
      <c r="Y375" s="1818"/>
      <c r="Z375" s="1818"/>
      <c r="AA375" s="1818"/>
      <c r="AB375" s="1818"/>
      <c r="AC375" s="1818"/>
      <c r="AD375" s="1818"/>
      <c r="AE375" s="1818"/>
      <c r="AF375" s="1818"/>
      <c r="AG375" s="1818"/>
    </row>
    <row r="376" spans="5:33" s="1817" customFormat="1">
      <c r="E376" s="1816"/>
      <c r="G376" s="1816"/>
      <c r="P376" s="1818"/>
      <c r="Q376" s="1818"/>
      <c r="R376" s="1818"/>
      <c r="S376" s="1818"/>
      <c r="T376" s="1818"/>
      <c r="U376" s="1818"/>
      <c r="V376" s="1818"/>
      <c r="W376" s="1818"/>
      <c r="X376" s="1818"/>
      <c r="Y376" s="1818"/>
      <c r="Z376" s="1818"/>
      <c r="AA376" s="1818"/>
      <c r="AB376" s="1818"/>
      <c r="AC376" s="1818"/>
      <c r="AD376" s="1818"/>
      <c r="AE376" s="1818"/>
      <c r="AF376" s="1818"/>
      <c r="AG376" s="1818"/>
    </row>
    <row r="377" spans="5:33" s="1817" customFormat="1">
      <c r="E377" s="1816"/>
      <c r="G377" s="1816"/>
      <c r="P377" s="1818"/>
      <c r="Q377" s="1818"/>
      <c r="R377" s="1818"/>
      <c r="S377" s="1818"/>
      <c r="T377" s="1818"/>
      <c r="U377" s="1818"/>
      <c r="V377" s="1818"/>
      <c r="W377" s="1818"/>
      <c r="X377" s="1818"/>
      <c r="Y377" s="1818"/>
      <c r="Z377" s="1818"/>
      <c r="AA377" s="1818"/>
      <c r="AB377" s="1818"/>
      <c r="AC377" s="1818"/>
      <c r="AD377" s="1818"/>
      <c r="AE377" s="1818"/>
      <c r="AF377" s="1818"/>
      <c r="AG377" s="1818"/>
    </row>
    <row r="378" spans="5:33" s="1817" customFormat="1">
      <c r="E378" s="1816"/>
      <c r="G378" s="1816"/>
      <c r="P378" s="1818"/>
      <c r="Q378" s="1818"/>
      <c r="R378" s="1818"/>
      <c r="S378" s="1818"/>
      <c r="T378" s="1818"/>
      <c r="U378" s="1818"/>
      <c r="V378" s="1818"/>
      <c r="W378" s="1818"/>
      <c r="X378" s="1818"/>
      <c r="Y378" s="1818"/>
      <c r="Z378" s="1818"/>
      <c r="AA378" s="1818"/>
      <c r="AB378" s="1818"/>
      <c r="AC378" s="1818"/>
      <c r="AD378" s="1818"/>
      <c r="AE378" s="1818"/>
      <c r="AF378" s="1818"/>
      <c r="AG378" s="1818"/>
    </row>
    <row r="379" spans="5:33" s="1817" customFormat="1">
      <c r="E379" s="1816"/>
      <c r="G379" s="1816"/>
      <c r="P379" s="1818"/>
      <c r="Q379" s="1818"/>
      <c r="R379" s="1818"/>
      <c r="S379" s="1818"/>
      <c r="T379" s="1818"/>
      <c r="U379" s="1818"/>
      <c r="V379" s="1818"/>
      <c r="W379" s="1818"/>
      <c r="X379" s="1818"/>
      <c r="Y379" s="1818"/>
      <c r="Z379" s="1818"/>
      <c r="AA379" s="1818"/>
      <c r="AB379" s="1818"/>
      <c r="AC379" s="1818"/>
      <c r="AD379" s="1818"/>
      <c r="AE379" s="1818"/>
      <c r="AF379" s="1818"/>
      <c r="AG379" s="1818"/>
    </row>
    <row r="380" spans="5:33" s="1817" customFormat="1">
      <c r="E380" s="1816"/>
      <c r="G380" s="1816"/>
      <c r="P380" s="1818"/>
      <c r="Q380" s="1818"/>
      <c r="R380" s="1818"/>
      <c r="S380" s="1818"/>
      <c r="T380" s="1818"/>
      <c r="U380" s="1818"/>
      <c r="V380" s="1818"/>
      <c r="W380" s="1818"/>
      <c r="X380" s="1818"/>
      <c r="Y380" s="1818"/>
      <c r="Z380" s="1818"/>
      <c r="AA380" s="1818"/>
      <c r="AB380" s="1818"/>
      <c r="AC380" s="1818"/>
      <c r="AD380" s="1818"/>
      <c r="AE380" s="1818"/>
      <c r="AF380" s="1818"/>
      <c r="AG380" s="1818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7"/>
  <sheetViews>
    <sheetView showZeros="0" zoomScaleNormal="100" workbookViewId="0"/>
  </sheetViews>
  <sheetFormatPr defaultRowHeight="12.75"/>
  <cols>
    <col min="1" max="1" width="1.28515625" style="1400" customWidth="1"/>
    <col min="2" max="2" width="8.7109375" style="1400" customWidth="1"/>
    <col min="3" max="3" width="9.7109375" style="1400" customWidth="1"/>
    <col min="4" max="4" width="9.42578125" style="1400" customWidth="1"/>
    <col min="5" max="8" width="9.140625" style="1400"/>
    <col min="9" max="9" width="2.5703125" style="1400" customWidth="1"/>
    <col min="10" max="10" width="2.42578125" style="1400" customWidth="1"/>
    <col min="11" max="11" width="6.7109375" style="1400" customWidth="1"/>
    <col min="12" max="12" width="2.85546875" style="1400" customWidth="1"/>
    <col min="13" max="13" width="2.7109375" style="1400" customWidth="1"/>
    <col min="14" max="15" width="18.85546875" style="1400" customWidth="1"/>
    <col min="16" max="16" width="5.28515625" style="1400" customWidth="1"/>
    <col min="17" max="17" width="2.7109375" style="1400" customWidth="1"/>
    <col min="18" max="18" width="19.7109375" style="1400" customWidth="1"/>
    <col min="19" max="19" width="21.140625" style="1400" customWidth="1"/>
    <col min="20" max="20" width="5.28515625" style="1400" customWidth="1"/>
    <col min="21" max="16384" width="9.140625" style="1400"/>
  </cols>
  <sheetData>
    <row r="1" spans="1:48" ht="4.5" customHeight="1">
      <c r="A1" s="2029"/>
      <c r="B1" s="2029"/>
      <c r="C1" s="2029"/>
      <c r="D1" s="2029"/>
      <c r="E1" s="2029"/>
      <c r="F1" s="2029"/>
      <c r="G1" s="2029"/>
      <c r="H1" s="2029"/>
      <c r="I1" s="2029"/>
      <c r="J1" s="2029"/>
      <c r="K1" s="2029"/>
      <c r="L1" s="2029"/>
      <c r="M1" s="2029"/>
      <c r="N1" s="2029"/>
      <c r="O1" s="2029"/>
      <c r="P1" s="2029"/>
      <c r="Q1" s="2029"/>
      <c r="R1" s="2029"/>
      <c r="S1" s="2029"/>
      <c r="T1" s="2029"/>
      <c r="U1" s="2029"/>
      <c r="V1" s="2029"/>
      <c r="W1" s="2029"/>
      <c r="X1" s="2029"/>
      <c r="Y1" s="2029"/>
      <c r="Z1" s="2029"/>
      <c r="AA1" s="2029"/>
      <c r="AB1" s="2029"/>
      <c r="AC1" s="2029"/>
      <c r="AD1" s="2029"/>
      <c r="AE1" s="2029"/>
      <c r="AF1" s="2029"/>
      <c r="AG1" s="2029"/>
      <c r="AH1" s="2029"/>
      <c r="AI1" s="2029"/>
      <c r="AJ1" s="2029"/>
      <c r="AK1" s="2029"/>
      <c r="AL1" s="2029"/>
      <c r="AM1" s="2029"/>
      <c r="AN1" s="2029"/>
      <c r="AO1" s="2029"/>
      <c r="AP1" s="2029"/>
      <c r="AQ1" s="2029"/>
      <c r="AR1" s="2029"/>
      <c r="AS1" s="2029"/>
      <c r="AT1" s="2029"/>
      <c r="AU1" s="2029"/>
      <c r="AV1" s="2029"/>
    </row>
    <row r="2" spans="1:48" ht="15.75">
      <c r="A2" s="1379"/>
      <c r="B2" s="2388">
        <f>IF('Local-&amp;-SSF'!I6=0,+IF('Local-&amp;-SSF'!E6=0,0,IF(OR('TRIAL-BALANCE'!AM739&lt;&gt;0,'TRIAL-BALANCE'!AN739&lt;&gt;0),"Сметка 7500 не може да се ползва от общината!",0)),0)</f>
        <v>0</v>
      </c>
      <c r="C2" s="2388"/>
      <c r="D2" s="2388"/>
      <c r="E2" s="2388"/>
      <c r="F2" s="2388"/>
      <c r="G2" s="2388"/>
      <c r="H2" s="2388"/>
      <c r="I2" s="2388"/>
      <c r="J2" s="1379"/>
      <c r="K2" s="1379"/>
      <c r="L2" s="1379"/>
      <c r="M2" s="2096">
        <f>+IF($N2=0,0," ")</f>
        <v>0</v>
      </c>
      <c r="N2" s="2391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0</v>
      </c>
      <c r="O2" s="2391"/>
      <c r="P2" s="2391"/>
      <c r="Q2" s="2391"/>
      <c r="R2" s="2391"/>
      <c r="S2" s="2392"/>
      <c r="T2" s="1379"/>
      <c r="U2" s="1379"/>
      <c r="V2" s="1379"/>
      <c r="W2" s="1379"/>
      <c r="X2" s="1379"/>
      <c r="Y2" s="1379"/>
      <c r="Z2" s="1379"/>
      <c r="AA2" s="1379"/>
      <c r="AB2" s="1379"/>
      <c r="AC2" s="1379"/>
      <c r="AD2" s="1379"/>
      <c r="AE2" s="1379"/>
      <c r="AF2" s="1379"/>
      <c r="AG2" s="1379"/>
      <c r="AH2" s="1379"/>
      <c r="AI2" s="1379"/>
      <c r="AJ2" s="1379"/>
      <c r="AK2" s="1379"/>
      <c r="AL2" s="1379"/>
      <c r="AM2" s="1379"/>
      <c r="AN2" s="1379"/>
      <c r="AO2" s="1379"/>
      <c r="AP2" s="1379"/>
      <c r="AQ2" s="1379"/>
      <c r="AR2" s="1379"/>
      <c r="AS2" s="1379"/>
      <c r="AT2" s="1379"/>
      <c r="AU2" s="1379"/>
      <c r="AV2" s="1379"/>
    </row>
    <row r="3" spans="1:48" ht="3" customHeight="1">
      <c r="A3" s="1379"/>
      <c r="B3" s="1379"/>
      <c r="C3" s="1379"/>
      <c r="D3" s="1379"/>
      <c r="E3" s="1379"/>
      <c r="F3" s="1379"/>
      <c r="G3" s="1379"/>
      <c r="H3" s="1379"/>
      <c r="I3" s="1379"/>
      <c r="J3" s="1379"/>
      <c r="K3" s="1379"/>
      <c r="L3" s="1379"/>
      <c r="M3" s="2029"/>
      <c r="N3" s="2029"/>
      <c r="O3" s="2029"/>
      <c r="P3" s="2029"/>
      <c r="Q3" s="2029"/>
      <c r="R3" s="2029"/>
      <c r="S3" s="2029"/>
      <c r="T3" s="1379"/>
      <c r="U3" s="1379"/>
      <c r="V3" s="1379"/>
      <c r="W3" s="1379"/>
      <c r="X3" s="1379"/>
      <c r="Y3" s="1379"/>
      <c r="Z3" s="1379"/>
      <c r="AA3" s="1379"/>
      <c r="AB3" s="1379"/>
      <c r="AC3" s="1379"/>
      <c r="AD3" s="1379"/>
      <c r="AE3" s="1379"/>
      <c r="AF3" s="1379"/>
      <c r="AG3" s="1379"/>
      <c r="AH3" s="1379"/>
      <c r="AI3" s="1379"/>
      <c r="AJ3" s="1379"/>
      <c r="AK3" s="1379"/>
      <c r="AL3" s="1379"/>
      <c r="AM3" s="1379"/>
      <c r="AN3" s="1379"/>
      <c r="AO3" s="1379"/>
      <c r="AP3" s="1379"/>
      <c r="AQ3" s="1379"/>
      <c r="AR3" s="1379"/>
      <c r="AS3" s="1379"/>
      <c r="AT3" s="1379"/>
      <c r="AU3" s="1379"/>
      <c r="AV3" s="1379"/>
    </row>
    <row r="4" spans="1:48" ht="32.25" customHeight="1">
      <c r="A4" s="1379"/>
      <c r="B4" s="2395" t="s">
        <v>1969</v>
      </c>
      <c r="C4" s="2396"/>
      <c r="D4" s="2396"/>
      <c r="E4" s="2396"/>
      <c r="F4" s="2396"/>
      <c r="G4" s="2396"/>
      <c r="H4" s="2396"/>
      <c r="I4" s="2397"/>
      <c r="J4" s="1379"/>
      <c r="K4" s="1387" t="s">
        <v>1256</v>
      </c>
      <c r="L4" s="1379"/>
      <c r="M4" s="2401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0</v>
      </c>
      <c r="N4" s="2401"/>
      <c r="O4" s="2402"/>
      <c r="P4" s="1387" t="s">
        <v>1256</v>
      </c>
      <c r="Q4" s="2029"/>
      <c r="R4" s="2399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0</v>
      </c>
      <c r="S4" s="2400"/>
      <c r="T4" s="1384" t="str">
        <f>+IF(+P4="ДА","НЕ","ДА")</f>
        <v>НЕ</v>
      </c>
      <c r="U4" s="1379"/>
      <c r="V4" s="1379"/>
      <c r="W4" s="1379"/>
      <c r="X4" s="1379"/>
      <c r="Y4" s="1379"/>
      <c r="Z4" s="1379"/>
      <c r="AA4" s="1379"/>
      <c r="AB4" s="1379"/>
      <c r="AC4" s="1379"/>
      <c r="AD4" s="1379"/>
      <c r="AE4" s="1379"/>
      <c r="AF4" s="1379"/>
      <c r="AG4" s="1379"/>
      <c r="AH4" s="1379"/>
      <c r="AI4" s="1379"/>
      <c r="AJ4" s="1379"/>
      <c r="AK4" s="1379"/>
      <c r="AL4" s="1379"/>
      <c r="AM4" s="1379"/>
      <c r="AN4" s="1379"/>
      <c r="AO4" s="1379"/>
      <c r="AP4" s="1379"/>
      <c r="AQ4" s="1379"/>
      <c r="AR4" s="1379"/>
      <c r="AS4" s="1379"/>
      <c r="AT4" s="1379"/>
      <c r="AU4" s="1379"/>
      <c r="AV4" s="1379"/>
    </row>
    <row r="5" spans="1:48" ht="3" customHeight="1">
      <c r="A5" s="1379"/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2096"/>
      <c r="N5" s="2096"/>
      <c r="O5" s="2096"/>
      <c r="P5" s="2096"/>
      <c r="Q5" s="2096"/>
      <c r="R5" s="2096"/>
      <c r="S5" s="2096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</row>
    <row r="6" spans="1:48" ht="12.75" customHeight="1">
      <c r="A6" s="1379"/>
      <c r="B6" s="1379"/>
      <c r="C6" s="1379"/>
      <c r="D6" s="1379"/>
      <c r="E6" s="1379"/>
      <c r="F6" s="1379"/>
      <c r="G6" s="1379"/>
      <c r="H6" s="1379"/>
      <c r="I6" s="1379"/>
      <c r="J6" s="1379"/>
      <c r="K6" s="1379"/>
      <c r="L6" s="1379"/>
      <c r="M6" s="2096">
        <f>+IF($N6=0,0," ")</f>
        <v>0</v>
      </c>
      <c r="N6" s="2393">
        <f>+IF('Local-&amp;-SSF'!E362=0,+IF(ROUND('TRIAL-BALANCE'!AK216,2)-ROUND('TRIAL-BALANCE'!AL216,2)=0,0,+IF(K4="ДА","2.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0</v>
      </c>
      <c r="O6" s="2393"/>
      <c r="P6" s="2393"/>
      <c r="Q6" s="2393"/>
      <c r="R6" s="2393"/>
      <c r="S6" s="2394"/>
      <c r="T6" s="1379"/>
      <c r="U6" s="1379"/>
      <c r="V6" s="1379"/>
      <c r="W6" s="1379"/>
      <c r="X6" s="1379"/>
      <c r="Y6" s="1379"/>
      <c r="Z6" s="1379"/>
      <c r="AA6" s="1379"/>
      <c r="AB6" s="1379"/>
      <c r="AC6" s="1379"/>
      <c r="AD6" s="1379"/>
      <c r="AE6" s="1379"/>
      <c r="AF6" s="1379"/>
      <c r="AG6" s="1379"/>
      <c r="AH6" s="1379"/>
      <c r="AI6" s="1379"/>
      <c r="AJ6" s="1379"/>
      <c r="AK6" s="1379"/>
      <c r="AL6" s="1379"/>
      <c r="AM6" s="1379"/>
      <c r="AN6" s="1379"/>
      <c r="AO6" s="1379"/>
      <c r="AP6" s="1379"/>
      <c r="AQ6" s="1379"/>
      <c r="AR6" s="1379"/>
      <c r="AS6" s="1379"/>
      <c r="AT6" s="1379"/>
      <c r="AU6" s="1379"/>
      <c r="AV6" s="1379"/>
    </row>
    <row r="7" spans="1:48" ht="3" customHeight="1">
      <c r="A7" s="1379"/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2096"/>
      <c r="N7" s="2113"/>
      <c r="O7" s="2113"/>
      <c r="P7" s="2113"/>
      <c r="Q7" s="2113"/>
      <c r="R7" s="2113"/>
      <c r="S7" s="2113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79"/>
      <c r="AK7" s="1379"/>
      <c r="AL7" s="1379"/>
      <c r="AM7" s="1379"/>
      <c r="AN7" s="1379"/>
      <c r="AO7" s="1379"/>
      <c r="AP7" s="1379"/>
      <c r="AQ7" s="1379"/>
      <c r="AR7" s="1379"/>
      <c r="AS7" s="1379"/>
      <c r="AT7" s="1379"/>
      <c r="AU7" s="1379"/>
      <c r="AV7" s="1379"/>
    </row>
    <row r="8" spans="1:48" ht="32.25" customHeight="1">
      <c r="A8" s="1379"/>
      <c r="B8" s="2395" t="s">
        <v>2016</v>
      </c>
      <c r="C8" s="2396"/>
      <c r="D8" s="2396"/>
      <c r="E8" s="2396"/>
      <c r="F8" s="2396"/>
      <c r="G8" s="2396"/>
      <c r="H8" s="2396"/>
      <c r="I8" s="2397"/>
      <c r="J8" s="1379"/>
      <c r="K8" s="1384" t="str">
        <f>+IF(+K4="ДА","НЕ","ДА")</f>
        <v>НЕ</v>
      </c>
      <c r="L8" s="2112"/>
      <c r="M8" s="2401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0</v>
      </c>
      <c r="N8" s="2401"/>
      <c r="O8" s="2402"/>
      <c r="P8" s="1387" t="s">
        <v>1256</v>
      </c>
      <c r="Q8" s="2029"/>
      <c r="R8" s="2399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0</v>
      </c>
      <c r="S8" s="2400"/>
      <c r="T8" s="1384" t="str">
        <f>+IF(+P8="ДА","НЕ","ДА")</f>
        <v>НЕ</v>
      </c>
      <c r="U8" s="1379"/>
      <c r="V8" s="1953"/>
      <c r="W8" s="1953"/>
      <c r="X8" s="1953"/>
      <c r="Y8" s="1379"/>
      <c r="Z8" s="1379"/>
      <c r="AA8" s="1379"/>
      <c r="AB8" s="1379"/>
      <c r="AC8" s="1379"/>
      <c r="AD8" s="1379"/>
      <c r="AE8" s="1379"/>
      <c r="AF8" s="1379"/>
      <c r="AG8" s="1379"/>
      <c r="AH8" s="1379"/>
      <c r="AI8" s="1379"/>
      <c r="AJ8" s="1379"/>
      <c r="AK8" s="1379"/>
      <c r="AL8" s="1379"/>
      <c r="AM8" s="1379"/>
      <c r="AN8" s="1379"/>
      <c r="AO8" s="1379"/>
      <c r="AP8" s="1379"/>
      <c r="AQ8" s="1379"/>
      <c r="AR8" s="1379"/>
      <c r="AS8" s="1379"/>
      <c r="AT8" s="1379"/>
      <c r="AU8" s="1379"/>
      <c r="AV8" s="1379"/>
    </row>
    <row r="9" spans="1:48">
      <c r="A9" s="1379"/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379"/>
      <c r="AD9" s="1379"/>
      <c r="AE9" s="1379"/>
      <c r="AF9" s="1379"/>
      <c r="AG9" s="1379"/>
      <c r="AH9" s="1379"/>
      <c r="AI9" s="1379"/>
      <c r="AJ9" s="1379"/>
      <c r="AK9" s="1379"/>
      <c r="AL9" s="1379"/>
      <c r="AM9" s="1379"/>
      <c r="AN9" s="1379"/>
      <c r="AO9" s="1379"/>
      <c r="AP9" s="1379"/>
      <c r="AQ9" s="1379"/>
      <c r="AR9" s="1379"/>
      <c r="AS9" s="1379"/>
      <c r="AT9" s="1379"/>
      <c r="AU9" s="1379"/>
      <c r="AV9" s="1379"/>
    </row>
    <row r="10" spans="1:48" hidden="1">
      <c r="A10" s="1379"/>
      <c r="B10" s="1379"/>
      <c r="C10" s="1379"/>
      <c r="D10" s="1379"/>
      <c r="E10" s="1379"/>
      <c r="F10" s="1379"/>
      <c r="G10" s="1379"/>
      <c r="H10" s="1379"/>
      <c r="I10" s="1379"/>
      <c r="J10" s="1379"/>
      <c r="K10" s="1385" t="s">
        <v>1256</v>
      </c>
      <c r="L10" s="1379"/>
      <c r="M10" s="1379"/>
      <c r="N10" s="1379"/>
      <c r="O10" s="1379"/>
      <c r="P10" s="1379"/>
      <c r="Q10" s="1379"/>
      <c r="R10" s="1379"/>
      <c r="S10" s="1379"/>
      <c r="T10" s="1379"/>
      <c r="U10" s="1379"/>
      <c r="V10" s="1379"/>
      <c r="W10" s="1379"/>
      <c r="X10" s="1379"/>
      <c r="Y10" s="1379"/>
      <c r="Z10" s="1379"/>
      <c r="AA10" s="1379"/>
      <c r="AB10" s="1379"/>
      <c r="AC10" s="1379"/>
      <c r="AD10" s="1379"/>
      <c r="AE10" s="1379"/>
      <c r="AF10" s="1379"/>
      <c r="AG10" s="1379"/>
      <c r="AH10" s="1379"/>
      <c r="AI10" s="1379"/>
      <c r="AJ10" s="1379"/>
      <c r="AK10" s="1379"/>
      <c r="AL10" s="1379"/>
      <c r="AM10" s="1379"/>
      <c r="AN10" s="1379"/>
      <c r="AO10" s="1379"/>
      <c r="AP10" s="1379"/>
      <c r="AQ10" s="1379"/>
      <c r="AR10" s="1379"/>
      <c r="AS10" s="1379"/>
      <c r="AT10" s="1379"/>
      <c r="AU10" s="1379"/>
      <c r="AV10" s="1379"/>
    </row>
    <row r="11" spans="1:48" hidden="1">
      <c r="A11" s="1379"/>
      <c r="B11" s="1379"/>
      <c r="C11" s="1379"/>
      <c r="D11" s="1379"/>
      <c r="E11" s="1379"/>
      <c r="F11" s="1379"/>
      <c r="G11" s="1379"/>
      <c r="H11" s="1379"/>
      <c r="I11" s="1379"/>
      <c r="J11" s="1379"/>
      <c r="K11" s="1386" t="s">
        <v>1257</v>
      </c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79"/>
      <c r="AQ11" s="1379"/>
      <c r="AR11" s="1379"/>
      <c r="AS11" s="1379"/>
      <c r="AT11" s="1379"/>
      <c r="AU11" s="1379"/>
      <c r="AV11" s="1379"/>
    </row>
    <row r="12" spans="1:48">
      <c r="A12" s="1379"/>
      <c r="B12" s="1379"/>
      <c r="C12" s="1379"/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  <c r="O12" s="1379"/>
      <c r="P12" s="1379"/>
      <c r="Q12" s="1379"/>
      <c r="R12" s="1379"/>
      <c r="S12" s="1379"/>
      <c r="T12" s="1379"/>
      <c r="U12" s="1379"/>
      <c r="V12" s="1379"/>
      <c r="W12" s="1379"/>
      <c r="X12" s="1379"/>
      <c r="Y12" s="1379"/>
      <c r="Z12" s="1379"/>
      <c r="AA12" s="1379"/>
      <c r="AB12" s="1379"/>
      <c r="AC12" s="1379"/>
      <c r="AD12" s="1379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79"/>
      <c r="AO12" s="1379"/>
      <c r="AP12" s="1379"/>
      <c r="AQ12" s="1379"/>
      <c r="AR12" s="1379"/>
      <c r="AS12" s="1379"/>
      <c r="AT12" s="1379"/>
      <c r="AU12" s="1379"/>
      <c r="AV12" s="1379"/>
    </row>
    <row r="13" spans="1:48" ht="15.75" customHeight="1">
      <c r="A13" s="1379"/>
      <c r="B13" s="2398">
        <f>+IF(AND(+ROUND(O13,2)=0,+ROUND(S13,2)=0),0,+IF($K$4="ДА","Нетното салдо на с/ка 4500 в БЮДЖЕТ не е равно на нула! Неравнението е в:",0))</f>
        <v>0</v>
      </c>
      <c r="C13" s="2398"/>
      <c r="D13" s="2398"/>
      <c r="E13" s="2398"/>
      <c r="F13" s="2398"/>
      <c r="G13" s="2398"/>
      <c r="H13" s="2398"/>
      <c r="I13" s="2398"/>
      <c r="J13" s="2398"/>
      <c r="K13" s="2398"/>
      <c r="L13" s="2398"/>
      <c r="M13" s="2026"/>
      <c r="N13" s="2027">
        <f>+IF(+ROUND(O13,2)=0,0,+IF($K$4="ДА","крайното салдо -",0))</f>
        <v>0</v>
      </c>
      <c r="O13" s="2028">
        <f>+IF($K$4="ДА",+ROUND('TRIAL-BALANCE'!S176,2)-ROUND('TRIAL-BALANCE'!T176,2),0)</f>
        <v>0</v>
      </c>
      <c r="P13" s="2028"/>
      <c r="Q13" s="2026"/>
      <c r="R13" s="2027">
        <f>+IF(+ROUND(S13,2)=0,0,+IF($K$4="ДА","началното салдо -",0))</f>
        <v>0</v>
      </c>
      <c r="S13" s="2028">
        <f>+IF($K$4="ДА",+ROUND('TRIAL-BALANCE'!O176,2)-ROUND('TRIAL-BALANCE'!P176,2),0)</f>
        <v>0</v>
      </c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1379"/>
      <c r="AG13" s="1379"/>
      <c r="AH13" s="1379"/>
      <c r="AI13" s="1379"/>
      <c r="AJ13" s="1379"/>
      <c r="AK13" s="1379"/>
      <c r="AL13" s="1379"/>
      <c r="AM13" s="1379"/>
      <c r="AN13" s="1379"/>
      <c r="AO13" s="1379"/>
      <c r="AP13" s="1379"/>
      <c r="AQ13" s="1379"/>
      <c r="AR13" s="1379"/>
      <c r="AS13" s="1379"/>
      <c r="AT13" s="1379"/>
      <c r="AU13" s="1379"/>
      <c r="AV13" s="1379"/>
    </row>
    <row r="14" spans="1:48" ht="15.75" customHeight="1">
      <c r="A14" s="1379"/>
      <c r="B14" s="2390">
        <f>+IF(AND(+ROUND(O14,2)=0,+ROUND(S14,2)=0),0,+IF($K$4="ДА","Нетното салдо на с/ка 4500 в СЕС не е равно на нула! Неравнението е в:",0))</f>
        <v>0</v>
      </c>
      <c r="C14" s="2390"/>
      <c r="D14" s="2390"/>
      <c r="E14" s="2390"/>
      <c r="F14" s="2390"/>
      <c r="G14" s="2390"/>
      <c r="H14" s="2390"/>
      <c r="I14" s="2390"/>
      <c r="J14" s="2390"/>
      <c r="K14" s="2390"/>
      <c r="L14" s="2390"/>
      <c r="M14" s="2026"/>
      <c r="N14" s="2027">
        <f>+IF(+ROUND(O14,2)=0,0,+IF($K$4="ДА","крайното салдо -",0))</f>
        <v>0</v>
      </c>
      <c r="O14" s="2028">
        <f>+IF($K$4="ДА",+ROUND('TRIAL-BALANCE'!Z176,2)-ROUND('TRIAL-BALANCE'!AA176,2),0)</f>
        <v>0</v>
      </c>
      <c r="P14" s="2028"/>
      <c r="Q14" s="2026"/>
      <c r="R14" s="2027">
        <f>+IF(+ROUND(S14,2)=0,0,+IF($K$4="ДА","началното салдо -",0))</f>
        <v>0</v>
      </c>
      <c r="S14" s="2028">
        <f>+IF($K$4="ДА",+ROUND('TRIAL-BALANCE'!V176,2)-ROUND('TRIAL-BALANCE'!W176,2),0)</f>
        <v>0</v>
      </c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1379"/>
      <c r="AG14" s="1379"/>
      <c r="AH14" s="1379"/>
      <c r="AI14" s="1379"/>
      <c r="AJ14" s="1379"/>
      <c r="AK14" s="1379"/>
      <c r="AL14" s="1379"/>
      <c r="AM14" s="1379"/>
      <c r="AN14" s="1379"/>
      <c r="AO14" s="1379"/>
      <c r="AP14" s="1379"/>
      <c r="AQ14" s="1379"/>
      <c r="AR14" s="1379"/>
      <c r="AS14" s="1379"/>
      <c r="AT14" s="1379"/>
      <c r="AU14" s="1379"/>
      <c r="AV14" s="1379"/>
    </row>
    <row r="15" spans="1:48" ht="15.75" customHeight="1">
      <c r="A15" s="1379"/>
      <c r="B15" s="2390">
        <f>+IF(AND(+ROUND(O15,2)=0,+ROUND(S15,2)=0),0,+IF($K$4="ДА","Нетното салдо на с/ка 4500 в ДСД не е равно на нула! Неравнението е в:",0))</f>
        <v>0</v>
      </c>
      <c r="C15" s="2390"/>
      <c r="D15" s="2390"/>
      <c r="E15" s="2390"/>
      <c r="F15" s="2390"/>
      <c r="G15" s="2390"/>
      <c r="H15" s="2390"/>
      <c r="I15" s="2390"/>
      <c r="J15" s="2390"/>
      <c r="K15" s="2390"/>
      <c r="L15" s="2390"/>
      <c r="M15" s="2026"/>
      <c r="N15" s="2027">
        <f>+IF(+ROUND(O15,2)=0,0,+IF($K$4="ДА","крайното салдо -",0))</f>
        <v>0</v>
      </c>
      <c r="O15" s="2028">
        <f>+IF($K$4="ДА",+ROUND('TRIAL-BALANCE'!AG176,2)-ROUND('TRIAL-BALANCE'!AH176,2),0)</f>
        <v>0</v>
      </c>
      <c r="P15" s="2028"/>
      <c r="Q15" s="2026"/>
      <c r="R15" s="2027">
        <f>+IF(+ROUND(S15,2)=0,0,+IF($K$4="ДА","началното салдо -",0))</f>
        <v>0</v>
      </c>
      <c r="S15" s="2028">
        <f>+IF($K$4="ДА",+ROUND('TRIAL-BALANCE'!AC176,2)-ROUND('TRIAL-BALANCE'!AD176,2),0)</f>
        <v>0</v>
      </c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1379"/>
      <c r="AG15" s="1379"/>
      <c r="AH15" s="1379"/>
      <c r="AI15" s="1379"/>
      <c r="AJ15" s="1379"/>
      <c r="AK15" s="1379"/>
      <c r="AL15" s="1379"/>
      <c r="AM15" s="1379"/>
      <c r="AN15" s="1379"/>
      <c r="AO15" s="1379"/>
      <c r="AP15" s="1379"/>
      <c r="AQ15" s="1379"/>
      <c r="AR15" s="1379"/>
      <c r="AS15" s="1379"/>
      <c r="AT15" s="1379"/>
      <c r="AU15" s="1379"/>
      <c r="AV15" s="1379"/>
    </row>
    <row r="16" spans="1:48" ht="4.5" customHeight="1">
      <c r="A16" s="1379"/>
      <c r="B16" s="2030"/>
      <c r="C16" s="2030"/>
      <c r="D16" s="2030"/>
      <c r="E16" s="2030"/>
      <c r="F16" s="2030"/>
      <c r="G16" s="2030"/>
      <c r="H16" s="2030"/>
      <c r="I16" s="2030"/>
      <c r="J16" s="2030"/>
      <c r="K16" s="2030"/>
      <c r="L16" s="2030"/>
      <c r="M16" s="2029"/>
      <c r="N16" s="2029"/>
      <c r="O16" s="2029"/>
      <c r="P16" s="2029"/>
      <c r="Q16" s="2029"/>
      <c r="R16" s="2029"/>
      <c r="S16" s="2029"/>
      <c r="T16" s="1379"/>
      <c r="U16" s="1379"/>
      <c r="V16" s="1379"/>
      <c r="W16" s="1379"/>
      <c r="X16" s="1379"/>
      <c r="Y16" s="1379"/>
      <c r="Z16" s="1379"/>
      <c r="AA16" s="1379"/>
      <c r="AB16" s="1379"/>
      <c r="AC16" s="1379"/>
      <c r="AD16" s="1379"/>
      <c r="AE16" s="1379"/>
      <c r="AF16" s="1379"/>
      <c r="AG16" s="1379"/>
      <c r="AH16" s="1379"/>
      <c r="AI16" s="1379"/>
      <c r="AJ16" s="1379"/>
      <c r="AK16" s="1379"/>
      <c r="AL16" s="1379"/>
      <c r="AM16" s="1379"/>
      <c r="AN16" s="1379"/>
      <c r="AO16" s="1379"/>
      <c r="AP16" s="1379"/>
      <c r="AQ16" s="1379"/>
      <c r="AR16" s="1379"/>
      <c r="AS16" s="1379"/>
      <c r="AT16" s="1379"/>
      <c r="AU16" s="1379"/>
      <c r="AV16" s="1379"/>
    </row>
    <row r="17" spans="1:48" ht="15.75" customHeight="1">
      <c r="A17" s="1379"/>
      <c r="B17" s="2390">
        <f>+IF(AND(+ROUND(O17,2)=0,+ROUND(S17,2)=0),0,+IF($K$4="ДА","Нетното салдо на с/ка 4501 не е равно на нула! Неравнението е в:",0))</f>
        <v>0</v>
      </c>
      <c r="C17" s="2390"/>
      <c r="D17" s="2390"/>
      <c r="E17" s="2390"/>
      <c r="F17" s="2390"/>
      <c r="G17" s="2390"/>
      <c r="H17" s="2390"/>
      <c r="I17" s="2390"/>
      <c r="J17" s="2390"/>
      <c r="K17" s="2390"/>
      <c r="L17" s="2390"/>
      <c r="M17" s="2026"/>
      <c r="N17" s="2027">
        <f t="shared" ref="N17:N39" si="0">+IF(+ROUND(O17,2)=0,0,+IF($K$4="ДА","крайното салдо -",0))</f>
        <v>0</v>
      </c>
      <c r="O17" s="2028">
        <f>+IF($K$4="ДА",+ROUND('TRIAL-BALANCE'!AO177,2)-ROUND('TRIAL-BALANCE'!AP177,2),0)</f>
        <v>0</v>
      </c>
      <c r="P17" s="2028"/>
      <c r="Q17" s="2026"/>
      <c r="R17" s="2027">
        <f>+IF(+ROUND(S17,2)=0,0,+IF($K$4="ДА","началното салдо -",0))</f>
        <v>0</v>
      </c>
      <c r="S17" s="2028">
        <f>+IF($K$4="ДА",+ROUND('TRIAL-BALANCE'!AK177,2)-ROUND('TRIAL-BALANCE'!AL177,2),0)</f>
        <v>0</v>
      </c>
      <c r="T17" s="1379"/>
      <c r="U17" s="1379"/>
      <c r="V17" s="1379"/>
      <c r="W17" s="1379"/>
      <c r="X17" s="1379"/>
      <c r="Y17" s="1379"/>
      <c r="Z17" s="1379"/>
      <c r="AA17" s="1379"/>
      <c r="AB17" s="1379"/>
      <c r="AC17" s="1379"/>
      <c r="AD17" s="1379"/>
      <c r="AE17" s="1379"/>
      <c r="AF17" s="1379"/>
      <c r="AG17" s="1379"/>
      <c r="AH17" s="1379"/>
      <c r="AI17" s="1379"/>
      <c r="AJ17" s="1379"/>
      <c r="AK17" s="1379"/>
      <c r="AL17" s="1379"/>
      <c r="AM17" s="1379"/>
      <c r="AN17" s="1379"/>
      <c r="AO17" s="1379"/>
      <c r="AP17" s="1379"/>
      <c r="AQ17" s="1379"/>
      <c r="AR17" s="1379"/>
      <c r="AS17" s="1379"/>
      <c r="AT17" s="1379"/>
      <c r="AU17" s="1379"/>
      <c r="AV17" s="1379"/>
    </row>
    <row r="18" spans="1:48" ht="15.75" customHeight="1">
      <c r="A18" s="1379"/>
      <c r="B18" s="2390">
        <f>+IF(AND(+ROUND(O18,2)=0,+ROUND(S18,2)=0),0,+IF($K$4="ДА","Нетното салдо на с/ка 4502 не е равно на нула! Неравнението е в:",0))</f>
        <v>0</v>
      </c>
      <c r="C18" s="2390"/>
      <c r="D18" s="2390"/>
      <c r="E18" s="2390"/>
      <c r="F18" s="2390"/>
      <c r="G18" s="2390"/>
      <c r="H18" s="2390"/>
      <c r="I18" s="2390"/>
      <c r="J18" s="2390"/>
      <c r="K18" s="2390"/>
      <c r="L18" s="2390"/>
      <c r="M18" s="2026"/>
      <c r="N18" s="2027">
        <f t="shared" si="0"/>
        <v>0</v>
      </c>
      <c r="O18" s="2028">
        <f>+IF($K$4="ДА",+ROUND('TRIAL-BALANCE'!AO178,2)-ROUND('TRIAL-BALANCE'!AP178,2),0)</f>
        <v>0</v>
      </c>
      <c r="P18" s="2028"/>
      <c r="Q18" s="2026"/>
      <c r="R18" s="2027">
        <f>+IF(+ROUND(S18,2)=0,0,+IF($K$4="ДА","началното салдо -",0))</f>
        <v>0</v>
      </c>
      <c r="S18" s="2028">
        <f>+IF($K$4="ДА",+ROUND('TRIAL-BALANCE'!AK178,2)-ROUND('TRIAL-BALANCE'!AL178,2),0)</f>
        <v>0</v>
      </c>
      <c r="T18" s="1379"/>
      <c r="U18" s="1379"/>
      <c r="V18" s="1379"/>
      <c r="W18" s="1379"/>
      <c r="X18" s="1379"/>
      <c r="Y18" s="1379"/>
      <c r="Z18" s="1379"/>
      <c r="AA18" s="1379"/>
      <c r="AB18" s="1379"/>
      <c r="AC18" s="1379"/>
      <c r="AD18" s="1379"/>
      <c r="AE18" s="1379"/>
      <c r="AF18" s="1379"/>
      <c r="AG18" s="1379"/>
      <c r="AH18" s="1379"/>
      <c r="AI18" s="1379"/>
      <c r="AJ18" s="1379"/>
      <c r="AK18" s="1379"/>
      <c r="AL18" s="1379"/>
      <c r="AM18" s="1379"/>
      <c r="AN18" s="1379"/>
      <c r="AO18" s="1379"/>
      <c r="AP18" s="1379"/>
      <c r="AQ18" s="1379"/>
      <c r="AR18" s="1379"/>
      <c r="AS18" s="1379"/>
      <c r="AT18" s="1379"/>
      <c r="AU18" s="1379"/>
      <c r="AV18" s="1379"/>
    </row>
    <row r="19" spans="1:48" ht="15.75" customHeight="1">
      <c r="A19" s="1379"/>
      <c r="B19" s="2390">
        <f>+IF(AND(+ROUND(O19,2)=0,+ROUND(S19,2)=0),0,+IF($K$4="ДА","Нетното салдо на с/ка 4503 не е равно на нула! Неравнението е в:",0))</f>
        <v>0</v>
      </c>
      <c r="C19" s="2390"/>
      <c r="D19" s="2390"/>
      <c r="E19" s="2390"/>
      <c r="F19" s="2390"/>
      <c r="G19" s="2390"/>
      <c r="H19" s="2390"/>
      <c r="I19" s="2390"/>
      <c r="J19" s="2390"/>
      <c r="K19" s="2390"/>
      <c r="L19" s="2390"/>
      <c r="M19" s="2026"/>
      <c r="N19" s="2027">
        <f t="shared" si="0"/>
        <v>0</v>
      </c>
      <c r="O19" s="2028">
        <f>+IF($K$4="ДА",+ROUND('TRIAL-BALANCE'!AO179,2)-ROUND('TRIAL-BALANCE'!AP179,2),0)</f>
        <v>0</v>
      </c>
      <c r="P19" s="2028"/>
      <c r="Q19" s="2026"/>
      <c r="R19" s="2027">
        <f>+IF(+ROUND(S19,2)=0,0,+IF($K$4="ДА","началното салдо -",0))</f>
        <v>0</v>
      </c>
      <c r="S19" s="2028">
        <f>+IF($K$4="ДА",+ROUND('TRIAL-BALANCE'!AK179,2)-ROUND('TRIAL-BALANCE'!AL179,2),0)</f>
        <v>0</v>
      </c>
      <c r="T19" s="1379"/>
      <c r="U19" s="1379"/>
      <c r="V19" s="1379"/>
      <c r="W19" s="1379"/>
      <c r="X19" s="1379"/>
      <c r="Y19" s="1379"/>
      <c r="Z19" s="1379"/>
      <c r="AA19" s="1379"/>
      <c r="AB19" s="1379"/>
      <c r="AC19" s="1379"/>
      <c r="AD19" s="1379"/>
      <c r="AE19" s="1379"/>
      <c r="AF19" s="1379"/>
      <c r="AG19" s="1379"/>
      <c r="AH19" s="1379"/>
      <c r="AI19" s="1379"/>
      <c r="AJ19" s="1379"/>
      <c r="AK19" s="1379"/>
      <c r="AL19" s="1379"/>
      <c r="AM19" s="1379"/>
      <c r="AN19" s="1379"/>
      <c r="AO19" s="1379"/>
      <c r="AP19" s="1379"/>
      <c r="AQ19" s="1379"/>
      <c r="AR19" s="1379"/>
      <c r="AS19" s="1379"/>
      <c r="AT19" s="1379"/>
      <c r="AU19" s="1379"/>
      <c r="AV19" s="1379"/>
    </row>
    <row r="20" spans="1:48" ht="9" customHeight="1">
      <c r="A20" s="1379"/>
      <c r="B20" s="2030"/>
      <c r="C20" s="2030"/>
      <c r="D20" s="2030"/>
      <c r="E20" s="2030"/>
      <c r="F20" s="2030"/>
      <c r="G20" s="2030"/>
      <c r="H20" s="2030"/>
      <c r="I20" s="2030"/>
      <c r="J20" s="2030"/>
      <c r="K20" s="2030"/>
      <c r="L20" s="2030"/>
      <c r="M20" s="2029"/>
      <c r="N20" s="2029"/>
      <c r="O20" s="2029"/>
      <c r="P20" s="2029"/>
      <c r="Q20" s="2029"/>
      <c r="R20" s="2029"/>
      <c r="S20" s="2029"/>
      <c r="T20" s="1379"/>
      <c r="U20" s="1379"/>
      <c r="V20" s="1379"/>
      <c r="W20" s="1379"/>
      <c r="X20" s="1379"/>
      <c r="Y20" s="1379"/>
      <c r="Z20" s="1379"/>
      <c r="AA20" s="1379"/>
      <c r="AB20" s="1379"/>
      <c r="AC20" s="1379"/>
      <c r="AD20" s="1379"/>
      <c r="AE20" s="1379"/>
      <c r="AF20" s="1379"/>
      <c r="AG20" s="1379"/>
      <c r="AH20" s="1379"/>
      <c r="AI20" s="1379"/>
      <c r="AJ20" s="1379"/>
      <c r="AK20" s="1379"/>
      <c r="AL20" s="1379"/>
      <c r="AM20" s="1379"/>
      <c r="AN20" s="1379"/>
      <c r="AO20" s="1379"/>
      <c r="AP20" s="1379"/>
      <c r="AQ20" s="1379"/>
      <c r="AR20" s="1379"/>
      <c r="AS20" s="1379"/>
      <c r="AT20" s="1379"/>
      <c r="AU20" s="1379"/>
      <c r="AV20" s="1379"/>
    </row>
    <row r="21" spans="1:48" ht="15.75" customHeight="1">
      <c r="A21" s="1379"/>
      <c r="B21" s="2389">
        <f>+IF(+ROUND(O21,2)=0,0,+IF($K$4="ДА","Нетното салдо на с/ка 7500 в БЮДЖЕТ не е равно на нула! Неравнението е в:",0))</f>
        <v>0</v>
      </c>
      <c r="C21" s="2389"/>
      <c r="D21" s="2389"/>
      <c r="E21" s="2389"/>
      <c r="F21" s="2389"/>
      <c r="G21" s="2389"/>
      <c r="H21" s="2389"/>
      <c r="I21" s="2389"/>
      <c r="J21" s="2389"/>
      <c r="K21" s="2389"/>
      <c r="L21" s="2389"/>
      <c r="M21" s="2026"/>
      <c r="N21" s="2027">
        <f t="shared" si="0"/>
        <v>0</v>
      </c>
      <c r="O21" s="2028">
        <f>+IF($K$4="ДА",+ROUND('TRIAL-BALANCE'!S739,2)-ROUND('TRIAL-BALANCE'!T739,2),0)</f>
        <v>0</v>
      </c>
      <c r="P21" s="2028"/>
      <c r="Q21" s="2026"/>
      <c r="R21" s="2403">
        <f>+IF('TRIAL-BALANCE'!AV13=0,0,"Грешни КРАЙНИ салда в БЮДЖЕТ")</f>
        <v>0</v>
      </c>
      <c r="S21" s="2403"/>
      <c r="T21" s="1379"/>
      <c r="U21" s="1379"/>
      <c r="V21" s="1379"/>
      <c r="W21" s="1379"/>
      <c r="X21" s="1379"/>
      <c r="Y21" s="1379"/>
      <c r="Z21" s="1379"/>
      <c r="AA21" s="1379"/>
      <c r="AB21" s="1379"/>
      <c r="AC21" s="1379"/>
      <c r="AD21" s="1379"/>
      <c r="AE21" s="1379"/>
      <c r="AF21" s="1379"/>
      <c r="AG21" s="1379"/>
      <c r="AH21" s="1379"/>
      <c r="AI21" s="1379"/>
      <c r="AJ21" s="1379"/>
      <c r="AK21" s="1379"/>
      <c r="AL21" s="1379"/>
      <c r="AM21" s="1379"/>
      <c r="AN21" s="1379"/>
      <c r="AO21" s="1379"/>
      <c r="AP21" s="1379"/>
      <c r="AQ21" s="1379"/>
      <c r="AR21" s="1379"/>
      <c r="AS21" s="1379"/>
      <c r="AT21" s="1379"/>
      <c r="AU21" s="1379"/>
      <c r="AV21" s="1379"/>
    </row>
    <row r="22" spans="1:48" ht="15.75" customHeight="1">
      <c r="A22" s="1379"/>
      <c r="B22" s="2390">
        <f>+IF(+ROUND(O22,2)=0,0,+IF($K$4="ДА","Нетното салдо на с/ка 7500 в СЕС не е равно на нула! Неравнението е в:",0))</f>
        <v>0</v>
      </c>
      <c r="C22" s="2390"/>
      <c r="D22" s="2390"/>
      <c r="E22" s="2390"/>
      <c r="F22" s="2390"/>
      <c r="G22" s="2390"/>
      <c r="H22" s="2390"/>
      <c r="I22" s="2390"/>
      <c r="J22" s="2390"/>
      <c r="K22" s="2390"/>
      <c r="L22" s="2390"/>
      <c r="M22" s="2026"/>
      <c r="N22" s="2027">
        <f t="shared" si="0"/>
        <v>0</v>
      </c>
      <c r="O22" s="2028">
        <f>+IF($K$4="ДА",+ROUND('TRIAL-BALANCE'!Z739,2)-ROUND('TRIAL-BALANCE'!AA739,2),0)</f>
        <v>0</v>
      </c>
      <c r="P22" s="2028"/>
      <c r="Q22" s="2026"/>
      <c r="R22" s="2403">
        <f>+IF('TRIAL-BALANCE'!AW13=0,0,"Грешни КРАЙНИ салда в СЕС")</f>
        <v>0</v>
      </c>
      <c r="S22" s="2403"/>
      <c r="T22" s="1379"/>
      <c r="U22" s="1379"/>
      <c r="V22" s="1379"/>
      <c r="W22" s="1379"/>
      <c r="X22" s="1379"/>
      <c r="Y22" s="1379"/>
      <c r="Z22" s="1379"/>
      <c r="AA22" s="1379"/>
      <c r="AB22" s="1379"/>
      <c r="AC22" s="1379"/>
      <c r="AD22" s="1379"/>
      <c r="AE22" s="1379"/>
      <c r="AF22" s="1379"/>
      <c r="AG22" s="1379"/>
      <c r="AH22" s="1379"/>
      <c r="AI22" s="1379"/>
      <c r="AJ22" s="1379"/>
      <c r="AK22" s="1379"/>
      <c r="AL22" s="1379"/>
      <c r="AM22" s="1379"/>
      <c r="AN22" s="1379"/>
      <c r="AO22" s="1379"/>
      <c r="AP22" s="1379"/>
      <c r="AQ22" s="1379"/>
      <c r="AR22" s="1379"/>
      <c r="AS22" s="1379"/>
      <c r="AT22" s="1379"/>
      <c r="AU22" s="1379"/>
      <c r="AV22" s="1379"/>
    </row>
    <row r="23" spans="1:48" ht="15.75" customHeight="1">
      <c r="A23" s="1379"/>
      <c r="B23" s="2390">
        <f>+IF(+ROUND(O23,2)=0,0,+IF($K$4="ДА","Нетното салдо на с/ка 7500 в ДСД не е равно на нула! Неравнението е в:",0))</f>
        <v>0</v>
      </c>
      <c r="C23" s="2390"/>
      <c r="D23" s="2390"/>
      <c r="E23" s="2390"/>
      <c r="F23" s="2390"/>
      <c r="G23" s="2390"/>
      <c r="H23" s="2390"/>
      <c r="I23" s="2390"/>
      <c r="J23" s="2390"/>
      <c r="K23" s="2390"/>
      <c r="L23" s="2390"/>
      <c r="M23" s="2026"/>
      <c r="N23" s="2027">
        <f t="shared" si="0"/>
        <v>0</v>
      </c>
      <c r="O23" s="2028">
        <f>+IF($K$4="ДА",+ROUND('TRIAL-BALANCE'!AG739,2)-ROUND('TRIAL-BALANCE'!AH739,2),0)</f>
        <v>0</v>
      </c>
      <c r="P23" s="2028"/>
      <c r="Q23" s="2026"/>
      <c r="R23" s="2404">
        <f>+IF(+'NF-KSF-TRIAL-BAL-2021'!V13=0,0,"Грешни КРАЙНИ салда в СЕС - NF-CSF")</f>
        <v>0</v>
      </c>
      <c r="S23" s="2404"/>
      <c r="T23" s="1379"/>
      <c r="U23" s="1379"/>
      <c r="V23" s="1379"/>
      <c r="W23" s="1379"/>
      <c r="X23" s="1379"/>
      <c r="Y23" s="1379"/>
      <c r="Z23" s="1379"/>
      <c r="AA23" s="1379"/>
      <c r="AB23" s="1379"/>
      <c r="AC23" s="1379"/>
      <c r="AD23" s="1379"/>
      <c r="AE23" s="1379"/>
      <c r="AF23" s="1379"/>
      <c r="AG23" s="1379"/>
      <c r="AH23" s="1379"/>
      <c r="AI23" s="1379"/>
      <c r="AJ23" s="1379"/>
      <c r="AK23" s="1379"/>
      <c r="AL23" s="1379"/>
      <c r="AM23" s="1379"/>
      <c r="AN23" s="1379"/>
      <c r="AO23" s="1379"/>
      <c r="AP23" s="1379"/>
      <c r="AQ23" s="1379"/>
      <c r="AR23" s="1379"/>
      <c r="AS23" s="1379"/>
      <c r="AT23" s="1379"/>
      <c r="AU23" s="1379"/>
      <c r="AV23" s="1379"/>
    </row>
    <row r="24" spans="1:48" ht="4.5" customHeight="1">
      <c r="A24" s="1379"/>
      <c r="B24" s="2030"/>
      <c r="C24" s="2030"/>
      <c r="D24" s="2030"/>
      <c r="E24" s="2030"/>
      <c r="F24" s="2030"/>
      <c r="G24" s="2030"/>
      <c r="H24" s="2030"/>
      <c r="I24" s="2030"/>
      <c r="J24" s="2030"/>
      <c r="K24" s="2030"/>
      <c r="L24" s="2030"/>
      <c r="M24" s="2029"/>
      <c r="N24" s="2029"/>
      <c r="O24" s="2029"/>
      <c r="P24" s="2029"/>
      <c r="Q24" s="2029"/>
      <c r="R24" s="2405">
        <f>+IF(AND(R23=0,R25=0),0," ")</f>
        <v>0</v>
      </c>
      <c r="S24" s="2405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1379"/>
      <c r="AG24" s="1379"/>
      <c r="AH24" s="1379"/>
      <c r="AI24" s="1379"/>
      <c r="AJ24" s="1379"/>
      <c r="AK24" s="1379"/>
      <c r="AL24" s="1379"/>
      <c r="AM24" s="1379"/>
      <c r="AN24" s="1379"/>
      <c r="AO24" s="1379"/>
      <c r="AP24" s="1379"/>
      <c r="AQ24" s="1379"/>
      <c r="AR24" s="1379"/>
      <c r="AS24" s="1379"/>
      <c r="AT24" s="1379"/>
      <c r="AU24" s="1379"/>
      <c r="AV24" s="1379"/>
    </row>
    <row r="25" spans="1:48" ht="15.75" customHeight="1">
      <c r="A25" s="1379"/>
      <c r="B25" s="2389">
        <f>+IF(+ROUND(O25,2)=0,0,+IF($K$4="ДА","Нетното салдо на с/ка 7501 в БЮДЖЕТ не е равно на нула! Неравнението е в:",0))</f>
        <v>0</v>
      </c>
      <c r="C25" s="2389"/>
      <c r="D25" s="2389"/>
      <c r="E25" s="2389"/>
      <c r="F25" s="2389"/>
      <c r="G25" s="2389"/>
      <c r="H25" s="2389"/>
      <c r="I25" s="2389"/>
      <c r="J25" s="2389"/>
      <c r="K25" s="2389"/>
      <c r="L25" s="2389"/>
      <c r="M25" s="2026"/>
      <c r="N25" s="2027">
        <f t="shared" si="0"/>
        <v>0</v>
      </c>
      <c r="O25" s="2028">
        <f>+IF($K$4="ДА",+ROUND('TRIAL-BALANCE'!S740,2)-ROUND('TRIAL-BALANCE'!T740,2),0)</f>
        <v>0</v>
      </c>
      <c r="P25" s="2028"/>
      <c r="Q25" s="2127"/>
      <c r="R25" s="2404">
        <f>+IF(+'RA-TRIAL-BAL-2021'!V13=0,0,"Грешни КРАЙНИ салда в СЕС - RA")</f>
        <v>0</v>
      </c>
      <c r="S25" s="2404"/>
      <c r="T25" s="1379"/>
      <c r="U25" s="1379"/>
      <c r="V25" s="1379"/>
      <c r="W25" s="1379"/>
      <c r="X25" s="1379"/>
      <c r="Y25" s="1379"/>
      <c r="Z25" s="1379"/>
      <c r="AA25" s="1379"/>
      <c r="AB25" s="1379"/>
      <c r="AC25" s="1379"/>
      <c r="AD25" s="1379"/>
      <c r="AE25" s="1379"/>
      <c r="AF25" s="1379"/>
      <c r="AG25" s="1379"/>
      <c r="AH25" s="1379"/>
      <c r="AI25" s="1379"/>
      <c r="AJ25" s="1379"/>
      <c r="AK25" s="1379"/>
      <c r="AL25" s="1379"/>
      <c r="AM25" s="1379"/>
      <c r="AN25" s="1379"/>
      <c r="AO25" s="1379"/>
      <c r="AP25" s="1379"/>
      <c r="AQ25" s="1379"/>
      <c r="AR25" s="1379"/>
      <c r="AS25" s="1379"/>
      <c r="AT25" s="1379"/>
      <c r="AU25" s="1379"/>
      <c r="AV25" s="1379"/>
    </row>
    <row r="26" spans="1:48" ht="15.75" customHeight="1">
      <c r="A26" s="1379"/>
      <c r="B26" s="2390">
        <f>+IF(+ROUND(O26,2)=0,0,+IF($K$4="ДА","Нетното салдо на с/ка 7501 в СЕС не е равно на нула! Неравнението е в:",0))</f>
        <v>0</v>
      </c>
      <c r="C26" s="2390"/>
      <c r="D26" s="2390"/>
      <c r="E26" s="2390"/>
      <c r="F26" s="2390"/>
      <c r="G26" s="2390"/>
      <c r="H26" s="2390"/>
      <c r="I26" s="2390"/>
      <c r="J26" s="2390"/>
      <c r="K26" s="2390"/>
      <c r="L26" s="2390"/>
      <c r="M26" s="2026"/>
      <c r="N26" s="2027">
        <f t="shared" si="0"/>
        <v>0</v>
      </c>
      <c r="O26" s="2028">
        <f>+IF($K$4="ДА",+ROUND('TRIAL-BALANCE'!Z740,2)-ROUND('TRIAL-BALANCE'!AA740,2),0)</f>
        <v>0</v>
      </c>
      <c r="P26" s="2028"/>
      <c r="Q26" s="2112"/>
      <c r="R26" s="2404">
        <f>+IF(+'DES-TRIAL-BAL-2021'!V13=0,0,"Грешни КРАЙНИ салда в СЕС - DES")</f>
        <v>0</v>
      </c>
      <c r="S26" s="2404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1379"/>
      <c r="AG26" s="1379"/>
      <c r="AH26" s="1379"/>
      <c r="AI26" s="1379"/>
      <c r="AJ26" s="1379"/>
      <c r="AK26" s="1379"/>
      <c r="AL26" s="1379"/>
      <c r="AM26" s="1379"/>
      <c r="AN26" s="1379"/>
      <c r="AO26" s="1379"/>
      <c r="AP26" s="1379"/>
      <c r="AQ26" s="1379"/>
      <c r="AR26" s="1379"/>
      <c r="AS26" s="1379"/>
      <c r="AT26" s="1379"/>
      <c r="AU26" s="1379"/>
      <c r="AV26" s="1379"/>
    </row>
    <row r="27" spans="1:48" ht="15.75">
      <c r="A27" s="1379"/>
      <c r="B27" s="2390">
        <f>+IF(+ROUND(O27,2)=0,0,+IF($K$4="ДА","Нетното салдо на с/ка 7501 в ДСД не е равно на нула! Неравнението е в:",0))</f>
        <v>0</v>
      </c>
      <c r="C27" s="2390"/>
      <c r="D27" s="2390"/>
      <c r="E27" s="2390"/>
      <c r="F27" s="2390"/>
      <c r="G27" s="2390"/>
      <c r="H27" s="2390"/>
      <c r="I27" s="2390"/>
      <c r="J27" s="2390"/>
      <c r="K27" s="2390"/>
      <c r="L27" s="2390"/>
      <c r="M27" s="2026"/>
      <c r="N27" s="2027">
        <f t="shared" si="0"/>
        <v>0</v>
      </c>
      <c r="O27" s="2028">
        <f>+IF($K$4="ДА",+ROUND('TRIAL-BALANCE'!AG740,2)-ROUND('TRIAL-BALANCE'!AH740,2),0)</f>
        <v>0</v>
      </c>
      <c r="P27" s="2028"/>
      <c r="Q27" s="2111"/>
      <c r="R27" s="2404">
        <f>+IF(+'DMP-TRIAL-BAL-2021'!V13=0,0,"Грешни КРАЙНИ салда в СЕС - DMP")</f>
        <v>0</v>
      </c>
      <c r="S27" s="2404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1379"/>
      <c r="AG27" s="1379"/>
      <c r="AH27" s="1379"/>
      <c r="AI27" s="1379"/>
      <c r="AJ27" s="1379"/>
      <c r="AK27" s="1379"/>
      <c r="AL27" s="1379"/>
      <c r="AM27" s="1379"/>
      <c r="AN27" s="1379"/>
      <c r="AO27" s="1379"/>
      <c r="AP27" s="1379"/>
      <c r="AQ27" s="1379"/>
      <c r="AR27" s="1379"/>
      <c r="AS27" s="1379"/>
      <c r="AT27" s="1379"/>
      <c r="AU27" s="1379"/>
      <c r="AV27" s="1379"/>
    </row>
    <row r="28" spans="1:48" ht="4.5" customHeight="1">
      <c r="A28" s="1379"/>
      <c r="B28" s="2030"/>
      <c r="C28" s="2030"/>
      <c r="D28" s="2030"/>
      <c r="E28" s="2030"/>
      <c r="F28" s="2030"/>
      <c r="G28" s="2030"/>
      <c r="H28" s="2030"/>
      <c r="I28" s="2030"/>
      <c r="J28" s="2030"/>
      <c r="K28" s="2030"/>
      <c r="L28" s="2030"/>
      <c r="M28" s="2029"/>
      <c r="N28" s="2029"/>
      <c r="O28" s="2029"/>
      <c r="P28" s="2029"/>
      <c r="Q28" s="2029"/>
      <c r="R28" s="2029"/>
      <c r="S28" s="202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1379"/>
      <c r="AG28" s="1379"/>
      <c r="AH28" s="1379"/>
      <c r="AI28" s="1379"/>
      <c r="AJ28" s="1379"/>
      <c r="AK28" s="1379"/>
      <c r="AL28" s="1379"/>
      <c r="AM28" s="1379"/>
      <c r="AN28" s="1379"/>
      <c r="AO28" s="1379"/>
      <c r="AP28" s="1379"/>
      <c r="AQ28" s="1379"/>
      <c r="AR28" s="1379"/>
      <c r="AS28" s="1379"/>
      <c r="AT28" s="1379"/>
      <c r="AU28" s="1379"/>
      <c r="AV28" s="1379"/>
    </row>
    <row r="29" spans="1:48" ht="15.75">
      <c r="A29" s="1379"/>
      <c r="B29" s="2389">
        <f>+IF(+ROUND(O29,2)=0,0,+IF($K$4="ДА","Нетното салдо на с/ка 7502 в БЮДЖЕТ не е равно на нула! Неравнението е в:",0))</f>
        <v>0</v>
      </c>
      <c r="C29" s="2389"/>
      <c r="D29" s="2389"/>
      <c r="E29" s="2389"/>
      <c r="F29" s="2389"/>
      <c r="G29" s="2389"/>
      <c r="H29" s="2389"/>
      <c r="I29" s="2389"/>
      <c r="J29" s="2389"/>
      <c r="K29" s="2389"/>
      <c r="L29" s="2389"/>
      <c r="M29" s="2026"/>
      <c r="N29" s="2027">
        <f t="shared" si="0"/>
        <v>0</v>
      </c>
      <c r="O29" s="2028">
        <f>+IF($K$4="ДА",+ROUND('TRIAL-BALANCE'!S741,2)-ROUND('TRIAL-BALANCE'!T741,2),0)</f>
        <v>0</v>
      </c>
      <c r="P29" s="2028"/>
      <c r="Q29" s="2026"/>
      <c r="R29" s="2403">
        <f>+IF('TRIAL-BALANCE'!AX13=0,0,"Грешни КРАЙНИ салда в ДСД")</f>
        <v>0</v>
      </c>
      <c r="S29" s="2403"/>
      <c r="T29" s="1379"/>
      <c r="U29" s="1379"/>
      <c r="V29" s="1379"/>
      <c r="W29" s="1379"/>
      <c r="X29" s="1379"/>
      <c r="Y29" s="1379"/>
      <c r="Z29" s="1379"/>
      <c r="AA29" s="1379"/>
      <c r="AB29" s="1379"/>
      <c r="AC29" s="1379"/>
      <c r="AD29" s="1379"/>
      <c r="AE29" s="1379"/>
      <c r="AF29" s="1379"/>
      <c r="AG29" s="1379"/>
      <c r="AH29" s="1379"/>
      <c r="AI29" s="1379"/>
      <c r="AJ29" s="1379"/>
      <c r="AK29" s="1379"/>
      <c r="AL29" s="1379"/>
      <c r="AM29" s="1379"/>
      <c r="AN29" s="1379"/>
      <c r="AO29" s="1379"/>
      <c r="AP29" s="1379"/>
      <c r="AQ29" s="1379"/>
      <c r="AR29" s="1379"/>
      <c r="AS29" s="1379"/>
      <c r="AT29" s="1379"/>
      <c r="AU29" s="1379"/>
      <c r="AV29" s="1379"/>
    </row>
    <row r="30" spans="1:48" ht="15.75">
      <c r="A30" s="1379"/>
      <c r="B30" s="2390">
        <f>+IF(+ROUND(O30,2)=0,0,+IF($K$4="ДА","Нетното салдо на с/ка 7502 в СЕС не е равно на нула! Неравнението е в:",0))</f>
        <v>0</v>
      </c>
      <c r="C30" s="2390"/>
      <c r="D30" s="2390"/>
      <c r="E30" s="2390"/>
      <c r="F30" s="2390"/>
      <c r="G30" s="2390"/>
      <c r="H30" s="2390"/>
      <c r="I30" s="2390"/>
      <c r="J30" s="2390"/>
      <c r="K30" s="2390"/>
      <c r="L30" s="2390"/>
      <c r="M30" s="2026"/>
      <c r="N30" s="2027">
        <f t="shared" si="0"/>
        <v>0</v>
      </c>
      <c r="O30" s="2028">
        <f>+IF($K$4="ДА",+ROUND('TRIAL-BALANCE'!Z741,2)-ROUND('TRIAL-BALANCE'!AA741,2),0)</f>
        <v>0</v>
      </c>
      <c r="P30" s="2028"/>
      <c r="Q30" s="2026"/>
      <c r="R30" s="2127"/>
      <c r="S30" s="2029"/>
      <c r="T30" s="1379"/>
      <c r="U30" s="1379"/>
      <c r="V30" s="1379"/>
      <c r="W30" s="1379"/>
      <c r="X30" s="1379"/>
      <c r="Y30" s="1379"/>
      <c r="Z30" s="1379"/>
      <c r="AA30" s="1379"/>
      <c r="AB30" s="1379"/>
      <c r="AC30" s="1379"/>
      <c r="AD30" s="1379"/>
      <c r="AE30" s="1379"/>
      <c r="AF30" s="1379"/>
      <c r="AG30" s="1379"/>
      <c r="AH30" s="1379"/>
      <c r="AI30" s="1379"/>
      <c r="AJ30" s="1379"/>
      <c r="AK30" s="1379"/>
      <c r="AL30" s="1379"/>
      <c r="AM30" s="1379"/>
      <c r="AN30" s="1379"/>
      <c r="AO30" s="1379"/>
      <c r="AP30" s="1379"/>
      <c r="AQ30" s="1379"/>
      <c r="AR30" s="1379"/>
      <c r="AS30" s="1379"/>
      <c r="AT30" s="1379"/>
      <c r="AU30" s="1379"/>
      <c r="AV30" s="1379"/>
    </row>
    <row r="31" spans="1:48" ht="15.75">
      <c r="A31" s="1379"/>
      <c r="B31" s="2390">
        <f>+IF(+ROUND(O31,2)=0,0,+IF($K$4="ДА","Нетното салдо на с/ка 7502 в ДСД не е равно на нула! Неравнението е в:",0))</f>
        <v>0</v>
      </c>
      <c r="C31" s="2390"/>
      <c r="D31" s="2390"/>
      <c r="E31" s="2390"/>
      <c r="F31" s="2390"/>
      <c r="G31" s="2390"/>
      <c r="H31" s="2390"/>
      <c r="I31" s="2390"/>
      <c r="J31" s="2390"/>
      <c r="K31" s="2390"/>
      <c r="L31" s="2390"/>
      <c r="M31" s="2026"/>
      <c r="N31" s="2027">
        <f t="shared" si="0"/>
        <v>0</v>
      </c>
      <c r="O31" s="2028">
        <f>+IF($K$4="ДА",+ROUND('TRIAL-BALANCE'!AG741,2)-ROUND('TRIAL-BALANCE'!AH741,2),0)</f>
        <v>0</v>
      </c>
      <c r="P31" s="2028"/>
      <c r="Q31" s="2026"/>
      <c r="R31" s="2403">
        <f>IF(ROUND('TRIAL-BALANCE'!O13,2)=ROUND('TRIAL-BALANCE'!P13,2),0,"Грешни НАЧАЛНИ салда в БЮДЖЕТ")</f>
        <v>0</v>
      </c>
      <c r="S31" s="2403"/>
      <c r="T31" s="1379"/>
      <c r="U31" s="1379"/>
      <c r="V31" s="1379"/>
      <c r="W31" s="1379"/>
      <c r="X31" s="1379"/>
      <c r="Y31" s="1379"/>
      <c r="Z31" s="1379"/>
      <c r="AA31" s="1379"/>
      <c r="AB31" s="1379"/>
      <c r="AC31" s="1379"/>
      <c r="AD31" s="1379"/>
      <c r="AE31" s="1379"/>
      <c r="AF31" s="1379"/>
      <c r="AG31" s="1379"/>
      <c r="AH31" s="1379"/>
      <c r="AI31" s="1379"/>
      <c r="AJ31" s="1379"/>
      <c r="AK31" s="1379"/>
      <c r="AL31" s="1379"/>
      <c r="AM31" s="1379"/>
      <c r="AN31" s="1379"/>
      <c r="AO31" s="1379"/>
      <c r="AP31" s="1379"/>
      <c r="AQ31" s="1379"/>
      <c r="AR31" s="1379"/>
      <c r="AS31" s="1379"/>
      <c r="AT31" s="1379"/>
      <c r="AU31" s="1379"/>
      <c r="AV31" s="1379"/>
    </row>
    <row r="32" spans="1:48" ht="9" customHeight="1">
      <c r="A32" s="1379"/>
      <c r="B32" s="2030"/>
      <c r="C32" s="2030"/>
      <c r="D32" s="2030"/>
      <c r="E32" s="2030"/>
      <c r="F32" s="2030"/>
      <c r="G32" s="2030"/>
      <c r="H32" s="2030"/>
      <c r="I32" s="2030"/>
      <c r="J32" s="2030"/>
      <c r="K32" s="2030"/>
      <c r="L32" s="2030"/>
      <c r="M32" s="2029"/>
      <c r="N32" s="2029"/>
      <c r="O32" s="2029"/>
      <c r="P32" s="2029"/>
      <c r="Q32" s="2029"/>
      <c r="R32" s="2029"/>
      <c r="S32" s="2029"/>
      <c r="T32" s="1379"/>
      <c r="U32" s="1379"/>
      <c r="V32" s="1379"/>
      <c r="W32" s="1379"/>
      <c r="X32" s="1379"/>
      <c r="Y32" s="1379"/>
      <c r="Z32" s="1379"/>
      <c r="AA32" s="1379"/>
      <c r="AB32" s="1379"/>
      <c r="AC32" s="1379"/>
      <c r="AD32" s="1379"/>
      <c r="AE32" s="1379"/>
      <c r="AF32" s="1379"/>
      <c r="AG32" s="1379"/>
      <c r="AH32" s="1379"/>
      <c r="AI32" s="1379"/>
      <c r="AJ32" s="1379"/>
      <c r="AK32" s="1379"/>
      <c r="AL32" s="1379"/>
      <c r="AM32" s="1379"/>
      <c r="AN32" s="1379"/>
      <c r="AO32" s="1379"/>
      <c r="AP32" s="1379"/>
      <c r="AQ32" s="1379"/>
      <c r="AR32" s="1379"/>
      <c r="AS32" s="1379"/>
      <c r="AT32" s="1379"/>
      <c r="AU32" s="1379"/>
      <c r="AV32" s="1379"/>
    </row>
    <row r="33" spans="1:48" ht="15.75">
      <c r="A33" s="1379"/>
      <c r="B33" s="2389">
        <f>+IF(+ROUND(O33,2)=0,0,+IF($K$4="ДА","Нетното салдо на с/ка 7600 в БЮДЖЕТ не е равно на нула! Неравнението е в:",0))</f>
        <v>0</v>
      </c>
      <c r="C33" s="2389"/>
      <c r="D33" s="2389"/>
      <c r="E33" s="2389"/>
      <c r="F33" s="2389"/>
      <c r="G33" s="2389"/>
      <c r="H33" s="2389"/>
      <c r="I33" s="2389"/>
      <c r="J33" s="2389"/>
      <c r="K33" s="2389"/>
      <c r="L33" s="2389"/>
      <c r="M33" s="2026"/>
      <c r="N33" s="2027">
        <f t="shared" si="0"/>
        <v>0</v>
      </c>
      <c r="O33" s="2028">
        <f>+IF($K$4="ДА",+ROUND('TRIAL-BALANCE'!S759,2)-ROUND('TRIAL-BALANCE'!T759,2),0)</f>
        <v>0</v>
      </c>
      <c r="P33" s="2028"/>
      <c r="Q33" s="2026"/>
      <c r="R33" s="2403">
        <f>IF(ROUND('TRIAL-BALANCE'!V13,2)=ROUND('TRIAL-BALANCE'!W13,2),0,"Грешни НАЧАЛНИ салда в СЕС")</f>
        <v>0</v>
      </c>
      <c r="S33" s="2403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  <c r="AM33" s="1379"/>
      <c r="AN33" s="1379"/>
      <c r="AO33" s="1379"/>
      <c r="AP33" s="1379"/>
      <c r="AQ33" s="1379"/>
      <c r="AR33" s="1379"/>
      <c r="AS33" s="1379"/>
      <c r="AT33" s="1379"/>
      <c r="AU33" s="1379"/>
      <c r="AV33" s="1379"/>
    </row>
    <row r="34" spans="1:48" ht="15.75">
      <c r="A34" s="1379"/>
      <c r="B34" s="2390">
        <f>+IF(+ROUND(O34,2)=0,0,+IF($K$4="ДА","Нетното салдо на с/ка 7600 в СЕС не е равно на нула! Неравнението е в:",0))</f>
        <v>0</v>
      </c>
      <c r="C34" s="2390"/>
      <c r="D34" s="2390"/>
      <c r="E34" s="2390"/>
      <c r="F34" s="2390"/>
      <c r="G34" s="2390"/>
      <c r="H34" s="2390"/>
      <c r="I34" s="2390"/>
      <c r="J34" s="2390"/>
      <c r="K34" s="2390"/>
      <c r="L34" s="2390"/>
      <c r="M34" s="2026"/>
      <c r="N34" s="2027">
        <f t="shared" si="0"/>
        <v>0</v>
      </c>
      <c r="O34" s="2028">
        <f>+IF($K$4="ДА",+ROUND('TRIAL-BALANCE'!Z759,2)-ROUND('TRIAL-BALANCE'!AA759,2),0)</f>
        <v>0</v>
      </c>
      <c r="P34" s="2028"/>
      <c r="Q34" s="2112"/>
      <c r="R34" s="2404">
        <f>+IF(ROUND('NF-KSF-TRIAL-BAL-2021'!O13,2)=ROUND('NF-KSF-TRIAL-BAL-2021'!P13,2),0,"Грешни НАЧАЛНИ салда в СЕС - NF-CSF")</f>
        <v>0</v>
      </c>
      <c r="S34" s="2404"/>
      <c r="T34" s="1379"/>
      <c r="U34" s="1379"/>
      <c r="V34" s="1379"/>
      <c r="W34" s="1379"/>
      <c r="X34" s="1379"/>
      <c r="Y34" s="1379"/>
      <c r="Z34" s="1379"/>
      <c r="AA34" s="1379"/>
      <c r="AB34" s="1379"/>
      <c r="AC34" s="1379"/>
      <c r="AD34" s="1379"/>
      <c r="AE34" s="1379"/>
      <c r="AF34" s="1379"/>
      <c r="AG34" s="1379"/>
      <c r="AH34" s="1379"/>
      <c r="AI34" s="1379"/>
      <c r="AJ34" s="1379"/>
      <c r="AK34" s="1379"/>
      <c r="AL34" s="1379"/>
      <c r="AM34" s="1379"/>
      <c r="AN34" s="1379"/>
      <c r="AO34" s="1379"/>
      <c r="AP34" s="1379"/>
      <c r="AQ34" s="1379"/>
      <c r="AR34" s="1379"/>
      <c r="AS34" s="1379"/>
      <c r="AT34" s="1379"/>
      <c r="AU34" s="1379"/>
      <c r="AV34" s="1379"/>
    </row>
    <row r="35" spans="1:48" ht="15.75">
      <c r="A35" s="1379"/>
      <c r="B35" s="2390">
        <f>+IF(+ROUND(O35,2)=0,0,+IF($K$4="ДА","Нетното салдо на с/ка 7600 в ДСД не е равно на нула! Неравнението е в:",0))</f>
        <v>0</v>
      </c>
      <c r="C35" s="2390"/>
      <c r="D35" s="2390"/>
      <c r="E35" s="2390"/>
      <c r="F35" s="2390"/>
      <c r="G35" s="2390"/>
      <c r="H35" s="2390"/>
      <c r="I35" s="2390"/>
      <c r="J35" s="2390"/>
      <c r="K35" s="2390"/>
      <c r="L35" s="2390"/>
      <c r="M35" s="2026"/>
      <c r="N35" s="2027">
        <f t="shared" si="0"/>
        <v>0</v>
      </c>
      <c r="O35" s="2028">
        <f>+IF($K$4="ДА",+ROUND('TRIAL-BALANCE'!AG759,2)-ROUND('TRIAL-BALANCE'!AH759,2),0)</f>
        <v>0</v>
      </c>
      <c r="P35" s="2028"/>
      <c r="Q35" s="2111"/>
      <c r="R35" s="2404">
        <f>+IF(ROUND('RA-TRIAL-BAL-2021'!O13,2)=ROUND('RA-TRIAL-BAL-2021'!P13,2),0,"Грешни НАЧАЛНИ салда в СЕС - RA")</f>
        <v>0</v>
      </c>
      <c r="S35" s="2404"/>
      <c r="T35" s="1379"/>
      <c r="U35" s="1379"/>
      <c r="V35" s="1379"/>
      <c r="W35" s="1379"/>
      <c r="X35" s="1379"/>
      <c r="Y35" s="1379"/>
      <c r="Z35" s="1379"/>
      <c r="AA35" s="1379"/>
      <c r="AB35" s="1379"/>
      <c r="AC35" s="1379"/>
      <c r="AD35" s="1379"/>
      <c r="AE35" s="1379"/>
      <c r="AF35" s="1379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9"/>
      <c r="AT35" s="1379"/>
      <c r="AU35" s="1379"/>
      <c r="AV35" s="1379"/>
    </row>
    <row r="36" spans="1:48" ht="4.5" customHeight="1">
      <c r="A36" s="1379"/>
      <c r="B36" s="2030"/>
      <c r="C36" s="2030"/>
      <c r="D36" s="2030"/>
      <c r="E36" s="2030"/>
      <c r="F36" s="2030"/>
      <c r="G36" s="2030"/>
      <c r="H36" s="2030"/>
      <c r="I36" s="2030"/>
      <c r="J36" s="2030"/>
      <c r="K36" s="2030"/>
      <c r="L36" s="2030"/>
      <c r="M36" s="2029"/>
      <c r="N36" s="2029"/>
      <c r="O36" s="2029"/>
      <c r="P36" s="2029"/>
      <c r="Q36" s="2029"/>
      <c r="R36" s="2405">
        <f>+IF(AND(R35=0,R37=0),0," ")</f>
        <v>0</v>
      </c>
      <c r="S36" s="2405"/>
      <c r="T36" s="1379"/>
      <c r="U36" s="1379"/>
      <c r="V36" s="1379"/>
      <c r="W36" s="1379"/>
      <c r="X36" s="1379"/>
      <c r="Y36" s="1379"/>
      <c r="Z36" s="1379"/>
      <c r="AA36" s="1379"/>
      <c r="AB36" s="1379"/>
      <c r="AC36" s="1379"/>
      <c r="AD36" s="1379"/>
      <c r="AE36" s="1379"/>
      <c r="AF36" s="1379"/>
      <c r="AG36" s="1379"/>
      <c r="AH36" s="1379"/>
      <c r="AI36" s="1379"/>
      <c r="AJ36" s="1379"/>
      <c r="AK36" s="1379"/>
      <c r="AL36" s="1379"/>
      <c r="AM36" s="1379"/>
      <c r="AN36" s="1379"/>
      <c r="AO36" s="1379"/>
      <c r="AP36" s="1379"/>
      <c r="AQ36" s="1379"/>
      <c r="AR36" s="1379"/>
      <c r="AS36" s="1379"/>
      <c r="AT36" s="1379"/>
      <c r="AU36" s="1379"/>
      <c r="AV36" s="1379"/>
    </row>
    <row r="37" spans="1:48" ht="15.75">
      <c r="A37" s="1379"/>
      <c r="B37" s="2390">
        <f>+IF(+ROUND(O37,2)=0,0,+IF($K$4="ДА","Нетното салдо на с/ка 7601 не е равно на нула! Неравнението е в:",0))</f>
        <v>0</v>
      </c>
      <c r="C37" s="2390"/>
      <c r="D37" s="2390"/>
      <c r="E37" s="2390"/>
      <c r="F37" s="2390"/>
      <c r="G37" s="2390"/>
      <c r="H37" s="2390"/>
      <c r="I37" s="2390"/>
      <c r="J37" s="2390"/>
      <c r="K37" s="2390"/>
      <c r="L37" s="2390"/>
      <c r="M37" s="2026"/>
      <c r="N37" s="2027">
        <f t="shared" si="0"/>
        <v>0</v>
      </c>
      <c r="O37" s="2028">
        <f>+IF($K$4="ДА",+ROUND('TRIAL-BALANCE'!AO760,2)-ROUND('TRIAL-BALANCE'!AP760,2),0)</f>
        <v>0</v>
      </c>
      <c r="P37" s="2028"/>
      <c r="Q37" s="2026"/>
      <c r="R37" s="2404">
        <f>+IF(ROUND('DES-TRIAL-BAL-2021'!O13,2)=ROUND('DES-TRIAL-BAL-2021'!P13,2),0,"Грешни НАЧАЛНИ салда в СЕС - DES")</f>
        <v>0</v>
      </c>
      <c r="S37" s="2404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1379"/>
      <c r="AG37" s="1379"/>
      <c r="AH37" s="1379"/>
      <c r="AI37" s="1379"/>
      <c r="AJ37" s="1379"/>
      <c r="AK37" s="1379"/>
      <c r="AL37" s="1379"/>
      <c r="AM37" s="1379"/>
      <c r="AN37" s="1379"/>
      <c r="AO37" s="1379"/>
      <c r="AP37" s="1379"/>
      <c r="AQ37" s="1379"/>
      <c r="AR37" s="1379"/>
      <c r="AS37" s="1379"/>
      <c r="AT37" s="1379"/>
      <c r="AU37" s="1379"/>
      <c r="AV37" s="1379"/>
    </row>
    <row r="38" spans="1:48" ht="15.75">
      <c r="A38" s="1379"/>
      <c r="B38" s="2390">
        <f>+IF(+ROUND(O38,2)=0,0,+IF($K$4="ДА","Нетното салдо на с/ка 7602 не е равно на нула! Неравнението е в:",0))</f>
        <v>0</v>
      </c>
      <c r="C38" s="2390"/>
      <c r="D38" s="2390"/>
      <c r="E38" s="2390"/>
      <c r="F38" s="2390"/>
      <c r="G38" s="2390"/>
      <c r="H38" s="2390"/>
      <c r="I38" s="2390"/>
      <c r="J38" s="2390"/>
      <c r="K38" s="2390"/>
      <c r="L38" s="2390"/>
      <c r="M38" s="2026"/>
      <c r="N38" s="2027">
        <f t="shared" si="0"/>
        <v>0</v>
      </c>
      <c r="O38" s="2028">
        <f>+IF($K$4="ДА",+ROUND('TRIAL-BALANCE'!AO761,2)-ROUND('TRIAL-BALANCE'!AP761,2),0)</f>
        <v>0</v>
      </c>
      <c r="P38" s="2028"/>
      <c r="Q38" s="2026"/>
      <c r="R38" s="2404">
        <f>+IF(ROUND('DMP-TRIAL-BAL-2021'!O13,2)=ROUND('DMP-TRIAL-BAL-2021'!P13,2),0,"Грешни НАЧАЛНИ салда в СЕС - DMP")</f>
        <v>0</v>
      </c>
      <c r="S38" s="2404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1379"/>
      <c r="AG38" s="1379"/>
      <c r="AH38" s="1379"/>
      <c r="AI38" s="1379"/>
      <c r="AJ38" s="1379"/>
      <c r="AK38" s="1379"/>
      <c r="AL38" s="1379"/>
      <c r="AM38" s="1379"/>
      <c r="AN38" s="1379"/>
      <c r="AO38" s="1379"/>
      <c r="AP38" s="1379"/>
      <c r="AQ38" s="1379"/>
      <c r="AR38" s="1379"/>
      <c r="AS38" s="1379"/>
      <c r="AT38" s="1379"/>
      <c r="AU38" s="1379"/>
      <c r="AV38" s="1379"/>
    </row>
    <row r="39" spans="1:48" ht="15.75">
      <c r="A39" s="1379"/>
      <c r="B39" s="2390">
        <f>+IF(+ROUND(O39,2)=0,0,+IF($K$4="ДА","Нетното салдо на с/ка 7603 не е равно на нула! Неравнението е в:",0))</f>
        <v>0</v>
      </c>
      <c r="C39" s="2390"/>
      <c r="D39" s="2390"/>
      <c r="E39" s="2390"/>
      <c r="F39" s="2390"/>
      <c r="G39" s="2390"/>
      <c r="H39" s="2390"/>
      <c r="I39" s="2390"/>
      <c r="J39" s="2390"/>
      <c r="K39" s="2390"/>
      <c r="L39" s="2390"/>
      <c r="M39" s="2026"/>
      <c r="N39" s="2027">
        <f t="shared" si="0"/>
        <v>0</v>
      </c>
      <c r="O39" s="2028">
        <f>+IF($K$4="ДА",+ROUND('TRIAL-BALANCE'!AO762,2)-ROUND('TRIAL-BALANCE'!AP762,2),0)</f>
        <v>0</v>
      </c>
      <c r="P39" s="2028"/>
      <c r="Q39" s="2028"/>
      <c r="R39" s="2403">
        <f>IF(ROUND('TRIAL-BALANCE'!AC13,2)=ROUND('TRIAL-BALANCE'!AD13,2),0,"Грешни НАЧАЛНИ салда в ДСД")</f>
        <v>0</v>
      </c>
      <c r="S39" s="2403"/>
      <c r="T39" s="1379"/>
      <c r="U39" s="1379"/>
      <c r="V39" s="1379"/>
      <c r="W39" s="1379"/>
      <c r="X39" s="1379"/>
      <c r="Y39" s="1379"/>
      <c r="Z39" s="1379"/>
      <c r="AA39" s="1379"/>
      <c r="AB39" s="1379"/>
      <c r="AC39" s="1379"/>
      <c r="AD39" s="1379"/>
      <c r="AE39" s="1379"/>
      <c r="AF39" s="1379"/>
      <c r="AG39" s="1379"/>
      <c r="AH39" s="1379"/>
      <c r="AI39" s="1379"/>
      <c r="AJ39" s="1379"/>
      <c r="AK39" s="1379"/>
      <c r="AL39" s="1379"/>
      <c r="AM39" s="1379"/>
      <c r="AN39" s="1379"/>
      <c r="AO39" s="1379"/>
      <c r="AP39" s="1379"/>
      <c r="AQ39" s="1379"/>
      <c r="AR39" s="1379"/>
      <c r="AS39" s="1379"/>
      <c r="AT39" s="1379"/>
      <c r="AU39" s="1379"/>
      <c r="AV39" s="1379"/>
    </row>
    <row r="40" spans="1:48" ht="15">
      <c r="A40" s="1379"/>
      <c r="B40" s="1379"/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2126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1379"/>
      <c r="AG40" s="1379"/>
      <c r="AH40" s="1379"/>
      <c r="AI40" s="1379"/>
      <c r="AJ40" s="1379"/>
      <c r="AK40" s="1379"/>
      <c r="AL40" s="1379"/>
      <c r="AM40" s="1379"/>
      <c r="AN40" s="1379"/>
      <c r="AO40" s="1379"/>
      <c r="AP40" s="1379"/>
      <c r="AQ40" s="1379"/>
      <c r="AR40" s="1379"/>
      <c r="AS40" s="1379"/>
      <c r="AT40" s="1379"/>
      <c r="AU40" s="1379"/>
      <c r="AV40" s="1379"/>
    </row>
    <row r="41" spans="1:48" ht="15.75" customHeight="1">
      <c r="A41" s="1379"/>
      <c r="B41" s="1953"/>
      <c r="C41" s="1379"/>
      <c r="D41" s="1379"/>
      <c r="E41" s="1379"/>
      <c r="F41" s="1379"/>
      <c r="G41" s="1379"/>
      <c r="H41" s="1379"/>
      <c r="I41" s="1379"/>
      <c r="J41" s="1379"/>
      <c r="K41" s="1953"/>
      <c r="L41" s="1379"/>
      <c r="M41" s="1379"/>
      <c r="N41" s="1379"/>
      <c r="O41" s="1379"/>
      <c r="P41" s="1379"/>
      <c r="Q41" s="1379"/>
      <c r="R41" s="2127"/>
      <c r="S41" s="202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1379"/>
      <c r="AG41" s="1379"/>
      <c r="AH41" s="1379"/>
      <c r="AI41" s="1379"/>
      <c r="AJ41" s="1379"/>
      <c r="AK41" s="1379"/>
      <c r="AL41" s="1379"/>
      <c r="AM41" s="1379"/>
      <c r="AN41" s="1379"/>
      <c r="AO41" s="1379"/>
      <c r="AP41" s="1379"/>
      <c r="AQ41" s="1379"/>
      <c r="AR41" s="1379"/>
      <c r="AS41" s="1379"/>
      <c r="AT41" s="1379"/>
      <c r="AU41" s="1379"/>
      <c r="AV41" s="1379"/>
    </row>
    <row r="42" spans="1:48" ht="15.75" customHeight="1">
      <c r="A42" s="1379"/>
      <c r="B42" s="1953"/>
      <c r="C42" s="1379"/>
      <c r="D42" s="1379"/>
      <c r="E42" s="1379"/>
      <c r="F42" s="1379"/>
      <c r="G42" s="1379"/>
      <c r="H42" s="1379"/>
      <c r="I42" s="1379"/>
      <c r="J42" s="1379"/>
      <c r="K42" s="1953"/>
      <c r="L42" s="1379"/>
      <c r="M42" s="1379"/>
      <c r="N42" s="1379"/>
      <c r="O42" s="1379"/>
      <c r="P42" s="1379"/>
      <c r="Q42" s="1379"/>
      <c r="R42" s="2127"/>
      <c r="S42" s="202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1379"/>
      <c r="AG42" s="1379"/>
      <c r="AH42" s="1379"/>
      <c r="AI42" s="1379"/>
      <c r="AJ42" s="1379"/>
      <c r="AK42" s="1379"/>
      <c r="AL42" s="1379"/>
      <c r="AM42" s="1379"/>
      <c r="AN42" s="1379"/>
      <c r="AO42" s="1379"/>
      <c r="AP42" s="1379"/>
      <c r="AQ42" s="1379"/>
      <c r="AR42" s="1379"/>
      <c r="AS42" s="1379"/>
      <c r="AT42" s="1379"/>
      <c r="AU42" s="1379"/>
      <c r="AV42" s="1379"/>
    </row>
    <row r="43" spans="1:48" ht="15.75" customHeight="1">
      <c r="A43" s="1379"/>
      <c r="B43" s="1953"/>
      <c r="C43" s="1379"/>
      <c r="D43" s="1379"/>
      <c r="E43" s="1379"/>
      <c r="F43" s="1379"/>
      <c r="G43" s="1379"/>
      <c r="H43" s="1379"/>
      <c r="I43" s="1379"/>
      <c r="J43" s="1379"/>
      <c r="K43" s="1953"/>
      <c r="L43" s="1379"/>
      <c r="M43" s="1379"/>
      <c r="N43" s="1379"/>
      <c r="O43" s="1379"/>
      <c r="P43" s="1379"/>
      <c r="Q43" s="1379"/>
      <c r="R43" s="1379"/>
      <c r="S43" s="1379"/>
      <c r="T43" s="1379"/>
      <c r="U43" s="1379"/>
      <c r="V43" s="1379"/>
      <c r="W43" s="1379"/>
      <c r="X43" s="1379"/>
      <c r="Y43" s="1379"/>
      <c r="Z43" s="1379"/>
      <c r="AA43" s="1379"/>
      <c r="AB43" s="1379"/>
      <c r="AC43" s="1379"/>
      <c r="AD43" s="1379"/>
      <c r="AE43" s="1379"/>
      <c r="AF43" s="1379"/>
      <c r="AG43" s="1379"/>
      <c r="AH43" s="1379"/>
      <c r="AI43" s="1379"/>
      <c r="AJ43" s="1379"/>
      <c r="AK43" s="1379"/>
      <c r="AL43" s="1379"/>
      <c r="AM43" s="1379"/>
      <c r="AN43" s="1379"/>
      <c r="AO43" s="1379"/>
      <c r="AP43" s="1379"/>
      <c r="AQ43" s="1379"/>
      <c r="AR43" s="1379"/>
      <c r="AS43" s="1379"/>
      <c r="AT43" s="1379"/>
      <c r="AU43" s="1379"/>
      <c r="AV43" s="1379"/>
    </row>
    <row r="44" spans="1:48">
      <c r="A44" s="1379"/>
      <c r="B44" s="1379"/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1379"/>
      <c r="AG44" s="1379"/>
      <c r="AH44" s="1379"/>
      <c r="AI44" s="1379"/>
      <c r="AJ44" s="1379"/>
      <c r="AK44" s="1379"/>
      <c r="AL44" s="1379"/>
      <c r="AM44" s="1379"/>
      <c r="AN44" s="1379"/>
      <c r="AO44" s="1379"/>
      <c r="AP44" s="1379"/>
      <c r="AQ44" s="1379"/>
      <c r="AR44" s="1379"/>
      <c r="AS44" s="1379"/>
      <c r="AT44" s="1379"/>
      <c r="AU44" s="1379"/>
      <c r="AV44" s="1379"/>
    </row>
    <row r="45" spans="1:48">
      <c r="A45" s="1379"/>
      <c r="B45" s="1379"/>
      <c r="C45" s="1379"/>
      <c r="D45" s="1379"/>
      <c r="E45" s="1379"/>
      <c r="F45" s="1379"/>
      <c r="G45" s="1379"/>
      <c r="H45" s="1379"/>
      <c r="I45" s="1379"/>
      <c r="J45" s="1379"/>
      <c r="K45" s="1379"/>
      <c r="L45" s="1379"/>
      <c r="M45" s="1379"/>
      <c r="N45" s="1379"/>
      <c r="O45" s="1379"/>
      <c r="P45" s="1379"/>
      <c r="Q45" s="1379"/>
      <c r="R45" s="1379"/>
      <c r="S45" s="1379"/>
      <c r="T45" s="1379"/>
      <c r="U45" s="1379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1379"/>
      <c r="AG45" s="1379"/>
      <c r="AH45" s="1379"/>
      <c r="AI45" s="1379"/>
      <c r="AJ45" s="1379"/>
      <c r="AK45" s="1379"/>
      <c r="AL45" s="1379"/>
      <c r="AM45" s="1379"/>
      <c r="AN45" s="1379"/>
      <c r="AO45" s="1379"/>
      <c r="AP45" s="1379"/>
      <c r="AQ45" s="1379"/>
      <c r="AR45" s="1379"/>
      <c r="AS45" s="1379"/>
      <c r="AT45" s="1379"/>
      <c r="AU45" s="1379"/>
      <c r="AV45" s="1379"/>
    </row>
    <row r="46" spans="1:48">
      <c r="A46" s="1379"/>
      <c r="B46" s="1379"/>
      <c r="C46" s="1379"/>
      <c r="D46" s="1379"/>
      <c r="E46" s="1379"/>
      <c r="F46" s="1379"/>
      <c r="G46" s="1379"/>
      <c r="H46" s="1379"/>
      <c r="I46" s="1379"/>
      <c r="J46" s="1379"/>
      <c r="K46" s="1379"/>
      <c r="L46" s="1379"/>
      <c r="M46" s="1379"/>
      <c r="N46" s="1379"/>
      <c r="O46" s="1379"/>
      <c r="P46" s="1379"/>
      <c r="Q46" s="1379"/>
      <c r="R46" s="1379"/>
      <c r="S46" s="1379"/>
      <c r="T46" s="1379"/>
      <c r="U46" s="1379"/>
      <c r="V46" s="1379"/>
      <c r="W46" s="1379"/>
      <c r="X46" s="1379"/>
      <c r="Y46" s="1379"/>
      <c r="Z46" s="1379"/>
      <c r="AA46" s="1379"/>
      <c r="AB46" s="1379"/>
      <c r="AC46" s="1379"/>
      <c r="AD46" s="1379"/>
      <c r="AE46" s="1379"/>
      <c r="AF46" s="1379"/>
      <c r="AG46" s="1379"/>
      <c r="AH46" s="1379"/>
      <c r="AI46" s="1379"/>
      <c r="AJ46" s="1379"/>
      <c r="AK46" s="1379"/>
      <c r="AL46" s="1379"/>
      <c r="AM46" s="1379"/>
      <c r="AN46" s="1379"/>
      <c r="AO46" s="1379"/>
      <c r="AP46" s="1379"/>
      <c r="AQ46" s="1379"/>
      <c r="AR46" s="1379"/>
      <c r="AS46" s="1379"/>
      <c r="AT46" s="1379"/>
      <c r="AU46" s="1379"/>
      <c r="AV46" s="1379"/>
    </row>
    <row r="47" spans="1:48">
      <c r="A47" s="1379"/>
      <c r="B47" s="1379"/>
      <c r="C47" s="1379"/>
      <c r="D47" s="1379"/>
      <c r="E47" s="1379"/>
      <c r="F47" s="1379"/>
      <c r="G47" s="1379"/>
      <c r="H47" s="1379"/>
      <c r="I47" s="1379"/>
      <c r="J47" s="1379"/>
      <c r="K47" s="1379"/>
      <c r="L47" s="1379"/>
      <c r="M47" s="1379"/>
      <c r="N47" s="1379"/>
      <c r="O47" s="1379"/>
      <c r="P47" s="1379"/>
      <c r="Q47" s="1379"/>
      <c r="R47" s="1379"/>
      <c r="S47" s="1379"/>
      <c r="T47" s="1379"/>
      <c r="U47" s="1379"/>
      <c r="V47" s="1379"/>
      <c r="W47" s="1379"/>
      <c r="X47" s="1379"/>
      <c r="Y47" s="1379"/>
      <c r="Z47" s="1379"/>
      <c r="AA47" s="1379"/>
      <c r="AB47" s="1379"/>
      <c r="AC47" s="1379"/>
      <c r="AD47" s="1379"/>
      <c r="AE47" s="1379"/>
      <c r="AF47" s="1379"/>
      <c r="AG47" s="1379"/>
      <c r="AH47" s="1379"/>
      <c r="AI47" s="1379"/>
      <c r="AJ47" s="1379"/>
      <c r="AK47" s="1379"/>
      <c r="AL47" s="1379"/>
      <c r="AM47" s="1379"/>
      <c r="AN47" s="1379"/>
      <c r="AO47" s="1379"/>
      <c r="AP47" s="1379"/>
      <c r="AQ47" s="1379"/>
      <c r="AR47" s="1379"/>
      <c r="AS47" s="1379"/>
      <c r="AT47" s="1379"/>
      <c r="AU47" s="1379"/>
      <c r="AV47" s="1379"/>
    </row>
    <row r="48" spans="1:48">
      <c r="A48" s="1379"/>
      <c r="B48" s="1379"/>
      <c r="C48" s="1379"/>
      <c r="D48" s="1379"/>
      <c r="E48" s="1379"/>
      <c r="F48" s="1379"/>
      <c r="G48" s="1379"/>
      <c r="H48" s="1379"/>
      <c r="I48" s="1379"/>
      <c r="J48" s="1379"/>
      <c r="K48" s="1379"/>
      <c r="L48" s="1379"/>
      <c r="M48" s="1379"/>
      <c r="N48" s="1379"/>
      <c r="O48" s="1379"/>
      <c r="P48" s="1379"/>
      <c r="Q48" s="1379"/>
      <c r="R48" s="1379"/>
      <c r="S48" s="1379"/>
      <c r="T48" s="1379"/>
      <c r="U48" s="1379"/>
      <c r="V48" s="1379"/>
      <c r="W48" s="1379"/>
      <c r="X48" s="1379"/>
      <c r="Y48" s="1379"/>
      <c r="Z48" s="1379"/>
      <c r="AA48" s="1379"/>
      <c r="AB48" s="1379"/>
      <c r="AC48" s="1379"/>
      <c r="AD48" s="1379"/>
      <c r="AE48" s="1379"/>
      <c r="AF48" s="1379"/>
      <c r="AG48" s="1379"/>
      <c r="AH48" s="1379"/>
      <c r="AI48" s="1379"/>
      <c r="AJ48" s="1379"/>
      <c r="AK48" s="1379"/>
      <c r="AL48" s="1379"/>
      <c r="AM48" s="1379"/>
      <c r="AN48" s="1379"/>
      <c r="AO48" s="1379"/>
      <c r="AP48" s="1379"/>
      <c r="AQ48" s="1379"/>
      <c r="AR48" s="1379"/>
      <c r="AS48" s="1379"/>
      <c r="AT48" s="1379"/>
      <c r="AU48" s="1379"/>
      <c r="AV48" s="1379"/>
    </row>
    <row r="49" spans="1:48">
      <c r="A49" s="1379"/>
      <c r="B49" s="1379"/>
      <c r="C49" s="1379"/>
      <c r="D49" s="1379"/>
      <c r="E49" s="1379"/>
      <c r="F49" s="1379"/>
      <c r="G49" s="1379"/>
      <c r="H49" s="1379"/>
      <c r="I49" s="1379"/>
      <c r="J49" s="1379"/>
      <c r="K49" s="1379"/>
      <c r="L49" s="1379"/>
      <c r="M49" s="1379"/>
      <c r="N49" s="1379"/>
      <c r="O49" s="1379"/>
      <c r="P49" s="1379"/>
      <c r="Q49" s="1379"/>
      <c r="R49" s="1379"/>
      <c r="S49" s="1379"/>
      <c r="T49" s="1379"/>
      <c r="U49" s="1379"/>
      <c r="V49" s="1379"/>
      <c r="W49" s="1379"/>
      <c r="X49" s="1379"/>
      <c r="Y49" s="1379"/>
      <c r="Z49" s="1379"/>
      <c r="AA49" s="1379"/>
      <c r="AB49" s="1379"/>
      <c r="AC49" s="1379"/>
      <c r="AD49" s="1379"/>
      <c r="AE49" s="1379"/>
      <c r="AF49" s="1379"/>
      <c r="AG49" s="1379"/>
      <c r="AH49" s="1379"/>
      <c r="AI49" s="1379"/>
      <c r="AJ49" s="1379"/>
      <c r="AK49" s="1379"/>
      <c r="AL49" s="1379"/>
      <c r="AM49" s="1379"/>
      <c r="AN49" s="1379"/>
      <c r="AO49" s="1379"/>
      <c r="AP49" s="1379"/>
      <c r="AQ49" s="1379"/>
      <c r="AR49" s="1379"/>
      <c r="AS49" s="1379"/>
      <c r="AT49" s="1379"/>
      <c r="AU49" s="1379"/>
      <c r="AV49" s="1379"/>
    </row>
    <row r="50" spans="1:48">
      <c r="A50" s="1379"/>
      <c r="B50" s="1379"/>
      <c r="C50" s="1379"/>
      <c r="D50" s="1379"/>
      <c r="E50" s="1379"/>
      <c r="F50" s="1379"/>
      <c r="G50" s="1379"/>
      <c r="H50" s="1379"/>
      <c r="I50" s="1379"/>
      <c r="J50" s="1379"/>
      <c r="K50" s="1379"/>
      <c r="L50" s="1379"/>
      <c r="M50" s="1379"/>
      <c r="N50" s="1379"/>
      <c r="O50" s="1379"/>
      <c r="P50" s="1379"/>
      <c r="Q50" s="1379"/>
      <c r="R50" s="1379"/>
      <c r="S50" s="1379"/>
      <c r="T50" s="1379"/>
      <c r="U50" s="1379"/>
      <c r="V50" s="1379"/>
      <c r="W50" s="1379"/>
      <c r="X50" s="1379"/>
      <c r="Y50" s="1379"/>
      <c r="Z50" s="1379"/>
      <c r="AA50" s="1379"/>
      <c r="AB50" s="1379"/>
      <c r="AC50" s="1379"/>
      <c r="AD50" s="1379"/>
      <c r="AE50" s="1379"/>
      <c r="AF50" s="1379"/>
      <c r="AG50" s="1379"/>
      <c r="AH50" s="1379"/>
      <c r="AI50" s="1379"/>
      <c r="AJ50" s="1379"/>
      <c r="AK50" s="1379"/>
      <c r="AL50" s="1379"/>
      <c r="AM50" s="1379"/>
      <c r="AN50" s="1379"/>
      <c r="AO50" s="1379"/>
      <c r="AP50" s="1379"/>
      <c r="AQ50" s="1379"/>
      <c r="AR50" s="1379"/>
      <c r="AS50" s="1379"/>
      <c r="AT50" s="1379"/>
      <c r="AU50" s="1379"/>
      <c r="AV50" s="1379"/>
    </row>
    <row r="51" spans="1:48">
      <c r="A51" s="1379"/>
      <c r="B51" s="1379"/>
      <c r="C51" s="1379"/>
      <c r="D51" s="1379"/>
      <c r="E51" s="1379"/>
      <c r="F51" s="1379"/>
      <c r="G51" s="1379"/>
      <c r="H51" s="1379"/>
      <c r="I51" s="1379"/>
      <c r="J51" s="1379"/>
      <c r="K51" s="1379"/>
      <c r="L51" s="1379"/>
      <c r="M51" s="1379"/>
      <c r="N51" s="1379"/>
      <c r="O51" s="1379"/>
      <c r="P51" s="1379"/>
      <c r="Q51" s="1379"/>
      <c r="R51" s="1379"/>
      <c r="S51" s="1379"/>
      <c r="T51" s="1379"/>
      <c r="U51" s="1379"/>
      <c r="V51" s="1379"/>
      <c r="W51" s="1379"/>
      <c r="X51" s="1379"/>
      <c r="Y51" s="1379"/>
      <c r="Z51" s="1379"/>
      <c r="AA51" s="1379"/>
      <c r="AB51" s="1379"/>
      <c r="AC51" s="1379"/>
      <c r="AD51" s="1379"/>
      <c r="AE51" s="1379"/>
      <c r="AF51" s="1379"/>
      <c r="AG51" s="1379"/>
      <c r="AH51" s="1379"/>
      <c r="AI51" s="1379"/>
      <c r="AJ51" s="1379"/>
      <c r="AK51" s="1379"/>
      <c r="AL51" s="1379"/>
      <c r="AM51" s="1379"/>
      <c r="AN51" s="1379"/>
      <c r="AO51" s="1379"/>
      <c r="AP51" s="1379"/>
      <c r="AQ51" s="1379"/>
      <c r="AR51" s="1379"/>
      <c r="AS51" s="1379"/>
      <c r="AT51" s="1379"/>
      <c r="AU51" s="1379"/>
      <c r="AV51" s="1379"/>
    </row>
    <row r="52" spans="1:48">
      <c r="A52" s="1379"/>
      <c r="B52" s="1379"/>
      <c r="C52" s="1379"/>
      <c r="D52" s="1379"/>
      <c r="E52" s="1379"/>
      <c r="F52" s="1379"/>
      <c r="G52" s="1379"/>
      <c r="H52" s="1379"/>
      <c r="I52" s="1379"/>
      <c r="J52" s="1379"/>
      <c r="K52" s="1379"/>
      <c r="L52" s="1379"/>
      <c r="M52" s="1379"/>
      <c r="N52" s="1379"/>
      <c r="O52" s="1379"/>
      <c r="P52" s="1379"/>
      <c r="Q52" s="1379"/>
      <c r="R52" s="1379"/>
      <c r="S52" s="1379"/>
      <c r="T52" s="1379"/>
      <c r="U52" s="1379"/>
      <c r="V52" s="1379"/>
      <c r="W52" s="1379"/>
      <c r="X52" s="1379"/>
      <c r="Y52" s="1379"/>
      <c r="Z52" s="1379"/>
      <c r="AA52" s="1379"/>
      <c r="AB52" s="1379"/>
      <c r="AC52" s="1379"/>
      <c r="AD52" s="1379"/>
      <c r="AE52" s="1379"/>
      <c r="AF52" s="1379"/>
      <c r="AG52" s="1379"/>
      <c r="AH52" s="1379"/>
      <c r="AI52" s="1379"/>
      <c r="AJ52" s="1379"/>
      <c r="AK52" s="1379"/>
      <c r="AL52" s="1379"/>
      <c r="AM52" s="1379"/>
      <c r="AN52" s="1379"/>
      <c r="AO52" s="1379"/>
      <c r="AP52" s="1379"/>
      <c r="AQ52" s="1379"/>
      <c r="AR52" s="1379"/>
      <c r="AS52" s="1379"/>
      <c r="AT52" s="1379"/>
      <c r="AU52" s="1379"/>
      <c r="AV52" s="1379"/>
    </row>
    <row r="53" spans="1:48">
      <c r="A53" s="1379"/>
      <c r="B53" s="1379"/>
      <c r="C53" s="1379"/>
      <c r="D53" s="1379"/>
      <c r="E53" s="1379"/>
      <c r="F53" s="1379"/>
      <c r="G53" s="1379"/>
      <c r="H53" s="1379"/>
      <c r="I53" s="1379"/>
      <c r="J53" s="1379"/>
      <c r="K53" s="1379"/>
      <c r="L53" s="1379"/>
      <c r="M53" s="1379"/>
      <c r="N53" s="1379"/>
      <c r="O53" s="1379"/>
      <c r="P53" s="1379"/>
      <c r="Q53" s="1379"/>
      <c r="R53" s="1379"/>
      <c r="S53" s="1379"/>
      <c r="T53" s="1379"/>
      <c r="U53" s="1379"/>
      <c r="V53" s="1379"/>
      <c r="W53" s="1379"/>
      <c r="X53" s="1379"/>
      <c r="Y53" s="1379"/>
      <c r="Z53" s="1379"/>
      <c r="AA53" s="1379"/>
      <c r="AB53" s="1379"/>
      <c r="AC53" s="1379"/>
      <c r="AD53" s="1379"/>
      <c r="AE53" s="1379"/>
      <c r="AF53" s="1379"/>
      <c r="AG53" s="1379"/>
      <c r="AH53" s="1379"/>
      <c r="AI53" s="1379"/>
      <c r="AJ53" s="1379"/>
      <c r="AK53" s="1379"/>
      <c r="AL53" s="1379"/>
      <c r="AM53" s="1379"/>
      <c r="AN53" s="1379"/>
      <c r="AO53" s="1379"/>
      <c r="AP53" s="1379"/>
      <c r="AQ53" s="1379"/>
      <c r="AR53" s="1379"/>
      <c r="AS53" s="1379"/>
      <c r="AT53" s="1379"/>
      <c r="AU53" s="1379"/>
      <c r="AV53" s="1379"/>
    </row>
    <row r="54" spans="1:48">
      <c r="A54" s="1379"/>
      <c r="B54" s="1379"/>
      <c r="C54" s="1379"/>
      <c r="D54" s="1379"/>
      <c r="E54" s="1379"/>
      <c r="F54" s="1379"/>
      <c r="G54" s="1379"/>
      <c r="H54" s="1379"/>
      <c r="I54" s="1379"/>
      <c r="J54" s="1379"/>
      <c r="K54" s="1379"/>
      <c r="L54" s="1379"/>
      <c r="M54" s="1379"/>
      <c r="N54" s="1379"/>
      <c r="O54" s="1379"/>
      <c r="P54" s="1379"/>
      <c r="Q54" s="1379"/>
      <c r="R54" s="1379"/>
      <c r="S54" s="1379"/>
      <c r="T54" s="1379"/>
      <c r="U54" s="1379"/>
      <c r="V54" s="1379"/>
      <c r="W54" s="1379"/>
      <c r="X54" s="1379"/>
      <c r="Y54" s="1379"/>
      <c r="Z54" s="1379"/>
      <c r="AA54" s="1379"/>
      <c r="AB54" s="1379"/>
      <c r="AC54" s="1379"/>
      <c r="AD54" s="1379"/>
      <c r="AE54" s="1379"/>
      <c r="AF54" s="1379"/>
      <c r="AG54" s="1379"/>
      <c r="AH54" s="1379"/>
      <c r="AI54" s="1379"/>
      <c r="AJ54" s="1379"/>
      <c r="AK54" s="1379"/>
      <c r="AL54" s="1379"/>
      <c r="AM54" s="1379"/>
      <c r="AN54" s="1379"/>
      <c r="AO54" s="1379"/>
      <c r="AP54" s="1379"/>
      <c r="AQ54" s="1379"/>
      <c r="AR54" s="1379"/>
      <c r="AS54" s="1379"/>
      <c r="AT54" s="1379"/>
      <c r="AU54" s="1379"/>
      <c r="AV54" s="1379"/>
    </row>
    <row r="55" spans="1:48">
      <c r="A55" s="1379"/>
      <c r="B55" s="1379"/>
      <c r="C55" s="1379"/>
      <c r="D55" s="1379"/>
      <c r="E55" s="1379"/>
      <c r="F55" s="1379"/>
      <c r="G55" s="1379"/>
      <c r="H55" s="1379"/>
      <c r="I55" s="1379"/>
      <c r="J55" s="1379"/>
      <c r="K55" s="1379"/>
      <c r="L55" s="1379"/>
      <c r="M55" s="1379"/>
      <c r="N55" s="1379"/>
      <c r="O55" s="1379"/>
      <c r="P55" s="1379"/>
      <c r="Q55" s="1379"/>
      <c r="R55" s="1379"/>
      <c r="S55" s="1379"/>
      <c r="T55" s="1379"/>
      <c r="U55" s="1379"/>
      <c r="V55" s="1379"/>
      <c r="W55" s="1379"/>
      <c r="X55" s="1379"/>
      <c r="Y55" s="1379"/>
      <c r="Z55" s="1379"/>
      <c r="AA55" s="1379"/>
      <c r="AB55" s="1379"/>
      <c r="AC55" s="1379"/>
      <c r="AD55" s="1379"/>
      <c r="AE55" s="1379"/>
      <c r="AF55" s="1379"/>
      <c r="AG55" s="1379"/>
      <c r="AH55" s="1379"/>
      <c r="AI55" s="1379"/>
      <c r="AJ55" s="1379"/>
      <c r="AK55" s="1379"/>
      <c r="AL55" s="1379"/>
      <c r="AM55" s="1379"/>
      <c r="AN55" s="1379"/>
      <c r="AO55" s="1379"/>
      <c r="AP55" s="1379"/>
      <c r="AQ55" s="1379"/>
      <c r="AR55" s="1379"/>
      <c r="AS55" s="1379"/>
      <c r="AT55" s="1379"/>
      <c r="AU55" s="1379"/>
      <c r="AV55" s="1379"/>
    </row>
    <row r="56" spans="1:48">
      <c r="A56" s="1379"/>
      <c r="B56" s="1379"/>
      <c r="C56" s="1379"/>
      <c r="D56" s="1379"/>
      <c r="E56" s="1379"/>
      <c r="F56" s="1379"/>
      <c r="G56" s="1379"/>
      <c r="H56" s="1379"/>
      <c r="I56" s="1379"/>
      <c r="J56" s="1379"/>
      <c r="K56" s="1379"/>
      <c r="L56" s="1379"/>
      <c r="M56" s="1379"/>
      <c r="N56" s="1379"/>
      <c r="O56" s="1379"/>
      <c r="P56" s="1379"/>
      <c r="Q56" s="1379"/>
      <c r="R56" s="1379"/>
      <c r="S56" s="1379"/>
      <c r="T56" s="1379"/>
      <c r="U56" s="1379"/>
      <c r="V56" s="1379"/>
      <c r="W56" s="1379"/>
      <c r="X56" s="1379"/>
      <c r="Y56" s="1379"/>
      <c r="Z56" s="1379"/>
      <c r="AA56" s="1379"/>
      <c r="AB56" s="1379"/>
      <c r="AC56" s="1379"/>
      <c r="AD56" s="1379"/>
      <c r="AE56" s="1379"/>
      <c r="AF56" s="1379"/>
      <c r="AG56" s="1379"/>
      <c r="AH56" s="1379"/>
      <c r="AI56" s="1379"/>
      <c r="AJ56" s="1379"/>
      <c r="AK56" s="1379"/>
      <c r="AL56" s="1379"/>
      <c r="AM56" s="1379"/>
      <c r="AN56" s="1379"/>
      <c r="AO56" s="1379"/>
      <c r="AP56" s="1379"/>
      <c r="AQ56" s="1379"/>
      <c r="AR56" s="1379"/>
      <c r="AS56" s="1379"/>
      <c r="AT56" s="1379"/>
      <c r="AU56" s="1379"/>
      <c r="AV56" s="1379"/>
    </row>
    <row r="57" spans="1:48">
      <c r="A57" s="1379"/>
      <c r="B57" s="1379"/>
      <c r="C57" s="1379"/>
      <c r="D57" s="1379"/>
      <c r="E57" s="1379"/>
      <c r="F57" s="1379"/>
      <c r="G57" s="1379"/>
      <c r="H57" s="1379"/>
      <c r="I57" s="1379"/>
      <c r="J57" s="1379"/>
      <c r="K57" s="1379"/>
      <c r="L57" s="1379"/>
      <c r="M57" s="1379"/>
      <c r="N57" s="1379"/>
      <c r="O57" s="1379"/>
      <c r="P57" s="1379"/>
      <c r="Q57" s="1379"/>
      <c r="R57" s="1379"/>
      <c r="S57" s="1379"/>
      <c r="T57" s="1379"/>
      <c r="U57" s="1379"/>
      <c r="V57" s="1379"/>
      <c r="W57" s="1379"/>
      <c r="X57" s="1379"/>
      <c r="Y57" s="1379"/>
      <c r="Z57" s="1379"/>
      <c r="AA57" s="1379"/>
      <c r="AB57" s="1379"/>
      <c r="AC57" s="1379"/>
      <c r="AD57" s="1379"/>
      <c r="AE57" s="1379"/>
      <c r="AF57" s="1379"/>
      <c r="AG57" s="1379"/>
      <c r="AH57" s="1379"/>
      <c r="AI57" s="1379"/>
      <c r="AJ57" s="1379"/>
      <c r="AK57" s="1379"/>
      <c r="AL57" s="1379"/>
      <c r="AM57" s="1379"/>
      <c r="AN57" s="1379"/>
      <c r="AO57" s="1379"/>
      <c r="AP57" s="1379"/>
      <c r="AQ57" s="1379"/>
      <c r="AR57" s="1379"/>
      <c r="AS57" s="1379"/>
      <c r="AT57" s="1379"/>
      <c r="AU57" s="1379"/>
      <c r="AV57" s="1379"/>
    </row>
    <row r="58" spans="1:48">
      <c r="A58" s="1379"/>
      <c r="B58" s="1379"/>
      <c r="C58" s="1379"/>
      <c r="D58" s="1379"/>
      <c r="E58" s="1379"/>
      <c r="F58" s="1379"/>
      <c r="G58" s="1379"/>
      <c r="H58" s="1379"/>
      <c r="I58" s="1379"/>
      <c r="J58" s="1379"/>
      <c r="K58" s="1379"/>
      <c r="L58" s="1379"/>
      <c r="M58" s="1379"/>
      <c r="N58" s="1379"/>
      <c r="O58" s="1379"/>
      <c r="P58" s="1379"/>
      <c r="Q58" s="1379"/>
      <c r="R58" s="1379"/>
      <c r="S58" s="1379"/>
      <c r="T58" s="1379"/>
      <c r="U58" s="1379"/>
      <c r="V58" s="1379"/>
      <c r="W58" s="1379"/>
      <c r="X58" s="1379"/>
      <c r="Y58" s="1379"/>
      <c r="Z58" s="1379"/>
      <c r="AA58" s="1379"/>
      <c r="AB58" s="1379"/>
      <c r="AC58" s="1379"/>
      <c r="AD58" s="1379"/>
      <c r="AE58" s="1379"/>
      <c r="AF58" s="1379"/>
      <c r="AG58" s="1379"/>
      <c r="AH58" s="1379"/>
      <c r="AI58" s="1379"/>
      <c r="AJ58" s="1379"/>
      <c r="AK58" s="1379"/>
      <c r="AL58" s="1379"/>
      <c r="AM58" s="1379"/>
      <c r="AN58" s="1379"/>
      <c r="AO58" s="1379"/>
      <c r="AP58" s="1379"/>
      <c r="AQ58" s="1379"/>
      <c r="AR58" s="1379"/>
      <c r="AS58" s="1379"/>
      <c r="AT58" s="1379"/>
      <c r="AU58" s="1379"/>
      <c r="AV58" s="1379"/>
    </row>
    <row r="59" spans="1:48">
      <c r="A59" s="1379"/>
      <c r="B59" s="1379"/>
      <c r="C59" s="1379"/>
      <c r="D59" s="1379"/>
      <c r="E59" s="1379"/>
      <c r="F59" s="1379"/>
      <c r="G59" s="1379"/>
      <c r="H59" s="1379"/>
      <c r="I59" s="1379"/>
      <c r="J59" s="1379"/>
      <c r="K59" s="1379"/>
      <c r="L59" s="1379"/>
      <c r="M59" s="1379"/>
      <c r="N59" s="1379"/>
      <c r="O59" s="1379"/>
      <c r="P59" s="1379"/>
      <c r="Q59" s="1379"/>
      <c r="R59" s="1379"/>
      <c r="S59" s="1379"/>
      <c r="T59" s="1379"/>
      <c r="U59" s="1379"/>
      <c r="V59" s="1379"/>
      <c r="W59" s="1379"/>
      <c r="X59" s="1379"/>
      <c r="Y59" s="1379"/>
      <c r="Z59" s="1379"/>
      <c r="AA59" s="1379"/>
      <c r="AB59" s="1379"/>
      <c r="AC59" s="1379"/>
      <c r="AD59" s="1379"/>
      <c r="AE59" s="1379"/>
      <c r="AF59" s="1379"/>
      <c r="AG59" s="1379"/>
      <c r="AH59" s="1379"/>
      <c r="AI59" s="1379"/>
      <c r="AJ59" s="1379"/>
      <c r="AK59" s="1379"/>
      <c r="AL59" s="1379"/>
      <c r="AM59" s="1379"/>
      <c r="AN59" s="1379"/>
      <c r="AO59" s="1379"/>
      <c r="AP59" s="1379"/>
      <c r="AQ59" s="1379"/>
      <c r="AR59" s="1379"/>
      <c r="AS59" s="1379"/>
      <c r="AT59" s="1379"/>
      <c r="AU59" s="1379"/>
      <c r="AV59" s="1379"/>
    </row>
    <row r="60" spans="1:48">
      <c r="A60" s="1379"/>
      <c r="B60" s="1379"/>
      <c r="C60" s="1379"/>
      <c r="D60" s="1379"/>
      <c r="E60" s="1379"/>
      <c r="F60" s="1379"/>
      <c r="G60" s="1379"/>
      <c r="H60" s="1379"/>
      <c r="I60" s="1379"/>
      <c r="J60" s="1379"/>
      <c r="K60" s="1379"/>
      <c r="L60" s="1379"/>
      <c r="M60" s="1379"/>
      <c r="N60" s="1379"/>
      <c r="O60" s="1379"/>
      <c r="P60" s="1379"/>
      <c r="Q60" s="1379"/>
      <c r="R60" s="1379"/>
      <c r="S60" s="1379"/>
      <c r="T60" s="1379"/>
      <c r="U60" s="1379"/>
      <c r="V60" s="1379"/>
      <c r="W60" s="1379"/>
      <c r="X60" s="1379"/>
      <c r="Y60" s="1379"/>
      <c r="Z60" s="1379"/>
      <c r="AA60" s="1379"/>
      <c r="AB60" s="1379"/>
      <c r="AC60" s="1379"/>
      <c r="AD60" s="1379"/>
      <c r="AE60" s="1379"/>
      <c r="AF60" s="1379"/>
      <c r="AG60" s="1379"/>
      <c r="AH60" s="1379"/>
      <c r="AI60" s="1379"/>
      <c r="AJ60" s="1379"/>
      <c r="AK60" s="1379"/>
      <c r="AL60" s="1379"/>
      <c r="AM60" s="1379"/>
      <c r="AN60" s="1379"/>
      <c r="AO60" s="1379"/>
      <c r="AP60" s="1379"/>
      <c r="AQ60" s="1379"/>
      <c r="AR60" s="1379"/>
      <c r="AS60" s="1379"/>
      <c r="AT60" s="1379"/>
      <c r="AU60" s="1379"/>
      <c r="AV60" s="1379"/>
    </row>
    <row r="61" spans="1:48">
      <c r="A61" s="1379"/>
      <c r="B61" s="1379"/>
      <c r="C61" s="1379"/>
      <c r="D61" s="1379"/>
      <c r="E61" s="1379"/>
      <c r="F61" s="1379"/>
      <c r="G61" s="1379"/>
      <c r="H61" s="1379"/>
      <c r="I61" s="1379"/>
      <c r="J61" s="1379"/>
      <c r="K61" s="1379"/>
      <c r="L61" s="1379"/>
      <c r="M61" s="1379"/>
      <c r="N61" s="1379"/>
      <c r="O61" s="1379"/>
      <c r="P61" s="1379"/>
      <c r="Q61" s="1379"/>
      <c r="R61" s="1379"/>
      <c r="S61" s="1379"/>
      <c r="T61" s="1379"/>
      <c r="U61" s="1379"/>
      <c r="V61" s="1379"/>
      <c r="W61" s="1379"/>
      <c r="X61" s="1379"/>
      <c r="Y61" s="1379"/>
      <c r="Z61" s="1379"/>
      <c r="AA61" s="1379"/>
      <c r="AB61" s="1379"/>
      <c r="AC61" s="1379"/>
      <c r="AD61" s="1379"/>
      <c r="AE61" s="1379"/>
      <c r="AF61" s="1379"/>
      <c r="AG61" s="1379"/>
      <c r="AH61" s="1379"/>
      <c r="AI61" s="1379"/>
      <c r="AJ61" s="1379"/>
      <c r="AK61" s="1379"/>
      <c r="AL61" s="1379"/>
      <c r="AM61" s="1379"/>
      <c r="AN61" s="1379"/>
      <c r="AO61" s="1379"/>
      <c r="AP61" s="1379"/>
      <c r="AQ61" s="1379"/>
      <c r="AR61" s="1379"/>
      <c r="AS61" s="1379"/>
      <c r="AT61" s="1379"/>
      <c r="AU61" s="1379"/>
      <c r="AV61" s="1379"/>
    </row>
    <row r="62" spans="1:48">
      <c r="A62" s="1379"/>
      <c r="B62" s="1379"/>
      <c r="C62" s="1379"/>
      <c r="D62" s="1379"/>
      <c r="E62" s="1379"/>
      <c r="F62" s="1379"/>
      <c r="G62" s="1379"/>
      <c r="H62" s="1379"/>
      <c r="I62" s="1379"/>
      <c r="J62" s="1379"/>
      <c r="K62" s="1379"/>
      <c r="L62" s="1379"/>
      <c r="M62" s="1379"/>
      <c r="N62" s="1379"/>
      <c r="O62" s="1379"/>
      <c r="P62" s="1379"/>
      <c r="Q62" s="1379"/>
      <c r="R62" s="1379"/>
      <c r="S62" s="1379"/>
      <c r="T62" s="1379"/>
      <c r="U62" s="1379"/>
      <c r="V62" s="1379"/>
      <c r="W62" s="1379"/>
      <c r="X62" s="1379"/>
      <c r="Y62" s="1379"/>
      <c r="Z62" s="1379"/>
      <c r="AA62" s="1379"/>
      <c r="AB62" s="1379"/>
      <c r="AC62" s="1379"/>
      <c r="AD62" s="1379"/>
      <c r="AE62" s="1379"/>
      <c r="AF62" s="1379"/>
      <c r="AG62" s="1379"/>
      <c r="AH62" s="1379"/>
      <c r="AI62" s="1379"/>
      <c r="AJ62" s="1379"/>
      <c r="AK62" s="1379"/>
      <c r="AL62" s="1379"/>
      <c r="AM62" s="1379"/>
      <c r="AN62" s="1379"/>
      <c r="AO62" s="1379"/>
      <c r="AP62" s="1379"/>
      <c r="AQ62" s="1379"/>
      <c r="AR62" s="1379"/>
      <c r="AS62" s="1379"/>
      <c r="AT62" s="1379"/>
      <c r="AU62" s="1379"/>
      <c r="AV62" s="1379"/>
    </row>
    <row r="63" spans="1:48">
      <c r="A63" s="1379"/>
      <c r="B63" s="1379"/>
      <c r="C63" s="1379"/>
      <c r="D63" s="1379"/>
      <c r="E63" s="1379"/>
      <c r="F63" s="1379"/>
      <c r="G63" s="1379"/>
      <c r="H63" s="1379"/>
      <c r="I63" s="1379"/>
      <c r="J63" s="1379"/>
      <c r="K63" s="1379"/>
      <c r="L63" s="1379"/>
      <c r="M63" s="1379"/>
      <c r="N63" s="1379"/>
      <c r="O63" s="1379"/>
      <c r="P63" s="1379"/>
      <c r="Q63" s="1379"/>
      <c r="R63" s="1379"/>
      <c r="S63" s="1379"/>
      <c r="T63" s="1379"/>
      <c r="U63" s="1379"/>
      <c r="V63" s="1379"/>
      <c r="W63" s="1379"/>
      <c r="X63" s="1379"/>
      <c r="Y63" s="1379"/>
      <c r="Z63" s="1379"/>
      <c r="AA63" s="1379"/>
      <c r="AB63" s="1379"/>
      <c r="AC63" s="1379"/>
      <c r="AD63" s="1379"/>
      <c r="AE63" s="1379"/>
      <c r="AF63" s="1379"/>
      <c r="AG63" s="1379"/>
      <c r="AH63" s="1379"/>
      <c r="AI63" s="1379"/>
      <c r="AJ63" s="1379"/>
      <c r="AK63" s="1379"/>
      <c r="AL63" s="1379"/>
      <c r="AM63" s="1379"/>
      <c r="AN63" s="1379"/>
      <c r="AO63" s="1379"/>
      <c r="AP63" s="1379"/>
      <c r="AQ63" s="1379"/>
      <c r="AR63" s="1379"/>
      <c r="AS63" s="1379"/>
      <c r="AT63" s="1379"/>
      <c r="AU63" s="1379"/>
      <c r="AV63" s="1379"/>
    </row>
    <row r="64" spans="1:48">
      <c r="A64" s="1379"/>
      <c r="B64" s="1379"/>
      <c r="C64" s="1379"/>
      <c r="D64" s="1379"/>
      <c r="E64" s="1379"/>
      <c r="F64" s="1379"/>
      <c r="G64" s="1379"/>
      <c r="H64" s="1379"/>
      <c r="I64" s="1379"/>
      <c r="J64" s="1379"/>
      <c r="K64" s="1379"/>
      <c r="L64" s="1379"/>
      <c r="M64" s="1379"/>
      <c r="N64" s="1379"/>
      <c r="O64" s="1379"/>
      <c r="P64" s="1379"/>
      <c r="Q64" s="1379"/>
      <c r="R64" s="1379"/>
      <c r="S64" s="1379"/>
      <c r="T64" s="1379"/>
      <c r="U64" s="1379"/>
      <c r="V64" s="1379"/>
      <c r="W64" s="1379"/>
      <c r="X64" s="1379"/>
      <c r="Y64" s="1379"/>
      <c r="Z64" s="1379"/>
      <c r="AA64" s="1379"/>
      <c r="AB64" s="1379"/>
      <c r="AC64" s="1379"/>
      <c r="AD64" s="1379"/>
      <c r="AE64" s="1379"/>
      <c r="AF64" s="1379"/>
      <c r="AG64" s="1379"/>
      <c r="AH64" s="1379"/>
      <c r="AI64" s="1379"/>
      <c r="AJ64" s="1379"/>
      <c r="AK64" s="1379"/>
      <c r="AL64" s="1379"/>
      <c r="AM64" s="1379"/>
      <c r="AN64" s="1379"/>
      <c r="AO64" s="1379"/>
      <c r="AP64" s="1379"/>
      <c r="AQ64" s="1379"/>
      <c r="AR64" s="1379"/>
      <c r="AS64" s="1379"/>
      <c r="AT64" s="1379"/>
      <c r="AU64" s="1379"/>
      <c r="AV64" s="1379"/>
    </row>
    <row r="65" spans="1:48">
      <c r="A65" s="1379"/>
      <c r="B65" s="1379"/>
      <c r="C65" s="1379"/>
      <c r="D65" s="1379"/>
      <c r="E65" s="1379"/>
      <c r="F65" s="1379"/>
      <c r="G65" s="1379"/>
      <c r="H65" s="1379"/>
      <c r="I65" s="1379"/>
      <c r="J65" s="1379"/>
      <c r="K65" s="1379"/>
      <c r="L65" s="1379"/>
      <c r="M65" s="1379"/>
      <c r="N65" s="1379"/>
      <c r="O65" s="1379"/>
      <c r="P65" s="1379"/>
      <c r="Q65" s="1379"/>
      <c r="R65" s="1379"/>
      <c r="S65" s="1379"/>
      <c r="T65" s="1379"/>
      <c r="U65" s="1379"/>
      <c r="V65" s="1379"/>
      <c r="W65" s="1379"/>
      <c r="X65" s="1379"/>
      <c r="Y65" s="1379"/>
      <c r="Z65" s="1379"/>
      <c r="AA65" s="1379"/>
      <c r="AB65" s="1379"/>
      <c r="AC65" s="1379"/>
      <c r="AD65" s="1379"/>
      <c r="AE65" s="1379"/>
      <c r="AF65" s="1379"/>
      <c r="AG65" s="1379"/>
      <c r="AH65" s="1379"/>
      <c r="AI65" s="1379"/>
      <c r="AJ65" s="1379"/>
      <c r="AK65" s="1379"/>
      <c r="AL65" s="1379"/>
      <c r="AM65" s="1379"/>
      <c r="AN65" s="1379"/>
      <c r="AO65" s="1379"/>
      <c r="AP65" s="1379"/>
      <c r="AQ65" s="1379"/>
      <c r="AR65" s="1379"/>
      <c r="AS65" s="1379"/>
      <c r="AT65" s="1379"/>
      <c r="AU65" s="1379"/>
      <c r="AV65" s="1379"/>
    </row>
    <row r="66" spans="1:48">
      <c r="A66" s="1379"/>
      <c r="B66" s="1379"/>
      <c r="C66" s="1379"/>
      <c r="D66" s="1379"/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</row>
    <row r="67" spans="1:48">
      <c r="A67" s="1379"/>
      <c r="B67" s="1379"/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1379"/>
      <c r="AG67" s="1379"/>
      <c r="AH67" s="1379"/>
      <c r="AI67" s="1379"/>
      <c r="AJ67" s="1379"/>
      <c r="AK67" s="1379"/>
      <c r="AL67" s="1379"/>
      <c r="AM67" s="1379"/>
      <c r="AN67" s="1379"/>
      <c r="AO67" s="1379"/>
      <c r="AP67" s="1379"/>
      <c r="AQ67" s="1379"/>
      <c r="AR67" s="1379"/>
      <c r="AS67" s="1379"/>
      <c r="AT67" s="1379"/>
      <c r="AU67" s="1379"/>
      <c r="AV67" s="1379"/>
    </row>
  </sheetData>
  <sheetProtection password="889B" sheet="1" objects="1" scenarios="1"/>
  <mergeCells count="46">
    <mergeCell ref="R37:S37"/>
    <mergeCell ref="R38:S38"/>
    <mergeCell ref="R39:S39"/>
    <mergeCell ref="R36:S36"/>
    <mergeCell ref="R34:S34"/>
    <mergeCell ref="R35:S35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B38:L38"/>
    <mergeCell ref="B39:L39"/>
    <mergeCell ref="B30:L30"/>
    <mergeCell ref="B31:L31"/>
    <mergeCell ref="B33:L33"/>
    <mergeCell ref="B34:L34"/>
    <mergeCell ref="B37:L37"/>
    <mergeCell ref="B35:L35"/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8:I8"/>
    <mergeCell ref="B2:I2"/>
    <mergeCell ref="B29:L29"/>
    <mergeCell ref="B17:L17"/>
    <mergeCell ref="B18:L18"/>
    <mergeCell ref="B19:L19"/>
    <mergeCell ref="B25:L25"/>
    <mergeCell ref="B26:L26"/>
    <mergeCell ref="B27:L27"/>
    <mergeCell ref="B22:L22"/>
    <mergeCell ref="B23:L23"/>
    <mergeCell ref="B15:L15"/>
    <mergeCell ref="B21:L21"/>
  </mergeCells>
  <conditionalFormatting sqref="K4">
    <cfRule type="cellIs" dxfId="3734" priority="238" stopIfTrue="1" operator="equal">
      <formula>"НЕ"</formula>
    </cfRule>
  </conditionalFormatting>
  <conditionalFormatting sqref="K8">
    <cfRule type="cellIs" dxfId="3733" priority="236" stopIfTrue="1" operator="equal">
      <formula>"НЕ"</formula>
    </cfRule>
  </conditionalFormatting>
  <conditionalFormatting sqref="N13">
    <cfRule type="cellIs" dxfId="3732" priority="235" operator="equal">
      <formula>"крайното салдо -"</formula>
    </cfRule>
  </conditionalFormatting>
  <conditionalFormatting sqref="R13">
    <cfRule type="cellIs" dxfId="3731" priority="234" operator="equal">
      <formula>"началното салдо -"</formula>
    </cfRule>
  </conditionalFormatting>
  <conditionalFormatting sqref="B13:L13">
    <cfRule type="cellIs" dxfId="3730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29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28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27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26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25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24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3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2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1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0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19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18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17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16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15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14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3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2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1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0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09" priority="174" operator="equal">
      <formula>"крайното салдо -"</formula>
    </cfRule>
  </conditionalFormatting>
  <conditionalFormatting sqref="N17:N19">
    <cfRule type="cellIs" dxfId="3708" priority="173" operator="equal">
      <formula>"крайното салдо -"</formula>
    </cfRule>
  </conditionalFormatting>
  <conditionalFormatting sqref="N21:N23">
    <cfRule type="cellIs" dxfId="3707" priority="172" operator="equal">
      <formula>"крайното салдо -"</formula>
    </cfRule>
  </conditionalFormatting>
  <conditionalFormatting sqref="N25:N27">
    <cfRule type="cellIs" dxfId="3706" priority="171" operator="equal">
      <formula>"крайното салдо -"</formula>
    </cfRule>
  </conditionalFormatting>
  <conditionalFormatting sqref="N29:N31">
    <cfRule type="cellIs" dxfId="3705" priority="170" operator="equal">
      <formula>"крайното салдо -"</formula>
    </cfRule>
  </conditionalFormatting>
  <conditionalFormatting sqref="N33:N35">
    <cfRule type="cellIs" dxfId="3704" priority="169" operator="equal">
      <formula>"крайното салдо -"</formula>
    </cfRule>
  </conditionalFormatting>
  <conditionalFormatting sqref="N37:N39">
    <cfRule type="cellIs" dxfId="3703" priority="168" operator="equal">
      <formula>"крайното салдо -"</formula>
    </cfRule>
  </conditionalFormatting>
  <conditionalFormatting sqref="R14:R15">
    <cfRule type="cellIs" dxfId="3702" priority="167" operator="equal">
      <formula>"началното салдо -"</formula>
    </cfRule>
  </conditionalFormatting>
  <conditionalFormatting sqref="R17:R19">
    <cfRule type="cellIs" dxfId="3701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0" priority="160" operator="notEqual">
      <formula>0</formula>
    </cfRule>
  </conditionalFormatting>
  <conditionalFormatting sqref="N2:S2">
    <cfRule type="expression" dxfId="3699" priority="143">
      <formula>$T$4="ДА"</formula>
    </cfRule>
    <cfRule type="cellIs" dxfId="3698" priority="149" operator="equal">
      <formula>0</formula>
    </cfRule>
  </conditionalFormatting>
  <conditionalFormatting sqref="R4:S4">
    <cfRule type="expression" dxfId="3697" priority="135">
      <formula>$N$2=0</formula>
    </cfRule>
    <cfRule type="expression" dxfId="3696" priority="144">
      <formula>$T$4="ДА"</formula>
    </cfRule>
  </conditionalFormatting>
  <conditionalFormatting sqref="M4:P4">
    <cfRule type="expression" dxfId="3695" priority="142">
      <formula>$T$4="ДА"</formula>
    </cfRule>
  </conditionalFormatting>
  <conditionalFormatting sqref="M2">
    <cfRule type="expression" dxfId="3694" priority="120">
      <formula>$T$4="ДА"</formula>
    </cfRule>
    <cfRule type="cellIs" dxfId="3693" priority="140" operator="notEqual">
      <formula>0</formula>
    </cfRule>
  </conditionalFormatting>
  <conditionalFormatting sqref="M4:O4">
    <cfRule type="expression" dxfId="3692" priority="136">
      <formula>$N$2=0</formula>
    </cfRule>
    <cfRule type="expression" dxfId="3691" priority="137">
      <formula>$P$4="ДА"</formula>
    </cfRule>
  </conditionalFormatting>
  <conditionalFormatting sqref="P4 T4">
    <cfRule type="expression" dxfId="3690" priority="2830">
      <formula>$N$2=0</formula>
    </cfRule>
    <cfRule type="cellIs" dxfId="3689" priority="2831" stopIfTrue="1" operator="equal">
      <formula>"НЕ"</formula>
    </cfRule>
  </conditionalFormatting>
  <conditionalFormatting sqref="M7">
    <cfRule type="cellIs" dxfId="3688" priority="131" operator="notEqual">
      <formula>0</formula>
    </cfRule>
  </conditionalFormatting>
  <conditionalFormatting sqref="N7:S7">
    <cfRule type="cellIs" dxfId="3687" priority="132" operator="notEqual">
      <formula>0</formula>
    </cfRule>
    <cfRule type="expression" dxfId="3686" priority="133">
      <formula>$T$4="ДА"</formula>
    </cfRule>
    <cfRule type="cellIs" dxfId="3685" priority="134" operator="equal">
      <formula>0</formula>
    </cfRule>
  </conditionalFormatting>
  <conditionalFormatting sqref="M8:O8">
    <cfRule type="expression" dxfId="3684" priority="130">
      <formula>$T$8="ДА"</formula>
    </cfRule>
  </conditionalFormatting>
  <conditionalFormatting sqref="M8:O8">
    <cfRule type="expression" dxfId="3683" priority="128">
      <formula>$N$6=0</formula>
    </cfRule>
    <cfRule type="expression" dxfId="3682" priority="129">
      <formula>$P$8="ДА"</formula>
    </cfRule>
  </conditionalFormatting>
  <conditionalFormatting sqref="P8">
    <cfRule type="expression" dxfId="3681" priority="125">
      <formula>$T$8="ДА"</formula>
    </cfRule>
  </conditionalFormatting>
  <conditionalFormatting sqref="P8">
    <cfRule type="expression" dxfId="3680" priority="126">
      <formula>$N$6=0</formula>
    </cfRule>
    <cfRule type="cellIs" dxfId="3679" priority="127" stopIfTrue="1" operator="equal">
      <formula>"НЕ"</formula>
    </cfRule>
  </conditionalFormatting>
  <conditionalFormatting sqref="R8:S8">
    <cfRule type="expression" dxfId="3678" priority="121">
      <formula>$N$6=0</formula>
    </cfRule>
    <cfRule type="expression" dxfId="3677" priority="122">
      <formula>$T$8="ДА"</formula>
    </cfRule>
  </conditionalFormatting>
  <conditionalFormatting sqref="T8">
    <cfRule type="expression" dxfId="3676" priority="123">
      <formula>$N$2=0</formula>
    </cfRule>
    <cfRule type="cellIs" dxfId="3675" priority="124" stopIfTrue="1" operator="equal">
      <formula>"НЕ"</formula>
    </cfRule>
  </conditionalFormatting>
  <conditionalFormatting sqref="N6:S6">
    <cfRule type="expression" dxfId="3674" priority="118">
      <formula>$T$8="ДА"</formula>
    </cfRule>
    <cfRule type="cellIs" dxfId="3673" priority="119" operator="equal">
      <formula>0</formula>
    </cfRule>
  </conditionalFormatting>
  <conditionalFormatting sqref="M6">
    <cfRule type="expression" dxfId="3672" priority="114">
      <formula>$T$8="ДА"</formula>
    </cfRule>
    <cfRule type="cellIs" dxfId="3671" priority="115" operator="notEqual">
      <formula>0</formula>
    </cfRule>
  </conditionalFormatting>
  <conditionalFormatting sqref="Q25">
    <cfRule type="cellIs" dxfId="3670" priority="113" operator="equal">
      <formula>"началното салдо -"</formula>
    </cfRule>
  </conditionalFormatting>
  <conditionalFormatting sqref="R30">
    <cfRule type="cellIs" dxfId="3669" priority="78" operator="equal">
      <formula>"началното салдо -"</formula>
    </cfRule>
  </conditionalFormatting>
  <conditionalFormatting sqref="R30">
    <cfRule type="cellIs" dxfId="3668" priority="77" operator="equal">
      <formula>"началното салдо -"</formula>
    </cfRule>
  </conditionalFormatting>
  <conditionalFormatting sqref="R21:S21">
    <cfRule type="cellIs" dxfId="3667" priority="65" operator="notEqual">
      <formula>0</formula>
    </cfRule>
  </conditionalFormatting>
  <conditionalFormatting sqref="R29:S29">
    <cfRule type="cellIs" dxfId="3666" priority="62" operator="notEqual">
      <formula>0</formula>
    </cfRule>
  </conditionalFormatting>
  <conditionalFormatting sqref="R22:S22">
    <cfRule type="cellIs" dxfId="3665" priority="59" operator="notEqual">
      <formula>0</formula>
    </cfRule>
  </conditionalFormatting>
  <conditionalFormatting sqref="R27:S27">
    <cfRule type="cellIs" dxfId="3664" priority="57" operator="notEqual">
      <formula>0</formula>
    </cfRule>
  </conditionalFormatting>
  <conditionalFormatting sqref="R26:S26">
    <cfRule type="cellIs" dxfId="3663" priority="54" operator="notEqual">
      <formula>0</formula>
    </cfRule>
  </conditionalFormatting>
  <conditionalFormatting sqref="R25:S25">
    <cfRule type="cellIs" dxfId="3662" priority="51" operator="notEqual">
      <formula>0</formula>
    </cfRule>
  </conditionalFormatting>
  <conditionalFormatting sqref="S42">
    <cfRule type="cellIs" dxfId="3661" priority="50" operator="notEqual">
      <formula>0</formula>
    </cfRule>
  </conditionalFormatting>
  <conditionalFormatting sqref="R23:S23">
    <cfRule type="cellIs" dxfId="3660" priority="47" operator="notEqual">
      <formula>0</formula>
    </cfRule>
  </conditionalFormatting>
  <conditionalFormatting sqref="R24:S24">
    <cfRule type="cellIs" dxfId="3659" priority="46" operator="notEqual">
      <formula>0</formula>
    </cfRule>
  </conditionalFormatting>
  <conditionalFormatting sqref="R36:S36">
    <cfRule type="cellIs" dxfId="3658" priority="35" operator="notEqual">
      <formula>0</formula>
    </cfRule>
  </conditionalFormatting>
  <conditionalFormatting sqref="R31:S31">
    <cfRule type="cellIs" dxfId="3657" priority="21" operator="notEqual">
      <formula>0</formula>
    </cfRule>
  </conditionalFormatting>
  <conditionalFormatting sqref="R33:S33">
    <cfRule type="cellIs" dxfId="3656" priority="20" operator="notEqual">
      <formula>0</formula>
    </cfRule>
  </conditionalFormatting>
  <conditionalFormatting sqref="R34:S34">
    <cfRule type="cellIs" dxfId="3655" priority="19" operator="notEqual">
      <formula>0</formula>
    </cfRule>
  </conditionalFormatting>
  <conditionalFormatting sqref="R35:S35">
    <cfRule type="cellIs" dxfId="3654" priority="17" operator="notEqual">
      <formula>0</formula>
    </cfRule>
  </conditionalFormatting>
  <conditionalFormatting sqref="R40">
    <cfRule type="cellIs" dxfId="3653" priority="10" operator="equal">
      <formula>"началното салдо -"</formula>
    </cfRule>
  </conditionalFormatting>
  <conditionalFormatting sqref="R40">
    <cfRule type="cellIs" dxfId="3652" priority="9" operator="equal">
      <formula>"началното салдо -"</formula>
    </cfRule>
  </conditionalFormatting>
  <conditionalFormatting sqref="R40">
    <cfRule type="cellIs" dxfId="3651" priority="8" operator="equal">
      <formula>"началното салдо -"</formula>
    </cfRule>
  </conditionalFormatting>
  <conditionalFormatting sqref="R37:S37">
    <cfRule type="cellIs" dxfId="3650" priority="7" operator="notEqual">
      <formula>0</formula>
    </cfRule>
  </conditionalFormatting>
  <conditionalFormatting sqref="R38:S38">
    <cfRule type="cellIs" dxfId="3649" priority="6" operator="notEqual">
      <formula>0</formula>
    </cfRule>
  </conditionalFormatting>
  <conditionalFormatting sqref="R39:S39">
    <cfRule type="cellIs" dxfId="3648" priority="5" operator="notEqual">
      <formula>0</formula>
    </cfRule>
  </conditionalFormatting>
  <conditionalFormatting sqref="S41">
    <cfRule type="cellIs" dxfId="3647" priority="4" operator="notEqual">
      <formula>0</formula>
    </cfRule>
  </conditionalFormatting>
  <conditionalFormatting sqref="R41">
    <cfRule type="cellIs" dxfId="3646" priority="3" operator="equal">
      <formula>"началното салдо -"</formula>
    </cfRule>
  </conditionalFormatting>
  <conditionalFormatting sqref="R41">
    <cfRule type="cellIs" dxfId="3645" priority="2" operator="equal">
      <formula>"началното салдо -"</formula>
    </cfRule>
  </conditionalFormatting>
  <conditionalFormatting sqref="B2:I2">
    <cfRule type="cellIs" dxfId="3644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99"/>
  <sheetViews>
    <sheetView tabSelected="1" zoomScaleNormal="100" workbookViewId="0">
      <pane xSplit="12" ySplit="13" topLeftCell="M16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Z27" sqref="Z27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20" width="21" style="1393" customWidth="1"/>
    <col min="21" max="21" width="1" style="1395" customWidth="1"/>
    <col min="22" max="27" width="21" style="1393" customWidth="1"/>
    <col min="28" max="28" width="1" style="1395" customWidth="1"/>
    <col min="29" max="34" width="21" style="1393" customWidth="1"/>
    <col min="35" max="35" width="30.28515625" style="1395" customWidth="1"/>
    <col min="36" max="36" width="7.28515625" style="1396" customWidth="1"/>
    <col min="37" max="42" width="21" style="1393" customWidth="1"/>
    <col min="43" max="43" width="4" style="1392" customWidth="1"/>
    <col min="44" max="46" width="20.42578125" style="1393" customWidth="1"/>
    <col min="47" max="47" width="2.28515625" style="1392" customWidth="1"/>
    <col min="48" max="50" width="26.140625" style="1392" customWidth="1"/>
    <col min="51" max="51" width="2.28515625" style="1392" customWidth="1"/>
    <col min="52" max="54" width="9.140625" style="1392"/>
    <col min="55" max="55" width="2.28515625" style="1392" customWidth="1"/>
    <col min="56" max="16384" width="9.140625" style="1392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201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9" t="s">
        <v>257</v>
      </c>
      <c r="B2" s="3"/>
      <c r="C2" s="4"/>
      <c r="D2" s="3"/>
      <c r="E2" s="2436"/>
      <c r="F2" s="2437"/>
      <c r="G2" s="2437"/>
      <c r="H2" s="2437"/>
      <c r="I2" s="2437"/>
      <c r="J2" s="2437"/>
      <c r="K2" s="2437"/>
      <c r="L2" s="2438"/>
      <c r="M2" s="46"/>
      <c r="N2" s="1950" t="str">
        <f>+LEFT(H12,6)</f>
        <v>30 сеп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22" t="s">
        <v>191</v>
      </c>
      <c r="W2" s="423" t="str">
        <f>+IF(+W892=0,"O K","НЕРАВНЕНИЕ !")</f>
        <v>O K</v>
      </c>
      <c r="X2" s="424" t="s">
        <v>188</v>
      </c>
      <c r="Y2" s="425" t="str">
        <f>+IF(+Y892=0,"O K","НЕРАВНЕНИЕ !")</f>
        <v>O K</v>
      </c>
      <c r="Z2" s="426" t="s">
        <v>192</v>
      </c>
      <c r="AA2" s="427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4"/>
      <c r="AK2" s="1556" t="s">
        <v>191</v>
      </c>
      <c r="AL2" s="1739" t="str">
        <f>+IF(+AL892=0,"O K","НЕРАВНЕНИЕ !")</f>
        <v>O K</v>
      </c>
      <c r="AM2" s="1737" t="s">
        <v>188</v>
      </c>
      <c r="AN2" s="1738" t="str">
        <f>+IF(+AN892=0,"O K","НЕРАВНЕНИЕ !")</f>
        <v>O K</v>
      </c>
      <c r="AO2" s="1737" t="s">
        <v>192</v>
      </c>
      <c r="AP2" s="1740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54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54"/>
      <c r="C3" s="245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110"/>
      <c r="O3" s="17"/>
      <c r="P3" s="17"/>
      <c r="Q3" s="17"/>
      <c r="R3" s="17"/>
      <c r="S3" s="17"/>
      <c r="T3" s="17"/>
      <c r="U3" s="45"/>
      <c r="V3" s="428"/>
      <c r="W3" s="428"/>
      <c r="X3" s="428"/>
      <c r="Y3" s="428"/>
      <c r="Z3" s="428"/>
      <c r="AA3" s="428"/>
      <c r="AB3" s="45"/>
      <c r="AC3" s="17"/>
      <c r="AD3" s="17"/>
      <c r="AE3" s="17"/>
      <c r="AF3" s="17"/>
      <c r="AG3" s="17"/>
      <c r="AH3" s="17"/>
      <c r="AI3" s="45"/>
      <c r="AJ3" s="201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54"/>
      <c r="B4" s="2454"/>
      <c r="C4" s="2454"/>
      <c r="D4" s="2449"/>
      <c r="E4" s="2450"/>
      <c r="F4" s="1917" t="s">
        <v>1950</v>
      </c>
      <c r="G4" s="2451"/>
      <c r="H4" s="2452"/>
      <c r="I4" s="2452"/>
      <c r="J4" s="2452"/>
      <c r="K4" s="2452"/>
      <c r="L4" s="2453"/>
      <c r="M4" s="47"/>
      <c r="N4" s="1950" t="str">
        <f>+IF($N$2="31 дек","12",+IF($N$2="30 сеп","09",+IF($N$2="30 юни","06",+IF($N$2="31 мар","03",0))))</f>
        <v>09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22" t="s">
        <v>189</v>
      </c>
      <c r="W4" s="423" t="str">
        <f>+IF(+W894=0,"O K","НЕРАВНЕНИЕ !")</f>
        <v>O K</v>
      </c>
      <c r="X4" s="424" t="s">
        <v>190</v>
      </c>
      <c r="Y4" s="425" t="str">
        <f>+IF(+Y894=0,"O K","НЕРАВНЕНИЕ !")</f>
        <v>O K</v>
      </c>
      <c r="Z4" s="426" t="s">
        <v>193</v>
      </c>
      <c r="AA4" s="429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4"/>
      <c r="AK4" s="1554" t="s">
        <v>189</v>
      </c>
      <c r="AL4" s="1555" t="str">
        <f>+IF(+AL894=0,"O K","НЕРАВНЕНИЕ !")</f>
        <v>O K</v>
      </c>
      <c r="AM4" s="1737" t="s">
        <v>190</v>
      </c>
      <c r="AN4" s="1738" t="str">
        <f>+IF(+AN894=0,"O K","НЕРАВНЕНИЕ !")</f>
        <v>O K</v>
      </c>
      <c r="AO4" s="1737" t="s">
        <v>193</v>
      </c>
      <c r="AP4" s="1740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54"/>
      <c r="B5" s="2454"/>
      <c r="C5" s="245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111"/>
      <c r="O5" s="17"/>
      <c r="P5" s="17"/>
      <c r="Q5" s="17"/>
      <c r="R5" s="17"/>
      <c r="S5" s="17"/>
      <c r="T5" s="17"/>
      <c r="U5" s="45"/>
      <c r="V5" s="428"/>
      <c r="W5" s="428"/>
      <c r="X5" s="428"/>
      <c r="Y5" s="428"/>
      <c r="Z5" s="428"/>
      <c r="AA5" s="428"/>
      <c r="AB5" s="45"/>
      <c r="AC5" s="17"/>
      <c r="AD5" s="17"/>
      <c r="AE5" s="17"/>
      <c r="AF5" s="17"/>
      <c r="AG5" s="17"/>
      <c r="AH5" s="17"/>
      <c r="AI5" s="45"/>
      <c r="AJ5" s="204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18" t="s">
        <v>792</v>
      </c>
      <c r="B6" s="3"/>
      <c r="C6" s="2439"/>
      <c r="D6" s="2440"/>
      <c r="E6" s="2441"/>
      <c r="F6" s="442" t="s">
        <v>534</v>
      </c>
      <c r="G6" s="2442"/>
      <c r="H6" s="2443"/>
      <c r="I6" s="2443"/>
      <c r="J6" s="2443"/>
      <c r="K6" s="2443"/>
      <c r="L6" s="2444"/>
      <c r="M6" s="48"/>
      <c r="N6" s="111"/>
      <c r="O6" s="2421" t="s">
        <v>1118</v>
      </c>
      <c r="P6" s="2422"/>
      <c r="Q6" s="2422"/>
      <c r="R6" s="2422"/>
      <c r="S6" s="2422"/>
      <c r="T6" s="2423"/>
      <c r="U6" s="48"/>
      <c r="V6" s="2415" t="s">
        <v>185</v>
      </c>
      <c r="W6" s="2416"/>
      <c r="X6" s="2416"/>
      <c r="Y6" s="2416"/>
      <c r="Z6" s="2416"/>
      <c r="AA6" s="2417"/>
      <c r="AB6" s="48"/>
      <c r="AC6" s="2427" t="s">
        <v>160</v>
      </c>
      <c r="AD6" s="2428"/>
      <c r="AE6" s="2428"/>
      <c r="AF6" s="2428"/>
      <c r="AG6" s="2428"/>
      <c r="AH6" s="2429"/>
      <c r="AI6" s="48"/>
      <c r="AJ6" s="204"/>
      <c r="AK6" s="2433">
        <f>+E2</f>
        <v>0</v>
      </c>
      <c r="AL6" s="2412"/>
      <c r="AM6" s="2412"/>
      <c r="AN6" s="1557" t="s">
        <v>194</v>
      </c>
      <c r="AO6" s="2412" t="str">
        <f>+H12</f>
        <v>30 септември 2021 г.</v>
      </c>
      <c r="AP6" s="241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4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24"/>
      <c r="P7" s="2425"/>
      <c r="Q7" s="2425"/>
      <c r="R7" s="2425"/>
      <c r="S7" s="2425"/>
      <c r="T7" s="2426"/>
      <c r="U7" s="421"/>
      <c r="V7" s="2418"/>
      <c r="W7" s="2419"/>
      <c r="X7" s="2419"/>
      <c r="Y7" s="2419"/>
      <c r="Z7" s="2419"/>
      <c r="AA7" s="2420"/>
      <c r="AB7" s="45"/>
      <c r="AC7" s="2430"/>
      <c r="AD7" s="2431"/>
      <c r="AE7" s="2431"/>
      <c r="AF7" s="2431"/>
      <c r="AG7" s="2431"/>
      <c r="AH7" s="2432"/>
      <c r="AI7" s="45"/>
      <c r="AJ7" s="204"/>
      <c r="AK7" s="1558"/>
      <c r="AL7" s="1501"/>
      <c r="AM7" s="1501"/>
      <c r="AN7" s="1501"/>
      <c r="AO7" s="1501"/>
      <c r="AP7" s="1559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41" t="s">
        <v>258</v>
      </c>
      <c r="B8" s="6"/>
      <c r="C8" s="1055"/>
      <c r="D8" s="199" t="s">
        <v>1137</v>
      </c>
      <c r="E8" s="964">
        <v>2021</v>
      </c>
      <c r="F8" s="443" t="s">
        <v>1204</v>
      </c>
      <c r="G8" s="2445"/>
      <c r="H8" s="2446"/>
      <c r="I8" s="1269" t="s">
        <v>1206</v>
      </c>
      <c r="J8" s="2447"/>
      <c r="K8" s="2448"/>
      <c r="L8" s="2448"/>
      <c r="M8" s="48"/>
      <c r="N8" s="1569" t="s">
        <v>378</v>
      </c>
      <c r="O8" s="1095" t="s">
        <v>183</v>
      </c>
      <c r="P8" s="1096"/>
      <c r="Q8" s="1097" t="str">
        <f>+O8</f>
        <v xml:space="preserve">                   "Б Ю Д Ж Е Т"</v>
      </c>
      <c r="R8" s="1096"/>
      <c r="S8" s="1100" t="str">
        <f>+O8</f>
        <v xml:space="preserve">                   "Б Ю Д Ж Е Т"</v>
      </c>
      <c r="T8" s="1098"/>
      <c r="U8" s="48"/>
      <c r="V8" s="1101" t="s">
        <v>184</v>
      </c>
      <c r="W8" s="1102"/>
      <c r="X8" s="1103" t="str">
        <f>+V8</f>
        <v xml:space="preserve">            "Сметки за средства от ЕС"</v>
      </c>
      <c r="Y8" s="1102"/>
      <c r="Z8" s="1104" t="str">
        <f>+V8</f>
        <v xml:space="preserve">            "Сметки за средства от ЕС"</v>
      </c>
      <c r="AA8" s="1105"/>
      <c r="AB8" s="48"/>
      <c r="AC8" s="1106" t="s">
        <v>159</v>
      </c>
      <c r="AD8" s="1096"/>
      <c r="AE8" s="1107" t="s">
        <v>159</v>
      </c>
      <c r="AF8" s="1096"/>
      <c r="AG8" s="1108" t="s">
        <v>159</v>
      </c>
      <c r="AH8" s="1109"/>
      <c r="AI8" s="48"/>
      <c r="AJ8" s="1560" t="s">
        <v>378</v>
      </c>
      <c r="AK8" s="1504" t="s">
        <v>195</v>
      </c>
      <c r="AL8" s="1505"/>
      <c r="AM8" s="1506" t="s">
        <v>195</v>
      </c>
      <c r="AN8" s="1505"/>
      <c r="AO8" s="1502" t="s">
        <v>195</v>
      </c>
      <c r="AP8" s="1503"/>
      <c r="AQ8" s="43"/>
      <c r="AR8" s="1110" t="s">
        <v>2036</v>
      </c>
      <c r="AS8" s="1111"/>
      <c r="AT8" s="1112"/>
      <c r="AU8" s="43"/>
      <c r="AV8" s="2414">
        <f>+IF(AND(+AV13=0,AW13=0,AX13=0),0,"КОНТРОЛА - НАЛИЧИЕ И БРОЙ  НА ГРЕШНИ КРАЙНИ САЛДА")</f>
        <v>0</v>
      </c>
      <c r="AW8" s="2414"/>
      <c r="AX8" s="2414"/>
      <c r="AY8" s="43"/>
      <c r="AZ8" s="43"/>
      <c r="BA8" s="43"/>
      <c r="BB8" s="43"/>
      <c r="BC8" s="43"/>
      <c r="BD8" s="43"/>
    </row>
    <row r="9" spans="1:5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70"/>
      <c r="O9" s="22"/>
      <c r="P9" s="23"/>
      <c r="Q9" s="24"/>
      <c r="R9" s="23"/>
      <c r="S9" s="1099"/>
      <c r="T9" s="25"/>
      <c r="U9" s="45"/>
      <c r="V9" s="22"/>
      <c r="W9" s="23"/>
      <c r="X9" s="24"/>
      <c r="Y9" s="23"/>
      <c r="Z9" s="1099"/>
      <c r="AA9" s="25"/>
      <c r="AB9" s="45"/>
      <c r="AC9" s="22"/>
      <c r="AD9" s="23"/>
      <c r="AE9" s="24"/>
      <c r="AF9" s="23"/>
      <c r="AG9" s="1099"/>
      <c r="AH9" s="25"/>
      <c r="AI9" s="45"/>
      <c r="AJ9" s="1561"/>
      <c r="AK9" s="1525"/>
      <c r="AL9" s="1526"/>
      <c r="AM9" s="1527"/>
      <c r="AN9" s="1526"/>
      <c r="AO9" s="1528"/>
      <c r="AP9" s="1529"/>
      <c r="AQ9" s="43"/>
      <c r="AR9" s="348"/>
      <c r="AS9" s="349"/>
      <c r="AT9" s="354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9" t="s">
        <v>259</v>
      </c>
      <c r="B10" s="5"/>
      <c r="C10" s="962" t="s">
        <v>260</v>
      </c>
      <c r="D10" s="199" t="s">
        <v>261</v>
      </c>
      <c r="E10" s="5"/>
      <c r="F10" s="963" t="s">
        <v>161</v>
      </c>
      <c r="G10" s="199" t="s">
        <v>380</v>
      </c>
      <c r="H10" s="444"/>
      <c r="I10" s="5"/>
      <c r="J10" s="5"/>
      <c r="K10" s="2409"/>
      <c r="L10" s="2410"/>
      <c r="M10" s="48"/>
      <c r="N10" s="1571">
        <f>+$C8</f>
        <v>0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379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379</v>
      </c>
      <c r="AD10" s="143"/>
      <c r="AE10" s="26" t="s">
        <v>262</v>
      </c>
      <c r="AF10" s="144"/>
      <c r="AG10" s="145" t="s">
        <v>263</v>
      </c>
      <c r="AH10" s="146"/>
      <c r="AI10" s="48"/>
      <c r="AJ10" s="1562">
        <f>+C8</f>
        <v>0</v>
      </c>
      <c r="AK10" s="1530" t="s">
        <v>379</v>
      </c>
      <c r="AL10" s="1531"/>
      <c r="AM10" s="1532" t="s">
        <v>262</v>
      </c>
      <c r="AN10" s="1533"/>
      <c r="AO10" s="1534" t="s">
        <v>263</v>
      </c>
      <c r="AP10" s="1535"/>
      <c r="AQ10" s="43"/>
      <c r="AR10" s="355" t="str">
        <f>+IF(+AR13=0,"O K","ERROR !")</f>
        <v>O K</v>
      </c>
      <c r="AS10" s="356" t="str">
        <f>+IF(+AS13=0,"O K","ERROR !")</f>
        <v>O K</v>
      </c>
      <c r="AT10" s="357" t="str">
        <f>+IF(+AT13=0,"O K","ERROR !")</f>
        <v>O K</v>
      </c>
      <c r="AU10" s="43"/>
      <c r="AV10" s="2122">
        <f>+IF(AV13&gt;0,"БЮДЖЕТ",0)</f>
        <v>0</v>
      </c>
      <c r="AW10" s="2122">
        <f>+IF(AW13&gt;0,"СЕС",0)</f>
        <v>0</v>
      </c>
      <c r="AX10" s="2122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2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507"/>
      <c r="AK11" s="1508"/>
      <c r="AL11" s="1509"/>
      <c r="AM11" s="1510"/>
      <c r="AN11" s="1511"/>
      <c r="AO11" s="1510"/>
      <c r="AP11" s="1512"/>
      <c r="AQ11" s="43"/>
      <c r="AR11" s="352"/>
      <c r="AS11" s="353"/>
      <c r="AT11" s="350"/>
      <c r="AU11" s="43"/>
      <c r="AV11" s="2116"/>
      <c r="AW11" s="2116"/>
      <c r="AX11" s="2116"/>
      <c r="AY11" s="43"/>
      <c r="AZ11" s="43"/>
      <c r="BA11" s="43"/>
      <c r="BB11" s="43"/>
      <c r="BC11" s="43"/>
      <c r="BD11" s="43"/>
    </row>
    <row r="12" spans="1:56" ht="19.5" customHeight="1" thickBot="1">
      <c r="A12" s="1732" t="s">
        <v>1002</v>
      </c>
      <c r="B12" s="1072"/>
      <c r="C12" s="1073"/>
      <c r="D12" s="1074"/>
      <c r="E12" s="2455" t="str">
        <f>+F10</f>
        <v>/СБОРНА/</v>
      </c>
      <c r="F12" s="2455"/>
      <c r="G12" s="1070" t="s">
        <v>1003</v>
      </c>
      <c r="H12" s="2411" t="s">
        <v>2189</v>
      </c>
      <c r="I12" s="2411"/>
      <c r="J12" s="2411"/>
      <c r="K12" s="2411"/>
      <c r="L12" s="1436" t="s">
        <v>1179</v>
      </c>
      <c r="M12" s="50"/>
      <c r="N12" s="1573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1059" t="s">
        <v>370</v>
      </c>
      <c r="W12" s="1088" t="s">
        <v>371</v>
      </c>
      <c r="X12" s="1089" t="s">
        <v>46</v>
      </c>
      <c r="Y12" s="1090" t="s">
        <v>386</v>
      </c>
      <c r="Z12" s="1091" t="s">
        <v>370</v>
      </c>
      <c r="AA12" s="1060" t="s">
        <v>371</v>
      </c>
      <c r="AB12" s="50"/>
      <c r="AC12" s="1059" t="s">
        <v>370</v>
      </c>
      <c r="AD12" s="1088" t="s">
        <v>371</v>
      </c>
      <c r="AE12" s="1089" t="s">
        <v>46</v>
      </c>
      <c r="AF12" s="1090" t="s">
        <v>386</v>
      </c>
      <c r="AG12" s="1091" t="s">
        <v>370</v>
      </c>
      <c r="AH12" s="1060" t="s">
        <v>371</v>
      </c>
      <c r="AI12" s="50"/>
      <c r="AJ12" s="1513" t="s">
        <v>162</v>
      </c>
      <c r="AK12" s="1514" t="s">
        <v>370</v>
      </c>
      <c r="AL12" s="1515" t="s">
        <v>371</v>
      </c>
      <c r="AM12" s="1516" t="s">
        <v>46</v>
      </c>
      <c r="AN12" s="1517" t="s">
        <v>386</v>
      </c>
      <c r="AO12" s="1518" t="s">
        <v>370</v>
      </c>
      <c r="AP12" s="1519" t="s">
        <v>371</v>
      </c>
      <c r="AQ12" s="43"/>
      <c r="AR12" s="2174" t="s">
        <v>2083</v>
      </c>
      <c r="AS12" s="2175" t="s">
        <v>196</v>
      </c>
      <c r="AT12" s="2176" t="s">
        <v>2082</v>
      </c>
      <c r="AU12" s="43"/>
      <c r="AV12" s="2122">
        <f>+IF(AV13&gt;0,"брой грешни крайни с/да",0)</f>
        <v>0</v>
      </c>
      <c r="AW12" s="2122">
        <f>+IF(AW13&gt;0,"брой грешни крайни с/да",0)</f>
        <v>0</v>
      </c>
      <c r="AX12" s="2121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32" t="s">
        <v>202</v>
      </c>
      <c r="B13" s="333" t="s">
        <v>372</v>
      </c>
      <c r="C13" s="54"/>
      <c r="D13" s="54"/>
      <c r="E13" s="54"/>
      <c r="F13" s="54"/>
      <c r="G13" s="54"/>
      <c r="H13" s="2434">
        <f>+IF(AND(AV13=0,AW13=0,AX13=0),0,"ИМА грешни КРАЙНИ салда - виж колони AV:AX")</f>
        <v>0</v>
      </c>
      <c r="I13" s="2434"/>
      <c r="J13" s="2434"/>
      <c r="K13" s="2434"/>
      <c r="L13" s="2435"/>
      <c r="M13" s="49"/>
      <c r="N13" s="1075" t="s">
        <v>202</v>
      </c>
      <c r="O13" s="1076">
        <f t="shared" ref="O13:T13" si="0">+O890</f>
        <v>24204512.77</v>
      </c>
      <c r="P13" s="1077">
        <f t="shared" si="0"/>
        <v>24204512.77</v>
      </c>
      <c r="Q13" s="1078">
        <f t="shared" si="0"/>
        <v>65245503.359999999</v>
      </c>
      <c r="R13" s="1077">
        <f t="shared" si="0"/>
        <v>65245503.359999999</v>
      </c>
      <c r="S13" s="1078">
        <f t="shared" si="0"/>
        <v>43532547.619999997</v>
      </c>
      <c r="T13" s="1079">
        <f t="shared" si="0"/>
        <v>43532547.619999997</v>
      </c>
      <c r="U13" s="344"/>
      <c r="V13" s="1080">
        <f t="shared" ref="V13:AA13" si="1">+V890</f>
        <v>11827067.689999999</v>
      </c>
      <c r="W13" s="1081">
        <f t="shared" si="1"/>
        <v>11827067.689999999</v>
      </c>
      <c r="X13" s="1082">
        <f t="shared" si="1"/>
        <v>34099633.82</v>
      </c>
      <c r="Y13" s="1081">
        <f t="shared" si="1"/>
        <v>34099633.82</v>
      </c>
      <c r="Z13" s="1082">
        <f t="shared" si="1"/>
        <v>16588500.810000001</v>
      </c>
      <c r="AA13" s="1083">
        <f t="shared" si="1"/>
        <v>16588500.810000001</v>
      </c>
      <c r="AB13" s="344"/>
      <c r="AC13" s="1084">
        <f t="shared" ref="AC13:AH13" si="2">+AC890</f>
        <v>65153601.780000001</v>
      </c>
      <c r="AD13" s="1085">
        <f t="shared" si="2"/>
        <v>65153601.780000001</v>
      </c>
      <c r="AE13" s="1086">
        <f t="shared" si="2"/>
        <v>2850562.06</v>
      </c>
      <c r="AF13" s="1085">
        <f t="shared" si="2"/>
        <v>2850562.06</v>
      </c>
      <c r="AG13" s="1086">
        <f t="shared" si="2"/>
        <v>67707531.260000005</v>
      </c>
      <c r="AH13" s="1087">
        <f t="shared" si="2"/>
        <v>67707531.260000005</v>
      </c>
      <c r="AI13" s="49"/>
      <c r="AJ13" s="1520" t="s">
        <v>202</v>
      </c>
      <c r="AK13" s="1521">
        <f t="shared" ref="AK13:AP13" si="3">+AK890</f>
        <v>101185182.23999999</v>
      </c>
      <c r="AL13" s="1522">
        <f t="shared" si="3"/>
        <v>101185182.23999999</v>
      </c>
      <c r="AM13" s="1523">
        <f t="shared" si="3"/>
        <v>102195699.23999999</v>
      </c>
      <c r="AN13" s="1522">
        <f t="shared" si="3"/>
        <v>102195699.23999999</v>
      </c>
      <c r="AO13" s="1523">
        <f t="shared" si="3"/>
        <v>127828579.69</v>
      </c>
      <c r="AP13" s="1524">
        <f t="shared" si="3"/>
        <v>127828579.69</v>
      </c>
      <c r="AQ13" s="43"/>
      <c r="AR13" s="1092">
        <f>+ROUND(+AR890,2)</f>
        <v>0</v>
      </c>
      <c r="AS13" s="1093">
        <f>+ROUND(+AS890,2)</f>
        <v>0</v>
      </c>
      <c r="AT13" s="1094">
        <f>+ROUND(+AT890,2)</f>
        <v>0</v>
      </c>
      <c r="AU13" s="43"/>
      <c r="AV13" s="2122">
        <f>COUNTIF(AV14:AV887,"&gt;0")+COUNTIF(AV14:AV887,"&lt;0")</f>
        <v>0</v>
      </c>
      <c r="AW13" s="2122">
        <f>+'NF-KSF-TRIAL-BAL-2021'!V13+'RA-TRIAL-BAL-2021'!V13+'DES-TRIAL-BAL-2021'!V13+'DMP-TRIAL-BAL-2021'!V13</f>
        <v>0</v>
      </c>
      <c r="AX13" s="2122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24">
        <v>12969320.109999999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12969320.109999999</v>
      </c>
      <c r="U14" s="51"/>
      <c r="V14" s="543">
        <f>+'NF-KSF-TRIAL-BAL-2021'!O14+'RA-TRIAL-BAL-2021'!O14+'DES-TRIAL-BAL-2021'!O14+'DMP-TRIAL-BAL-2021'!O14</f>
        <v>0</v>
      </c>
      <c r="W14" s="526">
        <f>+'NF-KSF-TRIAL-BAL-2021'!P14+'RA-TRIAL-BAL-2021'!P14+'DES-TRIAL-BAL-2021'!P14+'DMP-TRIAL-BAL-2021'!P14</f>
        <v>7499.05</v>
      </c>
      <c r="X14" s="525">
        <f>+'NF-KSF-TRIAL-BAL-2021'!Q14+'RA-TRIAL-BAL-2021'!Q14+'DES-TRIAL-BAL-2021'!Q14+'DMP-TRIAL-BAL-2021'!Q14</f>
        <v>0</v>
      </c>
      <c r="Y14" s="526">
        <f>+'NF-KSF-TRIAL-BAL-2021'!R14+'RA-TRIAL-BAL-2021'!R14+'DES-TRIAL-BAL-2021'!R14+'DMP-TRIAL-BAL-2021'!R14</f>
        <v>0</v>
      </c>
      <c r="Z14" s="525">
        <f>+'NF-KSF-TRIAL-BAL-2021'!S14+'RA-TRIAL-BAL-2021'!S14+'DES-TRIAL-BAL-2021'!S14+'DMP-TRIAL-BAL-2021'!S14</f>
        <v>0</v>
      </c>
      <c r="AA14" s="527">
        <f>+'NF-KSF-TRIAL-BAL-2021'!T14+'RA-TRIAL-BAL-2021'!T14+'DES-TRIAL-BAL-2021'!T14+'DMP-TRIAL-BAL-2021'!T14</f>
        <v>7499.05</v>
      </c>
      <c r="AB14" s="51"/>
      <c r="AC14" s="323"/>
      <c r="AD14" s="324">
        <v>18726.54</v>
      </c>
      <c r="AE14" s="325"/>
      <c r="AF14" s="324"/>
      <c r="AG14" s="326">
        <f>+IF(ABS(+AC14+AE14)&gt;=ABS(AD14+AF14),+AC14-AD14+AE14-AF14,0)</f>
        <v>0</v>
      </c>
      <c r="AH14" s="327">
        <f>+IF(ABS(+AC14+AE14)&lt;=ABS(AD14+AF14),-AC14+AD14-AE14+AF14,0)</f>
        <v>18726.54</v>
      </c>
      <c r="AI14" s="51"/>
      <c r="AJ14" s="1496">
        <f t="shared" ref="AJ14:AJ26" si="4">+N14</f>
        <v>1001</v>
      </c>
      <c r="AK14" s="951">
        <f>+ROUND(+O14+V14+AC14,2)</f>
        <v>0</v>
      </c>
      <c r="AL14" s="970">
        <f>+ROUND(+P14+W14+AD14,2)</f>
        <v>12995545.699999999</v>
      </c>
      <c r="AM14" s="326">
        <f>+ROUND(+Q14+X14+AE14,2)</f>
        <v>0</v>
      </c>
      <c r="AN14" s="970">
        <f>+ROUND(+R14+Y14+AF14,2)</f>
        <v>0</v>
      </c>
      <c r="AO14" s="326">
        <f>+S14+Z14+AG14</f>
        <v>0</v>
      </c>
      <c r="AP14" s="28">
        <f>+T14+AA14+AH14</f>
        <v>12995545.699999999</v>
      </c>
      <c r="AQ14" s="43"/>
      <c r="AR14" s="358">
        <f t="shared" ref="AR14:AR26" si="5">+ROUND(+SUM(AK14-AL14)-SUM(O14-P14)-SUM(V14-W14)-SUM(AC14-AD14),2)</f>
        <v>0</v>
      </c>
      <c r="AS14" s="359">
        <f t="shared" ref="AS14:AS26" si="6">+ROUND(+SUM(AM14-AN14)-SUM(Q14-R14)-SUM(X14-Y14)-SUM(AE14-AF14),2)</f>
        <v>0</v>
      </c>
      <c r="AT14" s="360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64" t="s">
        <v>2187</v>
      </c>
      <c r="BA14" s="565"/>
      <c r="BB14" s="566"/>
      <c r="BC14" s="43"/>
      <c r="BD14" s="43"/>
    </row>
    <row r="15" spans="1:56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ref="N15:N77" si="8">+A15</f>
        <v>1101</v>
      </c>
      <c r="O15" s="120">
        <v>0</v>
      </c>
      <c r="P15" s="121">
        <v>3068237.54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3068237.54</v>
      </c>
      <c r="U15" s="51"/>
      <c r="V15" s="541">
        <f>+'NF-KSF-TRIAL-BAL-2021'!O15+'RA-TRIAL-BAL-2021'!O15+'DES-TRIAL-BAL-2021'!O15+'DMP-TRIAL-BAL-2021'!O15</f>
        <v>2163114.1</v>
      </c>
      <c r="W15" s="529">
        <f>+'NF-KSF-TRIAL-BAL-2021'!P15+'RA-TRIAL-BAL-2021'!P15+'DES-TRIAL-BAL-2021'!P15+'DMP-TRIAL-BAL-2021'!P15</f>
        <v>333682.29000000004</v>
      </c>
      <c r="X15" s="528">
        <f>+'NF-KSF-TRIAL-BAL-2021'!Q15+'RA-TRIAL-BAL-2021'!Q15+'DES-TRIAL-BAL-2021'!Q15+'DMP-TRIAL-BAL-2021'!Q15</f>
        <v>0</v>
      </c>
      <c r="Y15" s="529">
        <f>+'NF-KSF-TRIAL-BAL-2021'!R15+'RA-TRIAL-BAL-2021'!R15+'DES-TRIAL-BAL-2021'!R15+'DMP-TRIAL-BAL-2021'!R15</f>
        <v>0</v>
      </c>
      <c r="Z15" s="528">
        <f>+'NF-KSF-TRIAL-BAL-2021'!S15+'RA-TRIAL-BAL-2021'!S15+'DES-TRIAL-BAL-2021'!S15+'DMP-TRIAL-BAL-2021'!S15</f>
        <v>2163114.1</v>
      </c>
      <c r="AA15" s="347">
        <f>+'NF-KSF-TRIAL-BAL-2021'!T15+'RA-TRIAL-BAL-2021'!T15+'DES-TRIAL-BAL-2021'!T15+'DMP-TRIAL-BAL-2021'!T15</f>
        <v>333682.29000000004</v>
      </c>
      <c r="AB15" s="51"/>
      <c r="AC15" s="323"/>
      <c r="AD15" s="324">
        <v>58206177.030000001</v>
      </c>
      <c r="AE15" s="325"/>
      <c r="AF15" s="324"/>
      <c r="AG15" s="326">
        <f>+IF(ABS(+AC15+AE15)&gt;=ABS(AD15+AF15),+AC15-AD15+AE15-AF15,0)</f>
        <v>0</v>
      </c>
      <c r="AH15" s="327">
        <f>+IF(ABS(+AC15+AE15)&lt;=ABS(AD15+AF15),-AC15+AD15-AE15+AF15,0)</f>
        <v>58206177.030000001</v>
      </c>
      <c r="AI15" s="51"/>
      <c r="AJ15" s="1497">
        <f t="shared" si="4"/>
        <v>1101</v>
      </c>
      <c r="AK15" s="951">
        <f t="shared" ref="AK15:AN25" si="9">+ROUND(+O15+V15+AC15,2)</f>
        <v>2163114.1</v>
      </c>
      <c r="AL15" s="970">
        <f t="shared" si="9"/>
        <v>61608096.859999999</v>
      </c>
      <c r="AM15" s="326">
        <f t="shared" si="9"/>
        <v>0</v>
      </c>
      <c r="AN15" s="970">
        <f t="shared" si="9"/>
        <v>0</v>
      </c>
      <c r="AO15" s="326">
        <f>+S15+Z15+AG15</f>
        <v>2163114.1</v>
      </c>
      <c r="AP15" s="28">
        <f>+T15+AA15+AH15</f>
        <v>61608096.859999999</v>
      </c>
      <c r="AQ15" s="43"/>
      <c r="AR15" s="358">
        <f t="shared" si="5"/>
        <v>0</v>
      </c>
      <c r="AS15" s="359">
        <f t="shared" si="6"/>
        <v>0</v>
      </c>
      <c r="AT15" s="360">
        <f t="shared" si="7"/>
        <v>0</v>
      </c>
      <c r="AU15" s="43"/>
      <c r="AV15" s="43"/>
      <c r="AW15" s="119"/>
      <c r="AX15" s="119"/>
      <c r="AY15" s="43"/>
      <c r="AZ15" s="567" t="s">
        <v>2188</v>
      </c>
      <c r="BA15" s="568"/>
      <c r="BB15" s="569"/>
      <c r="BC15" s="43"/>
      <c r="BD15" s="43"/>
    </row>
    <row r="16" spans="1:56" ht="15.75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41">
        <f>+'NF-KSF-TRIAL-BAL-2021'!O16+'RA-TRIAL-BAL-2021'!O16+'DES-TRIAL-BAL-2021'!O16+'DMP-TRIAL-BAL-2021'!O16</f>
        <v>0</v>
      </c>
      <c r="W16" s="529">
        <f>+'NF-KSF-TRIAL-BAL-2021'!P16+'RA-TRIAL-BAL-2021'!P16+'DES-TRIAL-BAL-2021'!P16+'DMP-TRIAL-BAL-2021'!P16</f>
        <v>0</v>
      </c>
      <c r="X16" s="528">
        <f>+'NF-KSF-TRIAL-BAL-2021'!Q16+'RA-TRIAL-BAL-2021'!Q16+'DES-TRIAL-BAL-2021'!Q16+'DMP-TRIAL-BAL-2021'!Q16</f>
        <v>0</v>
      </c>
      <c r="Y16" s="529">
        <f>+'NF-KSF-TRIAL-BAL-2021'!R16+'RA-TRIAL-BAL-2021'!R16+'DES-TRIAL-BAL-2021'!R16+'DMP-TRIAL-BAL-2021'!R16</f>
        <v>0</v>
      </c>
      <c r="Z16" s="528">
        <f>+'NF-KSF-TRIAL-BAL-2021'!S16+'RA-TRIAL-BAL-2021'!S16+'DES-TRIAL-BAL-2021'!S16+'DMP-TRIAL-BAL-2021'!S16</f>
        <v>0</v>
      </c>
      <c r="AA16" s="347">
        <f>+'NF-KSF-TRIAL-BAL-2021'!T16+'RA-TRIAL-BAL-2021'!T16+'DES-TRIAL-BAL-2021'!T16+'DMP-TRIAL-BAL-2021'!T16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97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58">
        <f t="shared" si="5"/>
        <v>0</v>
      </c>
      <c r="AS16" s="359">
        <f t="shared" si="6"/>
        <v>0</v>
      </c>
      <c r="AT16" s="360">
        <f t="shared" si="7"/>
        <v>0</v>
      </c>
      <c r="AU16" s="43"/>
      <c r="AV16" s="2125">
        <f>+IF(OR(O16&lt;&gt;0,P16&lt;&gt;0,Q16&lt;&gt;0,R16&lt;&gt;0,S16&lt;&gt;0,T16&lt;&gt;0),+IF(ABS(O16+Q16)-ABS(P16+R16)&lt;&gt;0,ABS(O16+Q16)-ABS(P16+R16),1),0)</f>
        <v>0</v>
      </c>
      <c r="AW16" s="119"/>
      <c r="AX16" s="2125">
        <f>+IF(OR(AC16&lt;&gt;0,AD16&lt;&gt;0,AE16&lt;&gt;0,AF16&lt;&gt;0,AG16&lt;&gt;0,AH16&lt;&gt;0),+IF(ABS(AC16+AE16)-ABS(AD16+AF16)&lt;&gt;0,ABS(AC16+AE16)-ABS(AD16+AF16),1),0)</f>
        <v>0</v>
      </c>
      <c r="AY16" s="43"/>
      <c r="AZ16" s="567" t="s">
        <v>2189</v>
      </c>
      <c r="BA16" s="568"/>
      <c r="BB16" s="569"/>
      <c r="BC16" s="43"/>
      <c r="BD16" s="43"/>
    </row>
    <row r="17" spans="1:56" ht="15.75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8"/>
        <v>1511</v>
      </c>
      <c r="O17" s="8">
        <v>0</v>
      </c>
      <c r="P17" s="121"/>
      <c r="Q17" s="325"/>
      <c r="R17" s="324"/>
      <c r="S17" s="29">
        <v>0</v>
      </c>
      <c r="T17" s="28">
        <f>+IF(ABS(+O17+Q17)&lt;=ABS(P17+R17),-O17+P17-Q17+R17,0)</f>
        <v>0</v>
      </c>
      <c r="U17" s="51"/>
      <c r="V17" s="541">
        <f>+'NF-KSF-TRIAL-BAL-2021'!O17+'RA-TRIAL-BAL-2021'!O17+'DES-TRIAL-BAL-2021'!O17+'DMP-TRIAL-BAL-2021'!O17</f>
        <v>0</v>
      </c>
      <c r="W17" s="529">
        <f>+'NF-KSF-TRIAL-BAL-2021'!P17+'RA-TRIAL-BAL-2021'!P17+'DES-TRIAL-BAL-2021'!P17+'DMP-TRIAL-BAL-2021'!P17</f>
        <v>0</v>
      </c>
      <c r="X17" s="528">
        <f>+'NF-KSF-TRIAL-BAL-2021'!Q17+'RA-TRIAL-BAL-2021'!Q17+'DES-TRIAL-BAL-2021'!Q17+'DMP-TRIAL-BAL-2021'!Q17</f>
        <v>0</v>
      </c>
      <c r="Y17" s="529">
        <f>+'NF-KSF-TRIAL-BAL-2021'!R17+'RA-TRIAL-BAL-2021'!R17+'DES-TRIAL-BAL-2021'!R17+'DMP-TRIAL-BAL-2021'!R17</f>
        <v>0</v>
      </c>
      <c r="Z17" s="528">
        <f>+'NF-KSF-TRIAL-BAL-2021'!S17+'RA-TRIAL-BAL-2021'!S17+'DES-TRIAL-BAL-2021'!S17+'DMP-TRIAL-BAL-2021'!S17</f>
        <v>0</v>
      </c>
      <c r="AA17" s="347">
        <f>+'NF-KSF-TRIAL-BAL-2021'!T17+'RA-TRIAL-BAL-2021'!T17+'DES-TRIAL-BAL-2021'!T17+'DMP-TRIAL-BAL-2021'!T17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97">
        <f t="shared" si="4"/>
        <v>1511</v>
      </c>
      <c r="AK17" s="8">
        <v>0</v>
      </c>
      <c r="AL17" s="970">
        <f t="shared" si="9"/>
        <v>0</v>
      </c>
      <c r="AM17" s="326">
        <f t="shared" si="9"/>
        <v>0</v>
      </c>
      <c r="AN17" s="970">
        <f t="shared" si="9"/>
        <v>0</v>
      </c>
      <c r="AO17" s="29">
        <v>0</v>
      </c>
      <c r="AP17" s="28">
        <f>+T17+AA17+AH17</f>
        <v>0</v>
      </c>
      <c r="AQ17" s="43"/>
      <c r="AR17" s="358">
        <f t="shared" si="5"/>
        <v>0</v>
      </c>
      <c r="AS17" s="359">
        <f t="shared" si="6"/>
        <v>0</v>
      </c>
      <c r="AT17" s="360">
        <f t="shared" si="7"/>
        <v>0</v>
      </c>
      <c r="AU17" s="43"/>
      <c r="AV17" s="2119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125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70" t="s">
        <v>2190</v>
      </c>
      <c r="BA17" s="571"/>
      <c r="BB17" s="572"/>
      <c r="BC17" s="43"/>
      <c r="BD17" s="43"/>
    </row>
    <row r="18" spans="1:56" ht="15.75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8"/>
        <v>1517</v>
      </c>
      <c r="O18" s="120"/>
      <c r="P18" s="9">
        <v>0</v>
      </c>
      <c r="Q18" s="325"/>
      <c r="R18" s="121"/>
      <c r="S18" s="27">
        <f>+IF(ABS(+O18+Q18)&gt;=ABS(P18+R18),+O18-P18+Q18-R18,0)</f>
        <v>0</v>
      </c>
      <c r="T18" s="30">
        <v>0</v>
      </c>
      <c r="U18" s="51"/>
      <c r="V18" s="541">
        <f>+'NF-KSF-TRIAL-BAL-2021'!O18+'RA-TRIAL-BAL-2021'!O18+'DES-TRIAL-BAL-2021'!O18+'DMP-TRIAL-BAL-2021'!O18</f>
        <v>0</v>
      </c>
      <c r="W18" s="529">
        <f>+'NF-KSF-TRIAL-BAL-2021'!P18+'RA-TRIAL-BAL-2021'!P18+'DES-TRIAL-BAL-2021'!P18+'DMP-TRIAL-BAL-2021'!P18</f>
        <v>0</v>
      </c>
      <c r="X18" s="528">
        <f>+'NF-KSF-TRIAL-BAL-2021'!Q18+'RA-TRIAL-BAL-2021'!Q18+'DES-TRIAL-BAL-2021'!Q18+'DMP-TRIAL-BAL-2021'!Q18</f>
        <v>0</v>
      </c>
      <c r="Y18" s="529">
        <f>+'NF-KSF-TRIAL-BAL-2021'!R18+'RA-TRIAL-BAL-2021'!R18+'DES-TRIAL-BAL-2021'!R18+'DMP-TRIAL-BAL-2021'!R18</f>
        <v>0</v>
      </c>
      <c r="Z18" s="528">
        <f>+'NF-KSF-TRIAL-BAL-2021'!S18+'RA-TRIAL-BAL-2021'!S18+'DES-TRIAL-BAL-2021'!S18+'DMP-TRIAL-BAL-2021'!S18</f>
        <v>0</v>
      </c>
      <c r="AA18" s="347">
        <f>+'NF-KSF-TRIAL-BAL-2021'!T18+'RA-TRIAL-BAL-2021'!T18+'DES-TRIAL-BAL-2021'!T18+'DMP-TRIAL-BAL-2021'!T18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97">
        <f t="shared" si="4"/>
        <v>1517</v>
      </c>
      <c r="AK18" s="951">
        <f t="shared" si="9"/>
        <v>0</v>
      </c>
      <c r="AL18" s="9">
        <v>0</v>
      </c>
      <c r="AM18" s="326">
        <f t="shared" si="9"/>
        <v>0</v>
      </c>
      <c r="AN18" s="970">
        <f t="shared" si="9"/>
        <v>0</v>
      </c>
      <c r="AO18" s="326">
        <f>+S18+Z18+AG18</f>
        <v>0</v>
      </c>
      <c r="AP18" s="30">
        <v>0</v>
      </c>
      <c r="AQ18" s="43"/>
      <c r="AR18" s="358">
        <f t="shared" si="5"/>
        <v>0</v>
      </c>
      <c r="AS18" s="359">
        <f t="shared" si="6"/>
        <v>0</v>
      </c>
      <c r="AT18" s="360">
        <f t="shared" si="7"/>
        <v>0</v>
      </c>
      <c r="AU18" s="43"/>
      <c r="AV18" s="2120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125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8"/>
        <v>1521</v>
      </c>
      <c r="O19" s="8">
        <v>0</v>
      </c>
      <c r="P19" s="121"/>
      <c r="Q19" s="325"/>
      <c r="R19" s="324"/>
      <c r="S19" s="29">
        <v>0</v>
      </c>
      <c r="T19" s="28">
        <f>+IF(ABS(+O19+Q19)&lt;=ABS(P19+R19),-O19+P19-Q19+R19,0)</f>
        <v>0</v>
      </c>
      <c r="U19" s="51"/>
      <c r="V19" s="541">
        <f>+'NF-KSF-TRIAL-BAL-2021'!O19+'RA-TRIAL-BAL-2021'!O19+'DES-TRIAL-BAL-2021'!O19+'DMP-TRIAL-BAL-2021'!O19</f>
        <v>0</v>
      </c>
      <c r="W19" s="529">
        <f>+'NF-KSF-TRIAL-BAL-2021'!P19+'RA-TRIAL-BAL-2021'!P19+'DES-TRIAL-BAL-2021'!P19+'DMP-TRIAL-BAL-2021'!P19</f>
        <v>0</v>
      </c>
      <c r="X19" s="528">
        <f>+'NF-KSF-TRIAL-BAL-2021'!Q19+'RA-TRIAL-BAL-2021'!Q19+'DES-TRIAL-BAL-2021'!Q19+'DMP-TRIAL-BAL-2021'!Q19</f>
        <v>0</v>
      </c>
      <c r="Y19" s="529">
        <f>+'NF-KSF-TRIAL-BAL-2021'!R19+'RA-TRIAL-BAL-2021'!R19+'DES-TRIAL-BAL-2021'!R19+'DMP-TRIAL-BAL-2021'!R19</f>
        <v>0</v>
      </c>
      <c r="Z19" s="528">
        <f>+'NF-KSF-TRIAL-BAL-2021'!S19+'RA-TRIAL-BAL-2021'!S19+'DES-TRIAL-BAL-2021'!S19+'DMP-TRIAL-BAL-2021'!S19</f>
        <v>0</v>
      </c>
      <c r="AA19" s="347">
        <f>+'NF-KSF-TRIAL-BAL-2021'!T19+'RA-TRIAL-BAL-2021'!T19+'DES-TRIAL-BAL-2021'!T19+'DMP-TRIAL-BAL-2021'!T19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97">
        <f t="shared" si="4"/>
        <v>1521</v>
      </c>
      <c r="AK19" s="8">
        <v>0</v>
      </c>
      <c r="AL19" s="970">
        <f t="shared" si="9"/>
        <v>0</v>
      </c>
      <c r="AM19" s="326">
        <f t="shared" si="9"/>
        <v>0</v>
      </c>
      <c r="AN19" s="970">
        <f t="shared" si="9"/>
        <v>0</v>
      </c>
      <c r="AO19" s="29">
        <v>0</v>
      </c>
      <c r="AP19" s="28">
        <f>+T19+AA19+AH19</f>
        <v>0</v>
      </c>
      <c r="AQ19" s="43"/>
      <c r="AR19" s="358">
        <f t="shared" si="5"/>
        <v>0</v>
      </c>
      <c r="AS19" s="359">
        <f t="shared" si="6"/>
        <v>0</v>
      </c>
      <c r="AT19" s="360">
        <f t="shared" si="7"/>
        <v>0</v>
      </c>
      <c r="AU19" s="43"/>
      <c r="AV19" s="2119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125">
        <f t="shared" si="10"/>
        <v>0</v>
      </c>
      <c r="AY19" s="43"/>
      <c r="AZ19" s="2304" t="s">
        <v>2191</v>
      </c>
      <c r="BA19" s="2305"/>
      <c r="BB19" s="43"/>
      <c r="BC19" s="43"/>
      <c r="BD19" s="43"/>
    </row>
    <row r="20" spans="1:56" ht="15.75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8"/>
        <v>1523</v>
      </c>
      <c r="O20" s="8">
        <v>0</v>
      </c>
      <c r="P20" s="121"/>
      <c r="Q20" s="325"/>
      <c r="R20" s="324"/>
      <c r="S20" s="29">
        <v>0</v>
      </c>
      <c r="T20" s="28">
        <f>+IF(ABS(+O20+Q20)&lt;=ABS(P20+R20),-O20+P20-Q20+R20,0)</f>
        <v>0</v>
      </c>
      <c r="U20" s="51"/>
      <c r="V20" s="541">
        <f>+'NF-KSF-TRIAL-BAL-2021'!O20+'RA-TRIAL-BAL-2021'!O20+'DES-TRIAL-BAL-2021'!O20+'DMP-TRIAL-BAL-2021'!O20</f>
        <v>0</v>
      </c>
      <c r="W20" s="529">
        <f>+'NF-KSF-TRIAL-BAL-2021'!P20+'RA-TRIAL-BAL-2021'!P20+'DES-TRIAL-BAL-2021'!P20+'DMP-TRIAL-BAL-2021'!P20</f>
        <v>0</v>
      </c>
      <c r="X20" s="528">
        <f>+'NF-KSF-TRIAL-BAL-2021'!Q20+'RA-TRIAL-BAL-2021'!Q20+'DES-TRIAL-BAL-2021'!Q20+'DMP-TRIAL-BAL-2021'!Q20</f>
        <v>0</v>
      </c>
      <c r="Y20" s="529">
        <f>+'NF-KSF-TRIAL-BAL-2021'!R20+'RA-TRIAL-BAL-2021'!R20+'DES-TRIAL-BAL-2021'!R20+'DMP-TRIAL-BAL-2021'!R20</f>
        <v>0</v>
      </c>
      <c r="Z20" s="528">
        <f>+'NF-KSF-TRIAL-BAL-2021'!S20+'RA-TRIAL-BAL-2021'!S20+'DES-TRIAL-BAL-2021'!S20+'DMP-TRIAL-BAL-2021'!S20</f>
        <v>0</v>
      </c>
      <c r="AA20" s="347">
        <f>+'NF-KSF-TRIAL-BAL-2021'!T20+'RA-TRIAL-BAL-2021'!T20+'DES-TRIAL-BAL-2021'!T20+'DMP-TRIAL-BAL-2021'!T20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97">
        <f t="shared" si="4"/>
        <v>1523</v>
      </c>
      <c r="AK20" s="8">
        <v>0</v>
      </c>
      <c r="AL20" s="970">
        <f t="shared" si="9"/>
        <v>0</v>
      </c>
      <c r="AM20" s="326">
        <f t="shared" si="9"/>
        <v>0</v>
      </c>
      <c r="AN20" s="970">
        <f t="shared" si="9"/>
        <v>0</v>
      </c>
      <c r="AO20" s="29">
        <v>0</v>
      </c>
      <c r="AP20" s="28">
        <f>+T20+AA20+AH20</f>
        <v>0</v>
      </c>
      <c r="AQ20" s="43"/>
      <c r="AR20" s="358">
        <f t="shared" si="5"/>
        <v>0</v>
      </c>
      <c r="AS20" s="359">
        <f t="shared" si="6"/>
        <v>0</v>
      </c>
      <c r="AT20" s="360">
        <f t="shared" si="7"/>
        <v>0</v>
      </c>
      <c r="AU20" s="43"/>
      <c r="AV20" s="2119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125">
        <f t="shared" si="10"/>
        <v>0</v>
      </c>
      <c r="AY20" s="43"/>
      <c r="AZ20" s="2306" t="s">
        <v>2192</v>
      </c>
      <c r="BA20" s="2307"/>
      <c r="BB20" s="43"/>
      <c r="BC20" s="43"/>
      <c r="BD20" s="43"/>
    </row>
    <row r="21" spans="1:56" ht="15.75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8"/>
        <v>1527</v>
      </c>
      <c r="O21" s="120"/>
      <c r="P21" s="9">
        <v>0</v>
      </c>
      <c r="Q21" s="325"/>
      <c r="R21" s="121"/>
      <c r="S21" s="27">
        <f>+IF(ABS(+O21+Q21)&gt;=ABS(P21+R21),+O21-P21+Q21-R21,0)</f>
        <v>0</v>
      </c>
      <c r="T21" s="30">
        <v>0</v>
      </c>
      <c r="U21" s="51"/>
      <c r="V21" s="541">
        <f>+'NF-KSF-TRIAL-BAL-2021'!O21+'RA-TRIAL-BAL-2021'!O21+'DES-TRIAL-BAL-2021'!O21+'DMP-TRIAL-BAL-2021'!O21</f>
        <v>0</v>
      </c>
      <c r="W21" s="529">
        <f>+'NF-KSF-TRIAL-BAL-2021'!P21+'RA-TRIAL-BAL-2021'!P21+'DES-TRIAL-BAL-2021'!P21+'DMP-TRIAL-BAL-2021'!P21</f>
        <v>0</v>
      </c>
      <c r="X21" s="528">
        <f>+'NF-KSF-TRIAL-BAL-2021'!Q21+'RA-TRIAL-BAL-2021'!Q21+'DES-TRIAL-BAL-2021'!Q21+'DMP-TRIAL-BAL-2021'!Q21</f>
        <v>0</v>
      </c>
      <c r="Y21" s="529">
        <f>+'NF-KSF-TRIAL-BAL-2021'!R21+'RA-TRIAL-BAL-2021'!R21+'DES-TRIAL-BAL-2021'!R21+'DMP-TRIAL-BAL-2021'!R21</f>
        <v>0</v>
      </c>
      <c r="Z21" s="528">
        <f>+'NF-KSF-TRIAL-BAL-2021'!S21+'RA-TRIAL-BAL-2021'!S21+'DES-TRIAL-BAL-2021'!S21+'DMP-TRIAL-BAL-2021'!S21</f>
        <v>0</v>
      </c>
      <c r="AA21" s="347">
        <f>+'NF-KSF-TRIAL-BAL-2021'!T21+'RA-TRIAL-BAL-2021'!T21+'DES-TRIAL-BAL-2021'!T21+'DMP-TRIAL-BAL-2021'!T21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97">
        <f t="shared" si="4"/>
        <v>1527</v>
      </c>
      <c r="AK21" s="951">
        <f t="shared" si="9"/>
        <v>0</v>
      </c>
      <c r="AL21" s="9">
        <v>0</v>
      </c>
      <c r="AM21" s="326">
        <f t="shared" si="9"/>
        <v>0</v>
      </c>
      <c r="AN21" s="970">
        <f t="shared" si="9"/>
        <v>0</v>
      </c>
      <c r="AO21" s="326">
        <f>+S21+Z21+AG21</f>
        <v>0</v>
      </c>
      <c r="AP21" s="30">
        <v>0</v>
      </c>
      <c r="AQ21" s="43"/>
      <c r="AR21" s="358">
        <f t="shared" si="5"/>
        <v>0</v>
      </c>
      <c r="AS21" s="359">
        <f t="shared" si="6"/>
        <v>0</v>
      </c>
      <c r="AT21" s="360">
        <f t="shared" si="7"/>
        <v>0</v>
      </c>
      <c r="AU21" s="43"/>
      <c r="AV21" s="2120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125">
        <f t="shared" si="10"/>
        <v>0</v>
      </c>
      <c r="AY21" s="43"/>
      <c r="AZ21" s="1928"/>
      <c r="BA21" s="2308"/>
      <c r="BB21" s="43"/>
      <c r="BC21" s="43"/>
      <c r="BD21" s="43"/>
    </row>
    <row r="22" spans="1:56" ht="15.75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8"/>
        <v>1581</v>
      </c>
      <c r="O22" s="575">
        <v>0</v>
      </c>
      <c r="P22" s="576"/>
      <c r="Q22" s="325"/>
      <c r="R22" s="324"/>
      <c r="S22" s="579">
        <v>0</v>
      </c>
      <c r="T22" s="580">
        <f>+IF(ABS(+O22+Q22)&lt;=ABS(P22+R22),-O22+P22-Q22+R22,0)</f>
        <v>0</v>
      </c>
      <c r="U22" s="51"/>
      <c r="V22" s="541">
        <f>+'NF-KSF-TRIAL-BAL-2021'!O22+'RA-TRIAL-BAL-2021'!O22+'DES-TRIAL-BAL-2021'!O22+'DMP-TRIAL-BAL-2021'!O22</f>
        <v>0</v>
      </c>
      <c r="W22" s="529">
        <f>+'NF-KSF-TRIAL-BAL-2021'!P22+'RA-TRIAL-BAL-2021'!P22+'DES-TRIAL-BAL-2021'!P22+'DMP-TRIAL-BAL-2021'!P22</f>
        <v>0</v>
      </c>
      <c r="X22" s="587">
        <f>+'NF-KSF-TRIAL-BAL-2021'!Q22+'RA-TRIAL-BAL-2021'!Q22+'DES-TRIAL-BAL-2021'!Q22+'DMP-TRIAL-BAL-2021'!Q22</f>
        <v>0</v>
      </c>
      <c r="Y22" s="586">
        <f>+'NF-KSF-TRIAL-BAL-2021'!R22+'RA-TRIAL-BAL-2021'!R22+'DES-TRIAL-BAL-2021'!R22+'DMP-TRIAL-BAL-2021'!R22</f>
        <v>0</v>
      </c>
      <c r="Z22" s="587">
        <f>+'NF-KSF-TRIAL-BAL-2021'!S22+'RA-TRIAL-BAL-2021'!S22+'DES-TRIAL-BAL-2021'!S22+'DMP-TRIAL-BAL-2021'!S22</f>
        <v>0</v>
      </c>
      <c r="AA22" s="588">
        <f>+'NF-KSF-TRIAL-BAL-2021'!T22+'RA-TRIAL-BAL-2021'!T22+'DES-TRIAL-BAL-2021'!T22+'DMP-TRIAL-BAL-2021'!T22</f>
        <v>0</v>
      </c>
      <c r="AB22" s="51"/>
      <c r="AC22" s="575">
        <v>0</v>
      </c>
      <c r="AD22" s="582">
        <v>0</v>
      </c>
      <c r="AE22" s="579">
        <v>0</v>
      </c>
      <c r="AF22" s="582">
        <v>0</v>
      </c>
      <c r="AG22" s="579">
        <v>0</v>
      </c>
      <c r="AH22" s="584">
        <v>0</v>
      </c>
      <c r="AI22" s="51"/>
      <c r="AJ22" s="1497">
        <f t="shared" si="4"/>
        <v>1581</v>
      </c>
      <c r="AK22" s="8">
        <v>0</v>
      </c>
      <c r="AL22" s="970">
        <f>+ROUND(+P22+W22+AD22,2)</f>
        <v>0</v>
      </c>
      <c r="AM22" s="326">
        <f>+ROUND(+Q22+X22+AE22,2)</f>
        <v>0</v>
      </c>
      <c r="AN22" s="970">
        <f>+ROUND(+R22+Y22+AF22,2)</f>
        <v>0</v>
      </c>
      <c r="AO22" s="579">
        <v>0</v>
      </c>
      <c r="AP22" s="28">
        <f>+T22+AA22+AH22</f>
        <v>0</v>
      </c>
      <c r="AQ22" s="43"/>
      <c r="AR22" s="358">
        <f t="shared" si="5"/>
        <v>0</v>
      </c>
      <c r="AS22" s="359">
        <f t="shared" si="6"/>
        <v>0</v>
      </c>
      <c r="AT22" s="360">
        <f t="shared" si="7"/>
        <v>0</v>
      </c>
      <c r="AU22" s="43"/>
      <c r="AV22" s="2119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125">
        <f t="shared" si="10"/>
        <v>0</v>
      </c>
      <c r="AY22" s="43"/>
      <c r="AZ22" s="2304" t="s">
        <v>2193</v>
      </c>
      <c r="BA22" s="2305"/>
      <c r="BB22" s="43"/>
      <c r="BC22" s="43"/>
      <c r="BD22" s="43"/>
    </row>
    <row r="23" spans="1:56" ht="15.75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8"/>
        <v>1587</v>
      </c>
      <c r="O23" s="581"/>
      <c r="P23" s="582">
        <v>0</v>
      </c>
      <c r="Q23" s="325"/>
      <c r="R23" s="121"/>
      <c r="S23" s="583">
        <f>+IF(ABS(+O23+Q23)&gt;=ABS(P23+R23),+O23-P23+Q23-R23,0)</f>
        <v>0</v>
      </c>
      <c r="T23" s="584">
        <v>0</v>
      </c>
      <c r="U23" s="51"/>
      <c r="V23" s="541">
        <f>+'NF-KSF-TRIAL-BAL-2021'!O23+'RA-TRIAL-BAL-2021'!O23+'DES-TRIAL-BAL-2021'!O23+'DMP-TRIAL-BAL-2021'!O23</f>
        <v>0</v>
      </c>
      <c r="W23" s="529">
        <f>+'NF-KSF-TRIAL-BAL-2021'!P23+'RA-TRIAL-BAL-2021'!P23+'DES-TRIAL-BAL-2021'!P23+'DMP-TRIAL-BAL-2021'!P23</f>
        <v>0</v>
      </c>
      <c r="X23" s="587">
        <f>+'NF-KSF-TRIAL-BAL-2021'!Q23+'RA-TRIAL-BAL-2021'!Q23+'DES-TRIAL-BAL-2021'!Q23+'DMP-TRIAL-BAL-2021'!Q23</f>
        <v>0</v>
      </c>
      <c r="Y23" s="586">
        <f>+'NF-KSF-TRIAL-BAL-2021'!R23+'RA-TRIAL-BAL-2021'!R23+'DES-TRIAL-BAL-2021'!R23+'DMP-TRIAL-BAL-2021'!R23</f>
        <v>0</v>
      </c>
      <c r="Z23" s="587">
        <f>+'NF-KSF-TRIAL-BAL-2021'!S23+'RA-TRIAL-BAL-2021'!S23+'DES-TRIAL-BAL-2021'!S23+'DMP-TRIAL-BAL-2021'!S23</f>
        <v>0</v>
      </c>
      <c r="AA23" s="588">
        <f>+'NF-KSF-TRIAL-BAL-2021'!T23+'RA-TRIAL-BAL-2021'!T23+'DES-TRIAL-BAL-2021'!T23+'DMP-TRIAL-BAL-2021'!T23</f>
        <v>0</v>
      </c>
      <c r="AB23" s="51"/>
      <c r="AC23" s="575">
        <v>0</v>
      </c>
      <c r="AD23" s="582">
        <v>0</v>
      </c>
      <c r="AE23" s="579">
        <v>0</v>
      </c>
      <c r="AF23" s="582">
        <v>0</v>
      </c>
      <c r="AG23" s="579">
        <v>0</v>
      </c>
      <c r="AH23" s="584">
        <v>0</v>
      </c>
      <c r="AI23" s="51"/>
      <c r="AJ23" s="1497">
        <f t="shared" si="4"/>
        <v>1587</v>
      </c>
      <c r="AK23" s="951">
        <f>+ROUND(+O23+V23+AC23,2)</f>
        <v>0</v>
      </c>
      <c r="AL23" s="9">
        <v>0</v>
      </c>
      <c r="AM23" s="326">
        <f>+ROUND(+Q23+X23+AE23,2)</f>
        <v>0</v>
      </c>
      <c r="AN23" s="970">
        <f>+ROUND(+R23+Y23+AF23,2)</f>
        <v>0</v>
      </c>
      <c r="AO23" s="326">
        <f t="shared" ref="AO23:AP38" si="11">+S23+Z23+AG23</f>
        <v>0</v>
      </c>
      <c r="AP23" s="584">
        <v>0</v>
      </c>
      <c r="AQ23" s="43"/>
      <c r="AR23" s="358">
        <f t="shared" si="5"/>
        <v>0</v>
      </c>
      <c r="AS23" s="359">
        <f t="shared" si="6"/>
        <v>0</v>
      </c>
      <c r="AT23" s="360">
        <f t="shared" si="7"/>
        <v>0</v>
      </c>
      <c r="AU23" s="43"/>
      <c r="AV23" s="2120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125">
        <f t="shared" si="10"/>
        <v>0</v>
      </c>
      <c r="AY23" s="43"/>
      <c r="AZ23" s="2306" t="s">
        <v>2194</v>
      </c>
      <c r="BA23" s="2307"/>
      <c r="BB23" s="43"/>
      <c r="BC23" s="43"/>
      <c r="BD23" s="43"/>
    </row>
    <row r="24" spans="1:56" ht="15.75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8"/>
        <v>1591</v>
      </c>
      <c r="O24" s="120"/>
      <c r="P24" s="121"/>
      <c r="Q24" s="325"/>
      <c r="R24" s="324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41">
        <f>+'NF-KSF-TRIAL-BAL-2021'!O24+'RA-TRIAL-BAL-2021'!O24+'DES-TRIAL-BAL-2021'!O24+'DMP-TRIAL-BAL-2021'!O24</f>
        <v>0</v>
      </c>
      <c r="W24" s="529">
        <f>+'NF-KSF-TRIAL-BAL-2021'!P24+'RA-TRIAL-BAL-2021'!P24+'DES-TRIAL-BAL-2021'!P24+'DMP-TRIAL-BAL-2021'!P24</f>
        <v>0</v>
      </c>
      <c r="X24" s="528">
        <f>+'NF-KSF-TRIAL-BAL-2021'!Q24+'RA-TRIAL-BAL-2021'!Q24+'DES-TRIAL-BAL-2021'!Q24+'DMP-TRIAL-BAL-2021'!Q24</f>
        <v>0</v>
      </c>
      <c r="Y24" s="529">
        <f>+'NF-KSF-TRIAL-BAL-2021'!R24+'RA-TRIAL-BAL-2021'!R24+'DES-TRIAL-BAL-2021'!R24+'DMP-TRIAL-BAL-2021'!R24</f>
        <v>0</v>
      </c>
      <c r="Z24" s="528">
        <f>+'NF-KSF-TRIAL-BAL-2021'!S24+'RA-TRIAL-BAL-2021'!S24+'DES-TRIAL-BAL-2021'!S24+'DMP-TRIAL-BAL-2021'!S24</f>
        <v>0</v>
      </c>
      <c r="AA24" s="347">
        <f>+'NF-KSF-TRIAL-BAL-2021'!T24+'RA-TRIAL-BAL-2021'!T24+'DES-TRIAL-BAL-2021'!T24+'DMP-TRIAL-BAL-2021'!T24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97">
        <f t="shared" si="4"/>
        <v>1591</v>
      </c>
      <c r="AK24" s="951">
        <f t="shared" si="9"/>
        <v>0</v>
      </c>
      <c r="AL24" s="970">
        <f t="shared" si="9"/>
        <v>0</v>
      </c>
      <c r="AM24" s="326">
        <f t="shared" si="9"/>
        <v>0</v>
      </c>
      <c r="AN24" s="970">
        <f t="shared" si="9"/>
        <v>0</v>
      </c>
      <c r="AO24" s="326">
        <f t="shared" si="11"/>
        <v>0</v>
      </c>
      <c r="AP24" s="28">
        <f t="shared" si="11"/>
        <v>0</v>
      </c>
      <c r="AQ24" s="43"/>
      <c r="AR24" s="358">
        <f t="shared" si="5"/>
        <v>0</v>
      </c>
      <c r="AS24" s="359">
        <f t="shared" si="6"/>
        <v>0</v>
      </c>
      <c r="AT24" s="360">
        <f t="shared" si="7"/>
        <v>0</v>
      </c>
      <c r="AU24" s="43"/>
      <c r="AV24" s="43"/>
      <c r="AW24" s="119"/>
      <c r="AX24" s="2125">
        <f t="shared" si="10"/>
        <v>0</v>
      </c>
      <c r="AY24" s="43"/>
      <c r="AZ24" s="1928"/>
      <c r="BA24" s="2308"/>
      <c r="BB24" s="43"/>
      <c r="BC24" s="43"/>
      <c r="BD24" s="43"/>
    </row>
    <row r="25" spans="1:56" ht="15.75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8"/>
        <v>1593</v>
      </c>
      <c r="O25" s="120"/>
      <c r="P25" s="121"/>
      <c r="Q25" s="325"/>
      <c r="R25" s="324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41">
        <f>+'NF-KSF-TRIAL-BAL-2021'!O25+'RA-TRIAL-BAL-2021'!O25+'DES-TRIAL-BAL-2021'!O25+'DMP-TRIAL-BAL-2021'!O25</f>
        <v>0</v>
      </c>
      <c r="W25" s="529">
        <f>+'NF-KSF-TRIAL-BAL-2021'!P25+'RA-TRIAL-BAL-2021'!P25+'DES-TRIAL-BAL-2021'!P25+'DMP-TRIAL-BAL-2021'!P25</f>
        <v>0</v>
      </c>
      <c r="X25" s="528">
        <f>+'NF-KSF-TRIAL-BAL-2021'!Q25+'RA-TRIAL-BAL-2021'!Q25+'DES-TRIAL-BAL-2021'!Q25+'DMP-TRIAL-BAL-2021'!Q25</f>
        <v>0</v>
      </c>
      <c r="Y25" s="529">
        <f>+'NF-KSF-TRIAL-BAL-2021'!R25+'RA-TRIAL-BAL-2021'!R25+'DES-TRIAL-BAL-2021'!R25+'DMP-TRIAL-BAL-2021'!R25</f>
        <v>0</v>
      </c>
      <c r="Z25" s="528">
        <f>+'NF-KSF-TRIAL-BAL-2021'!S25+'RA-TRIAL-BAL-2021'!S25+'DES-TRIAL-BAL-2021'!S25+'DMP-TRIAL-BAL-2021'!S25</f>
        <v>0</v>
      </c>
      <c r="AA25" s="347">
        <f>+'NF-KSF-TRIAL-BAL-2021'!T25+'RA-TRIAL-BAL-2021'!T25+'DES-TRIAL-BAL-2021'!T25+'DMP-TRIAL-BAL-2021'!T25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97">
        <f t="shared" si="4"/>
        <v>1593</v>
      </c>
      <c r="AK25" s="951">
        <f t="shared" si="9"/>
        <v>0</v>
      </c>
      <c r="AL25" s="970">
        <f t="shared" si="9"/>
        <v>0</v>
      </c>
      <c r="AM25" s="326">
        <f t="shared" si="9"/>
        <v>0</v>
      </c>
      <c r="AN25" s="970">
        <f t="shared" si="9"/>
        <v>0</v>
      </c>
      <c r="AO25" s="326">
        <f t="shared" si="11"/>
        <v>0</v>
      </c>
      <c r="AP25" s="28">
        <f t="shared" si="11"/>
        <v>0</v>
      </c>
      <c r="AQ25" s="43"/>
      <c r="AR25" s="358">
        <f t="shared" si="5"/>
        <v>0</v>
      </c>
      <c r="AS25" s="359">
        <f t="shared" si="6"/>
        <v>0</v>
      </c>
      <c r="AT25" s="360">
        <f t="shared" si="7"/>
        <v>0</v>
      </c>
      <c r="AU25" s="43"/>
      <c r="AV25" s="43"/>
      <c r="AW25" s="119"/>
      <c r="AX25" s="2125">
        <f t="shared" si="10"/>
        <v>0</v>
      </c>
      <c r="AY25" s="43"/>
      <c r="AZ25" s="2304" t="s">
        <v>2195</v>
      </c>
      <c r="BA25" s="2305"/>
      <c r="BB25" s="43"/>
      <c r="BC25" s="43"/>
      <c r="BD25" s="43"/>
    </row>
    <row r="26" spans="1:56" ht="15.75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8"/>
        <v>1621</v>
      </c>
      <c r="O26" s="8">
        <v>0</v>
      </c>
      <c r="P26" s="121"/>
      <c r="Q26" s="325"/>
      <c r="R26" s="324"/>
      <c r="S26" s="29">
        <v>0</v>
      </c>
      <c r="T26" s="28">
        <f>+IF(ABS(+O26+Q26)&lt;=ABS(P26+R26),-O26+P26-Q26+R26,0)</f>
        <v>0</v>
      </c>
      <c r="U26" s="51"/>
      <c r="V26" s="541">
        <f>+'NF-KSF-TRIAL-BAL-2021'!O26+'RA-TRIAL-BAL-2021'!O26+'DES-TRIAL-BAL-2021'!O26+'DMP-TRIAL-BAL-2021'!O26</f>
        <v>0</v>
      </c>
      <c r="W26" s="529">
        <f>+'NF-KSF-TRIAL-BAL-2021'!P26+'RA-TRIAL-BAL-2021'!P26+'DES-TRIAL-BAL-2021'!P26+'DMP-TRIAL-BAL-2021'!P26</f>
        <v>0</v>
      </c>
      <c r="X26" s="528">
        <f>+'NF-KSF-TRIAL-BAL-2021'!Q26+'RA-TRIAL-BAL-2021'!Q26+'DES-TRIAL-BAL-2021'!Q26+'DMP-TRIAL-BAL-2021'!Q26</f>
        <v>0</v>
      </c>
      <c r="Y26" s="529">
        <f>+'NF-KSF-TRIAL-BAL-2021'!R26+'RA-TRIAL-BAL-2021'!R26+'DES-TRIAL-BAL-2021'!R26+'DMP-TRIAL-BAL-2021'!R26</f>
        <v>0</v>
      </c>
      <c r="Z26" s="528">
        <f>+'NF-KSF-TRIAL-BAL-2021'!S26+'RA-TRIAL-BAL-2021'!S26+'DES-TRIAL-BAL-2021'!S26+'DMP-TRIAL-BAL-2021'!S26</f>
        <v>0</v>
      </c>
      <c r="AA26" s="347">
        <f>+'NF-KSF-TRIAL-BAL-2021'!T26+'RA-TRIAL-BAL-2021'!T26+'DES-TRIAL-BAL-2021'!T26+'DMP-TRIAL-BAL-2021'!T26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97">
        <f t="shared" si="4"/>
        <v>1621</v>
      </c>
      <c r="AK26" s="8">
        <v>0</v>
      </c>
      <c r="AL26" s="970">
        <f>+ROUND(+P26+W26+AD26,2)</f>
        <v>0</v>
      </c>
      <c r="AM26" s="326">
        <f>+ROUND(+Q26+X26+AE26,2)</f>
        <v>0</v>
      </c>
      <c r="AN26" s="970">
        <f>+ROUND(+R26+Y26+AF26,2)</f>
        <v>0</v>
      </c>
      <c r="AO26" s="29">
        <v>0</v>
      </c>
      <c r="AP26" s="28">
        <f t="shared" si="11"/>
        <v>0</v>
      </c>
      <c r="AQ26" s="43"/>
      <c r="AR26" s="358">
        <f t="shared" si="5"/>
        <v>0</v>
      </c>
      <c r="AS26" s="359">
        <f t="shared" si="6"/>
        <v>0</v>
      </c>
      <c r="AT26" s="360">
        <f t="shared" si="7"/>
        <v>0</v>
      </c>
      <c r="AU26" s="43"/>
      <c r="AV26" s="2119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125">
        <f t="shared" si="10"/>
        <v>0</v>
      </c>
      <c r="AY26" s="43"/>
      <c r="AZ26" s="2306" t="s">
        <v>2196</v>
      </c>
      <c r="BA26" s="2307"/>
      <c r="BB26" s="43"/>
      <c r="BC26" s="43"/>
      <c r="BD26" s="43"/>
    </row>
    <row r="27" spans="1:56" ht="15.75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8"/>
        <v>1623</v>
      </c>
      <c r="O27" s="8">
        <v>0</v>
      </c>
      <c r="P27" s="121"/>
      <c r="Q27" s="325"/>
      <c r="R27" s="324"/>
      <c r="S27" s="29">
        <v>0</v>
      </c>
      <c r="T27" s="28">
        <f t="shared" ref="T27:T53" si="12">+IF(ABS(+O27+Q27)&lt;=ABS(P27+R27),-O27+P27-Q27+R27,0)</f>
        <v>0</v>
      </c>
      <c r="U27" s="51"/>
      <c r="V27" s="541">
        <f>+'NF-KSF-TRIAL-BAL-2021'!O27+'RA-TRIAL-BAL-2021'!O27+'DES-TRIAL-BAL-2021'!O27+'DMP-TRIAL-BAL-2021'!O27</f>
        <v>0</v>
      </c>
      <c r="W27" s="529">
        <f>+'NF-KSF-TRIAL-BAL-2021'!P27+'RA-TRIAL-BAL-2021'!P27+'DES-TRIAL-BAL-2021'!P27+'DMP-TRIAL-BAL-2021'!P27</f>
        <v>0</v>
      </c>
      <c r="X27" s="528">
        <f>+'NF-KSF-TRIAL-BAL-2021'!Q27+'RA-TRIAL-BAL-2021'!Q27+'DES-TRIAL-BAL-2021'!Q27+'DMP-TRIAL-BAL-2021'!Q27</f>
        <v>0</v>
      </c>
      <c r="Y27" s="529">
        <f>+'NF-KSF-TRIAL-BAL-2021'!R27+'RA-TRIAL-BAL-2021'!R27+'DES-TRIAL-BAL-2021'!R27+'DMP-TRIAL-BAL-2021'!R27</f>
        <v>0</v>
      </c>
      <c r="Z27" s="528">
        <f>+'NF-KSF-TRIAL-BAL-2021'!S27+'RA-TRIAL-BAL-2021'!S27+'DES-TRIAL-BAL-2021'!S27+'DMP-TRIAL-BAL-2021'!S27</f>
        <v>0</v>
      </c>
      <c r="AA27" s="347">
        <f>+'NF-KSF-TRIAL-BAL-2021'!T27+'RA-TRIAL-BAL-2021'!T27+'DES-TRIAL-BAL-2021'!T27+'DMP-TRIAL-BAL-2021'!T27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97">
        <f t="shared" ref="AJ27:AJ53" si="13">+N27</f>
        <v>1623</v>
      </c>
      <c r="AK27" s="8">
        <v>0</v>
      </c>
      <c r="AL27" s="970">
        <f t="shared" ref="AL27:AL53" si="14">+ROUND(+P27+W27+AD27,2)</f>
        <v>0</v>
      </c>
      <c r="AM27" s="326">
        <f t="shared" ref="AM27:AM53" si="15">+ROUND(+Q27+X27+AE27,2)</f>
        <v>0</v>
      </c>
      <c r="AN27" s="970">
        <f t="shared" ref="AN27:AN53" si="16">+ROUND(+R27+Y27+AF27,2)</f>
        <v>0</v>
      </c>
      <c r="AO27" s="29">
        <v>0</v>
      </c>
      <c r="AP27" s="28">
        <f t="shared" si="11"/>
        <v>0</v>
      </c>
      <c r="AQ27" s="43"/>
      <c r="AR27" s="358">
        <f t="shared" ref="AR27:AR53" si="17">+ROUND(+SUM(AK27-AL27)-SUM(O27-P27)-SUM(V27-W27)-SUM(AC27-AD27),2)</f>
        <v>0</v>
      </c>
      <c r="AS27" s="359">
        <f t="shared" ref="AS27:AS53" si="18">+ROUND(+SUM(AM27-AN27)-SUM(Q27-R27)-SUM(X27-Y27)-SUM(AE27-AF27),2)</f>
        <v>0</v>
      </c>
      <c r="AT27" s="360">
        <f t="shared" ref="AT27:AT53" si="19">+ROUND(+SUM(AO27-AP27)-SUM(S27-T27)-SUM(Z27-AA27)-SUM(AG27-AH27),2)</f>
        <v>0</v>
      </c>
      <c r="AU27" s="43"/>
      <c r="AV27" s="2119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125">
        <f t="shared" si="10"/>
        <v>0</v>
      </c>
      <c r="AY27" s="43"/>
      <c r="AZ27" s="1928"/>
      <c r="BA27" s="2308"/>
      <c r="BB27" s="43"/>
      <c r="BC27" s="43"/>
      <c r="BD27" s="43"/>
    </row>
    <row r="28" spans="1:56" ht="15.75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8"/>
        <v>1625</v>
      </c>
      <c r="O28" s="8">
        <v>0</v>
      </c>
      <c r="P28" s="121"/>
      <c r="Q28" s="325"/>
      <c r="R28" s="324"/>
      <c r="S28" s="29">
        <v>0</v>
      </c>
      <c r="T28" s="28">
        <f t="shared" si="12"/>
        <v>0</v>
      </c>
      <c r="U28" s="51"/>
      <c r="V28" s="541">
        <f>+'NF-KSF-TRIAL-BAL-2021'!O28+'RA-TRIAL-BAL-2021'!O28+'DES-TRIAL-BAL-2021'!O28+'DMP-TRIAL-BAL-2021'!O28</f>
        <v>0</v>
      </c>
      <c r="W28" s="529">
        <f>+'NF-KSF-TRIAL-BAL-2021'!P28+'RA-TRIAL-BAL-2021'!P28+'DES-TRIAL-BAL-2021'!P28+'DMP-TRIAL-BAL-2021'!P28</f>
        <v>0</v>
      </c>
      <c r="X28" s="528">
        <f>+'NF-KSF-TRIAL-BAL-2021'!Q28+'RA-TRIAL-BAL-2021'!Q28+'DES-TRIAL-BAL-2021'!Q28+'DMP-TRIAL-BAL-2021'!Q28</f>
        <v>0</v>
      </c>
      <c r="Y28" s="529">
        <f>+'NF-KSF-TRIAL-BAL-2021'!R28+'RA-TRIAL-BAL-2021'!R28+'DES-TRIAL-BAL-2021'!R28+'DMP-TRIAL-BAL-2021'!R28</f>
        <v>0</v>
      </c>
      <c r="Z28" s="528">
        <f>+'NF-KSF-TRIAL-BAL-2021'!S28+'RA-TRIAL-BAL-2021'!S28+'DES-TRIAL-BAL-2021'!S28+'DMP-TRIAL-BAL-2021'!S28</f>
        <v>0</v>
      </c>
      <c r="AA28" s="347">
        <f>+'NF-KSF-TRIAL-BAL-2021'!T28+'RA-TRIAL-BAL-2021'!T28+'DES-TRIAL-BAL-2021'!T28+'DMP-TRIAL-BAL-2021'!T28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97">
        <f t="shared" si="13"/>
        <v>1625</v>
      </c>
      <c r="AK28" s="8">
        <v>0</v>
      </c>
      <c r="AL28" s="970">
        <f t="shared" si="14"/>
        <v>0</v>
      </c>
      <c r="AM28" s="326">
        <f t="shared" si="15"/>
        <v>0</v>
      </c>
      <c r="AN28" s="970">
        <f t="shared" si="16"/>
        <v>0</v>
      </c>
      <c r="AO28" s="29">
        <v>0</v>
      </c>
      <c r="AP28" s="28">
        <f t="shared" si="11"/>
        <v>0</v>
      </c>
      <c r="AQ28" s="43"/>
      <c r="AR28" s="358">
        <f t="shared" si="17"/>
        <v>0</v>
      </c>
      <c r="AS28" s="359">
        <f t="shared" si="18"/>
        <v>0</v>
      </c>
      <c r="AT28" s="360">
        <f t="shared" si="19"/>
        <v>0</v>
      </c>
      <c r="AU28" s="43"/>
      <c r="AV28" s="2119">
        <f t="shared" si="20"/>
        <v>0</v>
      </c>
      <c r="AW28" s="119"/>
      <c r="AX28" s="2125">
        <f t="shared" si="10"/>
        <v>0</v>
      </c>
      <c r="AY28" s="43"/>
      <c r="AZ28" s="2304" t="s">
        <v>2197</v>
      </c>
      <c r="BA28" s="2305"/>
      <c r="BB28" s="43"/>
      <c r="BC28" s="43"/>
      <c r="BD28" s="43"/>
    </row>
    <row r="29" spans="1:56" ht="15.75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8"/>
        <v>1651</v>
      </c>
      <c r="O29" s="8">
        <v>0</v>
      </c>
      <c r="P29" s="121"/>
      <c r="Q29" s="325"/>
      <c r="R29" s="324"/>
      <c r="S29" s="29">
        <v>0</v>
      </c>
      <c r="T29" s="28">
        <f t="shared" si="12"/>
        <v>0</v>
      </c>
      <c r="U29" s="51"/>
      <c r="V29" s="541">
        <f>+'NF-KSF-TRIAL-BAL-2021'!O29+'RA-TRIAL-BAL-2021'!O29+'DES-TRIAL-BAL-2021'!O29+'DMP-TRIAL-BAL-2021'!O29</f>
        <v>0</v>
      </c>
      <c r="W29" s="529">
        <f>+'NF-KSF-TRIAL-BAL-2021'!P29+'RA-TRIAL-BAL-2021'!P29+'DES-TRIAL-BAL-2021'!P29+'DMP-TRIAL-BAL-2021'!P29</f>
        <v>0</v>
      </c>
      <c r="X29" s="528">
        <f>+'NF-KSF-TRIAL-BAL-2021'!Q29+'RA-TRIAL-BAL-2021'!Q29+'DES-TRIAL-BAL-2021'!Q29+'DMP-TRIAL-BAL-2021'!Q29</f>
        <v>0</v>
      </c>
      <c r="Y29" s="529">
        <f>+'NF-KSF-TRIAL-BAL-2021'!R29+'RA-TRIAL-BAL-2021'!R29+'DES-TRIAL-BAL-2021'!R29+'DMP-TRIAL-BAL-2021'!R29</f>
        <v>0</v>
      </c>
      <c r="Z29" s="528">
        <f>+'NF-KSF-TRIAL-BAL-2021'!S29+'RA-TRIAL-BAL-2021'!S29+'DES-TRIAL-BAL-2021'!S29+'DMP-TRIAL-BAL-2021'!S29</f>
        <v>0</v>
      </c>
      <c r="AA29" s="347">
        <f>+'NF-KSF-TRIAL-BAL-2021'!T29+'RA-TRIAL-BAL-2021'!T29+'DES-TRIAL-BAL-2021'!T29+'DMP-TRIAL-BAL-2021'!T29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97">
        <f t="shared" si="13"/>
        <v>1651</v>
      </c>
      <c r="AK29" s="8">
        <v>0</v>
      </c>
      <c r="AL29" s="970">
        <f t="shared" si="14"/>
        <v>0</v>
      </c>
      <c r="AM29" s="326">
        <f t="shared" si="15"/>
        <v>0</v>
      </c>
      <c r="AN29" s="970">
        <f t="shared" si="16"/>
        <v>0</v>
      </c>
      <c r="AO29" s="29">
        <v>0</v>
      </c>
      <c r="AP29" s="28">
        <f t="shared" si="11"/>
        <v>0</v>
      </c>
      <c r="AQ29" s="43"/>
      <c r="AR29" s="358">
        <f t="shared" si="17"/>
        <v>0</v>
      </c>
      <c r="AS29" s="359">
        <f t="shared" si="18"/>
        <v>0</v>
      </c>
      <c r="AT29" s="360">
        <f t="shared" si="19"/>
        <v>0</v>
      </c>
      <c r="AU29" s="43"/>
      <c r="AV29" s="2119">
        <f t="shared" si="20"/>
        <v>0</v>
      </c>
      <c r="AW29" s="119"/>
      <c r="AX29" s="2125">
        <f t="shared" si="10"/>
        <v>0</v>
      </c>
      <c r="AY29" s="43"/>
      <c r="AZ29" s="2306" t="s">
        <v>2198</v>
      </c>
      <c r="BA29" s="2307"/>
      <c r="BB29" s="43"/>
      <c r="BC29" s="43"/>
      <c r="BD29" s="43"/>
    </row>
    <row r="30" spans="1:56" ht="15.75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8"/>
        <v>1652</v>
      </c>
      <c r="O30" s="8">
        <v>0</v>
      </c>
      <c r="P30" s="121"/>
      <c r="Q30" s="325"/>
      <c r="R30" s="324"/>
      <c r="S30" s="29">
        <v>0</v>
      </c>
      <c r="T30" s="28">
        <f t="shared" si="12"/>
        <v>0</v>
      </c>
      <c r="U30" s="51"/>
      <c r="V30" s="541">
        <f>+'NF-KSF-TRIAL-BAL-2021'!O30+'RA-TRIAL-BAL-2021'!O30+'DES-TRIAL-BAL-2021'!O30+'DMP-TRIAL-BAL-2021'!O30</f>
        <v>0</v>
      </c>
      <c r="W30" s="529">
        <f>+'NF-KSF-TRIAL-BAL-2021'!P30+'RA-TRIAL-BAL-2021'!P30+'DES-TRIAL-BAL-2021'!P30+'DMP-TRIAL-BAL-2021'!P30</f>
        <v>0</v>
      </c>
      <c r="X30" s="528">
        <f>+'NF-KSF-TRIAL-BAL-2021'!Q30+'RA-TRIAL-BAL-2021'!Q30+'DES-TRIAL-BAL-2021'!Q30+'DMP-TRIAL-BAL-2021'!Q30</f>
        <v>0</v>
      </c>
      <c r="Y30" s="529">
        <f>+'NF-KSF-TRIAL-BAL-2021'!R30+'RA-TRIAL-BAL-2021'!R30+'DES-TRIAL-BAL-2021'!R30+'DMP-TRIAL-BAL-2021'!R30</f>
        <v>0</v>
      </c>
      <c r="Z30" s="528">
        <f>+'NF-KSF-TRIAL-BAL-2021'!S30+'RA-TRIAL-BAL-2021'!S30+'DES-TRIAL-BAL-2021'!S30+'DMP-TRIAL-BAL-2021'!S30</f>
        <v>0</v>
      </c>
      <c r="AA30" s="347">
        <f>+'NF-KSF-TRIAL-BAL-2021'!T30+'RA-TRIAL-BAL-2021'!T30+'DES-TRIAL-BAL-2021'!T30+'DMP-TRIAL-BAL-2021'!T30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97">
        <f t="shared" si="13"/>
        <v>1652</v>
      </c>
      <c r="AK30" s="8">
        <v>0</v>
      </c>
      <c r="AL30" s="970">
        <f t="shared" si="14"/>
        <v>0</v>
      </c>
      <c r="AM30" s="326">
        <f t="shared" si="15"/>
        <v>0</v>
      </c>
      <c r="AN30" s="970">
        <f t="shared" si="16"/>
        <v>0</v>
      </c>
      <c r="AO30" s="29">
        <v>0</v>
      </c>
      <c r="AP30" s="28">
        <f t="shared" si="11"/>
        <v>0</v>
      </c>
      <c r="AQ30" s="43"/>
      <c r="AR30" s="358">
        <f t="shared" si="17"/>
        <v>0</v>
      </c>
      <c r="AS30" s="359">
        <f t="shared" si="18"/>
        <v>0</v>
      </c>
      <c r="AT30" s="360">
        <f t="shared" si="19"/>
        <v>0</v>
      </c>
      <c r="AU30" s="43"/>
      <c r="AV30" s="2119">
        <f t="shared" si="20"/>
        <v>0</v>
      </c>
      <c r="AW30" s="119"/>
      <c r="AX30" s="2125">
        <f t="shared" si="10"/>
        <v>0</v>
      </c>
      <c r="AY30" s="43"/>
      <c r="AZ30" s="1928"/>
      <c r="BA30" s="2308"/>
      <c r="BB30" s="43"/>
      <c r="BC30" s="43"/>
      <c r="BD30" s="43"/>
    </row>
    <row r="31" spans="1:56" ht="15.75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8"/>
        <v>1654</v>
      </c>
      <c r="O31" s="8">
        <v>0</v>
      </c>
      <c r="P31" s="121"/>
      <c r="Q31" s="325"/>
      <c r="R31" s="324"/>
      <c r="S31" s="29">
        <v>0</v>
      </c>
      <c r="T31" s="28">
        <f t="shared" si="12"/>
        <v>0</v>
      </c>
      <c r="U31" s="51"/>
      <c r="V31" s="541">
        <f>+'NF-KSF-TRIAL-BAL-2021'!O31+'RA-TRIAL-BAL-2021'!O31+'DES-TRIAL-BAL-2021'!O31+'DMP-TRIAL-BAL-2021'!O31</f>
        <v>0</v>
      </c>
      <c r="W31" s="529">
        <f>+'NF-KSF-TRIAL-BAL-2021'!P31+'RA-TRIAL-BAL-2021'!P31+'DES-TRIAL-BAL-2021'!P31+'DMP-TRIAL-BAL-2021'!P31</f>
        <v>0</v>
      </c>
      <c r="X31" s="528">
        <f>+'NF-KSF-TRIAL-BAL-2021'!Q31+'RA-TRIAL-BAL-2021'!Q31+'DES-TRIAL-BAL-2021'!Q31+'DMP-TRIAL-BAL-2021'!Q31</f>
        <v>0</v>
      </c>
      <c r="Y31" s="529">
        <f>+'NF-KSF-TRIAL-BAL-2021'!R31+'RA-TRIAL-BAL-2021'!R31+'DES-TRIAL-BAL-2021'!R31+'DMP-TRIAL-BAL-2021'!R31</f>
        <v>0</v>
      </c>
      <c r="Z31" s="528">
        <f>+'NF-KSF-TRIAL-BAL-2021'!S31+'RA-TRIAL-BAL-2021'!S31+'DES-TRIAL-BAL-2021'!S31+'DMP-TRIAL-BAL-2021'!S31</f>
        <v>0</v>
      </c>
      <c r="AA31" s="347">
        <f>+'NF-KSF-TRIAL-BAL-2021'!T31+'RA-TRIAL-BAL-2021'!T31+'DES-TRIAL-BAL-2021'!T31+'DMP-TRIAL-BAL-2021'!T31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97">
        <f t="shared" si="13"/>
        <v>1654</v>
      </c>
      <c r="AK31" s="8">
        <v>0</v>
      </c>
      <c r="AL31" s="970">
        <f t="shared" si="14"/>
        <v>0</v>
      </c>
      <c r="AM31" s="326">
        <f t="shared" si="15"/>
        <v>0</v>
      </c>
      <c r="AN31" s="970">
        <f t="shared" si="16"/>
        <v>0</v>
      </c>
      <c r="AO31" s="29">
        <v>0</v>
      </c>
      <c r="AP31" s="28">
        <f t="shared" si="11"/>
        <v>0</v>
      </c>
      <c r="AQ31" s="43"/>
      <c r="AR31" s="358">
        <f t="shared" si="17"/>
        <v>0</v>
      </c>
      <c r="AS31" s="359">
        <f t="shared" si="18"/>
        <v>0</v>
      </c>
      <c r="AT31" s="360">
        <f t="shared" si="19"/>
        <v>0</v>
      </c>
      <c r="AU31" s="43"/>
      <c r="AV31" s="2119">
        <f t="shared" si="20"/>
        <v>0</v>
      </c>
      <c r="AW31" s="119"/>
      <c r="AX31" s="2125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8"/>
        <v>1655</v>
      </c>
      <c r="O32" s="8">
        <v>0</v>
      </c>
      <c r="P32" s="121"/>
      <c r="Q32" s="325"/>
      <c r="R32" s="324"/>
      <c r="S32" s="29">
        <v>0</v>
      </c>
      <c r="T32" s="28">
        <f t="shared" si="12"/>
        <v>0</v>
      </c>
      <c r="U32" s="51"/>
      <c r="V32" s="541">
        <f>+'NF-KSF-TRIAL-BAL-2021'!O32+'RA-TRIAL-BAL-2021'!O32+'DES-TRIAL-BAL-2021'!O32+'DMP-TRIAL-BAL-2021'!O32</f>
        <v>0</v>
      </c>
      <c r="W32" s="529">
        <f>+'NF-KSF-TRIAL-BAL-2021'!P32+'RA-TRIAL-BAL-2021'!P32+'DES-TRIAL-BAL-2021'!P32+'DMP-TRIAL-BAL-2021'!P32</f>
        <v>0</v>
      </c>
      <c r="X32" s="528">
        <f>+'NF-KSF-TRIAL-BAL-2021'!Q32+'RA-TRIAL-BAL-2021'!Q32+'DES-TRIAL-BAL-2021'!Q32+'DMP-TRIAL-BAL-2021'!Q32</f>
        <v>0</v>
      </c>
      <c r="Y32" s="529">
        <f>+'NF-KSF-TRIAL-BAL-2021'!R32+'RA-TRIAL-BAL-2021'!R32+'DES-TRIAL-BAL-2021'!R32+'DMP-TRIAL-BAL-2021'!R32</f>
        <v>0</v>
      </c>
      <c r="Z32" s="528">
        <f>+'NF-KSF-TRIAL-BAL-2021'!S32+'RA-TRIAL-BAL-2021'!S32+'DES-TRIAL-BAL-2021'!S32+'DMP-TRIAL-BAL-2021'!S32</f>
        <v>0</v>
      </c>
      <c r="AA32" s="347">
        <f>+'NF-KSF-TRIAL-BAL-2021'!T32+'RA-TRIAL-BAL-2021'!T32+'DES-TRIAL-BAL-2021'!T32+'DMP-TRIAL-BAL-2021'!T32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97">
        <f t="shared" si="13"/>
        <v>1655</v>
      </c>
      <c r="AK32" s="8">
        <v>0</v>
      </c>
      <c r="AL32" s="970">
        <f t="shared" si="14"/>
        <v>0</v>
      </c>
      <c r="AM32" s="326">
        <f t="shared" si="15"/>
        <v>0</v>
      </c>
      <c r="AN32" s="970">
        <f t="shared" si="16"/>
        <v>0</v>
      </c>
      <c r="AO32" s="29">
        <v>0</v>
      </c>
      <c r="AP32" s="28">
        <f t="shared" si="11"/>
        <v>0</v>
      </c>
      <c r="AQ32" s="43"/>
      <c r="AR32" s="358">
        <f t="shared" si="17"/>
        <v>0</v>
      </c>
      <c r="AS32" s="359">
        <f t="shared" si="18"/>
        <v>0</v>
      </c>
      <c r="AT32" s="360">
        <f t="shared" si="19"/>
        <v>0</v>
      </c>
      <c r="AU32" s="43"/>
      <c r="AV32" s="2119">
        <f t="shared" si="20"/>
        <v>0</v>
      </c>
      <c r="AW32" s="119"/>
      <c r="AX32" s="2125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8"/>
        <v>1657</v>
      </c>
      <c r="O33" s="8">
        <v>0</v>
      </c>
      <c r="P33" s="121"/>
      <c r="Q33" s="325"/>
      <c r="R33" s="324"/>
      <c r="S33" s="29">
        <v>0</v>
      </c>
      <c r="T33" s="28">
        <f t="shared" si="12"/>
        <v>0</v>
      </c>
      <c r="U33" s="51"/>
      <c r="V33" s="541">
        <f>+'NF-KSF-TRIAL-BAL-2021'!O33+'RA-TRIAL-BAL-2021'!O33+'DES-TRIAL-BAL-2021'!O33+'DMP-TRIAL-BAL-2021'!O33</f>
        <v>0</v>
      </c>
      <c r="W33" s="529">
        <f>+'NF-KSF-TRIAL-BAL-2021'!P33+'RA-TRIAL-BAL-2021'!P33+'DES-TRIAL-BAL-2021'!P33+'DMP-TRIAL-BAL-2021'!P33</f>
        <v>0</v>
      </c>
      <c r="X33" s="528">
        <f>+'NF-KSF-TRIAL-BAL-2021'!Q33+'RA-TRIAL-BAL-2021'!Q33+'DES-TRIAL-BAL-2021'!Q33+'DMP-TRIAL-BAL-2021'!Q33</f>
        <v>0</v>
      </c>
      <c r="Y33" s="529">
        <f>+'NF-KSF-TRIAL-BAL-2021'!R33+'RA-TRIAL-BAL-2021'!R33+'DES-TRIAL-BAL-2021'!R33+'DMP-TRIAL-BAL-2021'!R33</f>
        <v>0</v>
      </c>
      <c r="Z33" s="528">
        <f>+'NF-KSF-TRIAL-BAL-2021'!S33+'RA-TRIAL-BAL-2021'!S33+'DES-TRIAL-BAL-2021'!S33+'DMP-TRIAL-BAL-2021'!S33</f>
        <v>0</v>
      </c>
      <c r="AA33" s="347">
        <f>+'NF-KSF-TRIAL-BAL-2021'!T33+'RA-TRIAL-BAL-2021'!T33+'DES-TRIAL-BAL-2021'!T33+'DMP-TRIAL-BAL-2021'!T33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97">
        <f t="shared" si="13"/>
        <v>1657</v>
      </c>
      <c r="AK33" s="8">
        <v>0</v>
      </c>
      <c r="AL33" s="970">
        <f t="shared" si="14"/>
        <v>0</v>
      </c>
      <c r="AM33" s="326">
        <f t="shared" si="15"/>
        <v>0</v>
      </c>
      <c r="AN33" s="970">
        <f t="shared" si="16"/>
        <v>0</v>
      </c>
      <c r="AO33" s="29">
        <v>0</v>
      </c>
      <c r="AP33" s="28">
        <f t="shared" si="11"/>
        <v>0</v>
      </c>
      <c r="AQ33" s="43"/>
      <c r="AR33" s="358">
        <f t="shared" si="17"/>
        <v>0</v>
      </c>
      <c r="AS33" s="359">
        <f t="shared" si="18"/>
        <v>0</v>
      </c>
      <c r="AT33" s="360">
        <f t="shared" si="19"/>
        <v>0</v>
      </c>
      <c r="AU33" s="43"/>
      <c r="AV33" s="2119">
        <f t="shared" si="20"/>
        <v>0</v>
      </c>
      <c r="AW33" s="119"/>
      <c r="AX33" s="2125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8"/>
        <v>1658</v>
      </c>
      <c r="O34" s="8">
        <v>0</v>
      </c>
      <c r="P34" s="121"/>
      <c r="Q34" s="325"/>
      <c r="R34" s="324"/>
      <c r="S34" s="29">
        <v>0</v>
      </c>
      <c r="T34" s="28">
        <f t="shared" si="12"/>
        <v>0</v>
      </c>
      <c r="U34" s="51"/>
      <c r="V34" s="541">
        <f>+'NF-KSF-TRIAL-BAL-2021'!O34+'RA-TRIAL-BAL-2021'!O34+'DES-TRIAL-BAL-2021'!O34+'DMP-TRIAL-BAL-2021'!O34</f>
        <v>0</v>
      </c>
      <c r="W34" s="529">
        <f>+'NF-KSF-TRIAL-BAL-2021'!P34+'RA-TRIAL-BAL-2021'!P34+'DES-TRIAL-BAL-2021'!P34+'DMP-TRIAL-BAL-2021'!P34</f>
        <v>0</v>
      </c>
      <c r="X34" s="528">
        <f>+'NF-KSF-TRIAL-BAL-2021'!Q34+'RA-TRIAL-BAL-2021'!Q34+'DES-TRIAL-BAL-2021'!Q34+'DMP-TRIAL-BAL-2021'!Q34</f>
        <v>0</v>
      </c>
      <c r="Y34" s="529">
        <f>+'NF-KSF-TRIAL-BAL-2021'!R34+'RA-TRIAL-BAL-2021'!R34+'DES-TRIAL-BAL-2021'!R34+'DMP-TRIAL-BAL-2021'!R34</f>
        <v>0</v>
      </c>
      <c r="Z34" s="528">
        <f>+'NF-KSF-TRIAL-BAL-2021'!S34+'RA-TRIAL-BAL-2021'!S34+'DES-TRIAL-BAL-2021'!S34+'DMP-TRIAL-BAL-2021'!S34</f>
        <v>0</v>
      </c>
      <c r="AA34" s="347">
        <f>+'NF-KSF-TRIAL-BAL-2021'!T34+'RA-TRIAL-BAL-2021'!T34+'DES-TRIAL-BAL-2021'!T34+'DMP-TRIAL-BAL-2021'!T34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97">
        <f t="shared" si="13"/>
        <v>1658</v>
      </c>
      <c r="AK34" s="8">
        <v>0</v>
      </c>
      <c r="AL34" s="970">
        <f t="shared" si="14"/>
        <v>0</v>
      </c>
      <c r="AM34" s="326">
        <f t="shared" si="15"/>
        <v>0</v>
      </c>
      <c r="AN34" s="970">
        <f t="shared" si="16"/>
        <v>0</v>
      </c>
      <c r="AO34" s="29">
        <v>0</v>
      </c>
      <c r="AP34" s="28">
        <f t="shared" si="11"/>
        <v>0</v>
      </c>
      <c r="AQ34" s="43"/>
      <c r="AR34" s="358">
        <f t="shared" si="17"/>
        <v>0</v>
      </c>
      <c r="AS34" s="359">
        <f t="shared" si="18"/>
        <v>0</v>
      </c>
      <c r="AT34" s="360">
        <f t="shared" si="19"/>
        <v>0</v>
      </c>
      <c r="AU34" s="43"/>
      <c r="AV34" s="2119">
        <f t="shared" si="20"/>
        <v>0</v>
      </c>
      <c r="AW34" s="119"/>
      <c r="AX34" s="2125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 t="s">
        <v>265</v>
      </c>
      <c r="N35" s="113">
        <f t="shared" si="8"/>
        <v>1661</v>
      </c>
      <c r="O35" s="8">
        <v>0</v>
      </c>
      <c r="P35" s="121"/>
      <c r="Q35" s="325"/>
      <c r="R35" s="324"/>
      <c r="S35" s="29">
        <v>0</v>
      </c>
      <c r="T35" s="28">
        <f t="shared" si="12"/>
        <v>0</v>
      </c>
      <c r="U35" s="51"/>
      <c r="V35" s="541">
        <f>+'NF-KSF-TRIAL-BAL-2021'!O35+'RA-TRIAL-BAL-2021'!O35+'DES-TRIAL-BAL-2021'!O35+'DMP-TRIAL-BAL-2021'!O35</f>
        <v>0</v>
      </c>
      <c r="W35" s="529">
        <f>+'NF-KSF-TRIAL-BAL-2021'!P35+'RA-TRIAL-BAL-2021'!P35+'DES-TRIAL-BAL-2021'!P35+'DMP-TRIAL-BAL-2021'!P35</f>
        <v>0</v>
      </c>
      <c r="X35" s="528">
        <f>+'NF-KSF-TRIAL-BAL-2021'!Q35+'RA-TRIAL-BAL-2021'!Q35+'DES-TRIAL-BAL-2021'!Q35+'DMP-TRIAL-BAL-2021'!Q35</f>
        <v>0</v>
      </c>
      <c r="Y35" s="529">
        <f>+'NF-KSF-TRIAL-BAL-2021'!R35+'RA-TRIAL-BAL-2021'!R35+'DES-TRIAL-BAL-2021'!R35+'DMP-TRIAL-BAL-2021'!R35</f>
        <v>0</v>
      </c>
      <c r="Z35" s="528">
        <f>+'NF-KSF-TRIAL-BAL-2021'!S35+'RA-TRIAL-BAL-2021'!S35+'DES-TRIAL-BAL-2021'!S35+'DMP-TRIAL-BAL-2021'!S35</f>
        <v>0</v>
      </c>
      <c r="AA35" s="347">
        <f>+'NF-KSF-TRIAL-BAL-2021'!T35+'RA-TRIAL-BAL-2021'!T35+'DES-TRIAL-BAL-2021'!T35+'DMP-TRIAL-BAL-2021'!T35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97">
        <f t="shared" si="13"/>
        <v>1661</v>
      </c>
      <c r="AK35" s="8">
        <v>0</v>
      </c>
      <c r="AL35" s="970">
        <f t="shared" si="14"/>
        <v>0</v>
      </c>
      <c r="AM35" s="326">
        <f t="shared" si="15"/>
        <v>0</v>
      </c>
      <c r="AN35" s="970">
        <f t="shared" si="16"/>
        <v>0</v>
      </c>
      <c r="AO35" s="29">
        <v>0</v>
      </c>
      <c r="AP35" s="28">
        <f t="shared" si="11"/>
        <v>0</v>
      </c>
      <c r="AQ35" s="43"/>
      <c r="AR35" s="358">
        <f t="shared" si="17"/>
        <v>0</v>
      </c>
      <c r="AS35" s="359">
        <f t="shared" si="18"/>
        <v>0</v>
      </c>
      <c r="AT35" s="360">
        <f t="shared" si="19"/>
        <v>0</v>
      </c>
      <c r="AU35" s="43"/>
      <c r="AV35" s="2119">
        <f t="shared" si="20"/>
        <v>0</v>
      </c>
      <c r="AW35" s="119"/>
      <c r="AX35" s="2125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 t="s">
        <v>265</v>
      </c>
      <c r="N36" s="113">
        <f t="shared" si="8"/>
        <v>1663</v>
      </c>
      <c r="O36" s="8">
        <v>0</v>
      </c>
      <c r="P36" s="121"/>
      <c r="Q36" s="325"/>
      <c r="R36" s="324"/>
      <c r="S36" s="29">
        <v>0</v>
      </c>
      <c r="T36" s="28">
        <f t="shared" si="12"/>
        <v>0</v>
      </c>
      <c r="U36" s="51"/>
      <c r="V36" s="541">
        <f>+'NF-KSF-TRIAL-BAL-2021'!O36+'RA-TRIAL-BAL-2021'!O36+'DES-TRIAL-BAL-2021'!O36+'DMP-TRIAL-BAL-2021'!O36</f>
        <v>0</v>
      </c>
      <c r="W36" s="529">
        <f>+'NF-KSF-TRIAL-BAL-2021'!P36+'RA-TRIAL-BAL-2021'!P36+'DES-TRIAL-BAL-2021'!P36+'DMP-TRIAL-BAL-2021'!P36</f>
        <v>0</v>
      </c>
      <c r="X36" s="528">
        <f>+'NF-KSF-TRIAL-BAL-2021'!Q36+'RA-TRIAL-BAL-2021'!Q36+'DES-TRIAL-BAL-2021'!Q36+'DMP-TRIAL-BAL-2021'!Q36</f>
        <v>0</v>
      </c>
      <c r="Y36" s="529">
        <f>+'NF-KSF-TRIAL-BAL-2021'!R36+'RA-TRIAL-BAL-2021'!R36+'DES-TRIAL-BAL-2021'!R36+'DMP-TRIAL-BAL-2021'!R36</f>
        <v>0</v>
      </c>
      <c r="Z36" s="528">
        <f>+'NF-KSF-TRIAL-BAL-2021'!S36+'RA-TRIAL-BAL-2021'!S36+'DES-TRIAL-BAL-2021'!S36+'DMP-TRIAL-BAL-2021'!S36</f>
        <v>0</v>
      </c>
      <c r="AA36" s="347">
        <f>+'NF-KSF-TRIAL-BAL-2021'!T36+'RA-TRIAL-BAL-2021'!T36+'DES-TRIAL-BAL-2021'!T36+'DMP-TRIAL-BAL-2021'!T36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97">
        <f t="shared" si="13"/>
        <v>1663</v>
      </c>
      <c r="AK36" s="8">
        <v>0</v>
      </c>
      <c r="AL36" s="970">
        <f t="shared" si="14"/>
        <v>0</v>
      </c>
      <c r="AM36" s="326">
        <f t="shared" si="15"/>
        <v>0</v>
      </c>
      <c r="AN36" s="970">
        <f t="shared" si="16"/>
        <v>0</v>
      </c>
      <c r="AO36" s="29">
        <v>0</v>
      </c>
      <c r="AP36" s="28">
        <f t="shared" si="11"/>
        <v>0</v>
      </c>
      <c r="AQ36" s="43"/>
      <c r="AR36" s="358">
        <f t="shared" si="17"/>
        <v>0</v>
      </c>
      <c r="AS36" s="359">
        <f t="shared" si="18"/>
        <v>0</v>
      </c>
      <c r="AT36" s="360">
        <f t="shared" si="19"/>
        <v>0</v>
      </c>
      <c r="AU36" s="43"/>
      <c r="AV36" s="2119">
        <f t="shared" si="20"/>
        <v>0</v>
      </c>
      <c r="AW36" s="119"/>
      <c r="AX36" s="2125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 t="s">
        <v>265</v>
      </c>
      <c r="N37" s="113">
        <f t="shared" si="8"/>
        <v>1664</v>
      </c>
      <c r="O37" s="8">
        <v>0</v>
      </c>
      <c r="P37" s="121"/>
      <c r="Q37" s="325"/>
      <c r="R37" s="324"/>
      <c r="S37" s="29">
        <v>0</v>
      </c>
      <c r="T37" s="28">
        <f t="shared" si="12"/>
        <v>0</v>
      </c>
      <c r="U37" s="51"/>
      <c r="V37" s="541">
        <f>+'NF-KSF-TRIAL-BAL-2021'!O37+'RA-TRIAL-BAL-2021'!O37+'DES-TRIAL-BAL-2021'!O37+'DMP-TRIAL-BAL-2021'!O37</f>
        <v>0</v>
      </c>
      <c r="W37" s="529">
        <f>+'NF-KSF-TRIAL-BAL-2021'!P37+'RA-TRIAL-BAL-2021'!P37+'DES-TRIAL-BAL-2021'!P37+'DMP-TRIAL-BAL-2021'!P37</f>
        <v>0</v>
      </c>
      <c r="X37" s="528">
        <f>+'NF-KSF-TRIAL-BAL-2021'!Q37+'RA-TRIAL-BAL-2021'!Q37+'DES-TRIAL-BAL-2021'!Q37+'DMP-TRIAL-BAL-2021'!Q37</f>
        <v>0</v>
      </c>
      <c r="Y37" s="529">
        <f>+'NF-KSF-TRIAL-BAL-2021'!R37+'RA-TRIAL-BAL-2021'!R37+'DES-TRIAL-BAL-2021'!R37+'DMP-TRIAL-BAL-2021'!R37</f>
        <v>0</v>
      </c>
      <c r="Z37" s="528">
        <f>+'NF-KSF-TRIAL-BAL-2021'!S37+'RA-TRIAL-BAL-2021'!S37+'DES-TRIAL-BAL-2021'!S37+'DMP-TRIAL-BAL-2021'!S37</f>
        <v>0</v>
      </c>
      <c r="AA37" s="347">
        <f>+'NF-KSF-TRIAL-BAL-2021'!T37+'RA-TRIAL-BAL-2021'!T37+'DES-TRIAL-BAL-2021'!T37+'DMP-TRIAL-BAL-2021'!T37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97">
        <f t="shared" si="13"/>
        <v>1664</v>
      </c>
      <c r="AK37" s="8">
        <v>0</v>
      </c>
      <c r="AL37" s="970">
        <f t="shared" si="14"/>
        <v>0</v>
      </c>
      <c r="AM37" s="326">
        <f t="shared" si="15"/>
        <v>0</v>
      </c>
      <c r="AN37" s="970">
        <f t="shared" si="16"/>
        <v>0</v>
      </c>
      <c r="AO37" s="29">
        <v>0</v>
      </c>
      <c r="AP37" s="28">
        <f t="shared" si="11"/>
        <v>0</v>
      </c>
      <c r="AQ37" s="43"/>
      <c r="AR37" s="358">
        <f t="shared" si="17"/>
        <v>0</v>
      </c>
      <c r="AS37" s="359">
        <f t="shared" si="18"/>
        <v>0</v>
      </c>
      <c r="AT37" s="360">
        <f t="shared" si="19"/>
        <v>0</v>
      </c>
      <c r="AU37" s="43"/>
      <c r="AV37" s="2119">
        <f t="shared" si="20"/>
        <v>0</v>
      </c>
      <c r="AW37" s="119"/>
      <c r="AX37" s="2125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 t="s">
        <v>265</v>
      </c>
      <c r="N38" s="113">
        <f t="shared" si="8"/>
        <v>1666</v>
      </c>
      <c r="O38" s="8">
        <v>0</v>
      </c>
      <c r="P38" s="121"/>
      <c r="Q38" s="325"/>
      <c r="R38" s="324"/>
      <c r="S38" s="29">
        <v>0</v>
      </c>
      <c r="T38" s="28">
        <f t="shared" si="12"/>
        <v>0</v>
      </c>
      <c r="U38" s="51"/>
      <c r="V38" s="541">
        <f>+'NF-KSF-TRIAL-BAL-2021'!O38+'RA-TRIAL-BAL-2021'!O38+'DES-TRIAL-BAL-2021'!O38+'DMP-TRIAL-BAL-2021'!O38</f>
        <v>0</v>
      </c>
      <c r="W38" s="529">
        <f>+'NF-KSF-TRIAL-BAL-2021'!P38+'RA-TRIAL-BAL-2021'!P38+'DES-TRIAL-BAL-2021'!P38+'DMP-TRIAL-BAL-2021'!P38</f>
        <v>0</v>
      </c>
      <c r="X38" s="528">
        <f>+'NF-KSF-TRIAL-BAL-2021'!Q38+'RA-TRIAL-BAL-2021'!Q38+'DES-TRIAL-BAL-2021'!Q38+'DMP-TRIAL-BAL-2021'!Q38</f>
        <v>0</v>
      </c>
      <c r="Y38" s="529">
        <f>+'NF-KSF-TRIAL-BAL-2021'!R38+'RA-TRIAL-BAL-2021'!R38+'DES-TRIAL-BAL-2021'!R38+'DMP-TRIAL-BAL-2021'!R38</f>
        <v>0</v>
      </c>
      <c r="Z38" s="528">
        <f>+'NF-KSF-TRIAL-BAL-2021'!S38+'RA-TRIAL-BAL-2021'!S38+'DES-TRIAL-BAL-2021'!S38+'DMP-TRIAL-BAL-2021'!S38</f>
        <v>0</v>
      </c>
      <c r="AA38" s="347">
        <f>+'NF-KSF-TRIAL-BAL-2021'!T38+'RA-TRIAL-BAL-2021'!T38+'DES-TRIAL-BAL-2021'!T38+'DMP-TRIAL-BAL-2021'!T38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97">
        <f t="shared" si="13"/>
        <v>1666</v>
      </c>
      <c r="AK38" s="8">
        <v>0</v>
      </c>
      <c r="AL38" s="970">
        <f t="shared" si="14"/>
        <v>0</v>
      </c>
      <c r="AM38" s="326">
        <f t="shared" si="15"/>
        <v>0</v>
      </c>
      <c r="AN38" s="970">
        <f t="shared" si="16"/>
        <v>0</v>
      </c>
      <c r="AO38" s="29">
        <v>0</v>
      </c>
      <c r="AP38" s="28">
        <f t="shared" si="11"/>
        <v>0</v>
      </c>
      <c r="AQ38" s="43"/>
      <c r="AR38" s="358">
        <f t="shared" si="17"/>
        <v>0</v>
      </c>
      <c r="AS38" s="359">
        <f t="shared" si="18"/>
        <v>0</v>
      </c>
      <c r="AT38" s="360">
        <f t="shared" si="19"/>
        <v>0</v>
      </c>
      <c r="AU38" s="43"/>
      <c r="AV38" s="2119">
        <f t="shared" si="20"/>
        <v>0</v>
      </c>
      <c r="AW38" s="119"/>
      <c r="AX38" s="2125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 t="s">
        <v>265</v>
      </c>
      <c r="N39" s="113">
        <f t="shared" si="8"/>
        <v>1667</v>
      </c>
      <c r="O39" s="8">
        <v>0</v>
      </c>
      <c r="P39" s="121"/>
      <c r="Q39" s="325"/>
      <c r="R39" s="324"/>
      <c r="S39" s="29">
        <v>0</v>
      </c>
      <c r="T39" s="28">
        <f t="shared" si="12"/>
        <v>0</v>
      </c>
      <c r="U39" s="51"/>
      <c r="V39" s="541">
        <f>+'NF-KSF-TRIAL-BAL-2021'!O39+'RA-TRIAL-BAL-2021'!O39+'DES-TRIAL-BAL-2021'!O39+'DMP-TRIAL-BAL-2021'!O39</f>
        <v>0</v>
      </c>
      <c r="W39" s="529">
        <f>+'NF-KSF-TRIAL-BAL-2021'!P39+'RA-TRIAL-BAL-2021'!P39+'DES-TRIAL-BAL-2021'!P39+'DMP-TRIAL-BAL-2021'!P39</f>
        <v>0</v>
      </c>
      <c r="X39" s="528">
        <f>+'NF-KSF-TRIAL-BAL-2021'!Q39+'RA-TRIAL-BAL-2021'!Q39+'DES-TRIAL-BAL-2021'!Q39+'DMP-TRIAL-BAL-2021'!Q39</f>
        <v>0</v>
      </c>
      <c r="Y39" s="529">
        <f>+'NF-KSF-TRIAL-BAL-2021'!R39+'RA-TRIAL-BAL-2021'!R39+'DES-TRIAL-BAL-2021'!R39+'DMP-TRIAL-BAL-2021'!R39</f>
        <v>0</v>
      </c>
      <c r="Z39" s="528">
        <f>+'NF-KSF-TRIAL-BAL-2021'!S39+'RA-TRIAL-BAL-2021'!S39+'DES-TRIAL-BAL-2021'!S39+'DMP-TRIAL-BAL-2021'!S39</f>
        <v>0</v>
      </c>
      <c r="AA39" s="347">
        <f>+'NF-KSF-TRIAL-BAL-2021'!T39+'RA-TRIAL-BAL-2021'!T39+'DES-TRIAL-BAL-2021'!T39+'DMP-TRIAL-BAL-2021'!T39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97">
        <f t="shared" si="13"/>
        <v>1667</v>
      </c>
      <c r="AK39" s="8">
        <v>0</v>
      </c>
      <c r="AL39" s="970">
        <f t="shared" si="14"/>
        <v>0</v>
      </c>
      <c r="AM39" s="326">
        <f t="shared" si="15"/>
        <v>0</v>
      </c>
      <c r="AN39" s="970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58">
        <f t="shared" si="17"/>
        <v>0</v>
      </c>
      <c r="AS39" s="359">
        <f t="shared" si="18"/>
        <v>0</v>
      </c>
      <c r="AT39" s="360">
        <f t="shared" si="19"/>
        <v>0</v>
      </c>
      <c r="AU39" s="43"/>
      <c r="AV39" s="2119">
        <f t="shared" si="20"/>
        <v>0</v>
      </c>
      <c r="AW39" s="119"/>
      <c r="AX39" s="2125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 t="s">
        <v>265</v>
      </c>
      <c r="N40" s="113">
        <f t="shared" si="8"/>
        <v>1669</v>
      </c>
      <c r="O40" s="8">
        <v>0</v>
      </c>
      <c r="P40" s="121"/>
      <c r="Q40" s="325"/>
      <c r="R40" s="324"/>
      <c r="S40" s="29">
        <v>0</v>
      </c>
      <c r="T40" s="28">
        <f t="shared" si="12"/>
        <v>0</v>
      </c>
      <c r="U40" s="51"/>
      <c r="V40" s="541">
        <f>+'NF-KSF-TRIAL-BAL-2021'!O40+'RA-TRIAL-BAL-2021'!O40+'DES-TRIAL-BAL-2021'!O40+'DMP-TRIAL-BAL-2021'!O40</f>
        <v>0</v>
      </c>
      <c r="W40" s="529">
        <f>+'NF-KSF-TRIAL-BAL-2021'!P40+'RA-TRIAL-BAL-2021'!P40+'DES-TRIAL-BAL-2021'!P40+'DMP-TRIAL-BAL-2021'!P40</f>
        <v>0</v>
      </c>
      <c r="X40" s="528">
        <f>+'NF-KSF-TRIAL-BAL-2021'!Q40+'RA-TRIAL-BAL-2021'!Q40+'DES-TRIAL-BAL-2021'!Q40+'DMP-TRIAL-BAL-2021'!Q40</f>
        <v>0</v>
      </c>
      <c r="Y40" s="529">
        <f>+'NF-KSF-TRIAL-BAL-2021'!R40+'RA-TRIAL-BAL-2021'!R40+'DES-TRIAL-BAL-2021'!R40+'DMP-TRIAL-BAL-2021'!R40</f>
        <v>0</v>
      </c>
      <c r="Z40" s="528">
        <f>+'NF-KSF-TRIAL-BAL-2021'!S40+'RA-TRIAL-BAL-2021'!S40+'DES-TRIAL-BAL-2021'!S40+'DMP-TRIAL-BAL-2021'!S40</f>
        <v>0</v>
      </c>
      <c r="AA40" s="347">
        <f>+'NF-KSF-TRIAL-BAL-2021'!T40+'RA-TRIAL-BAL-2021'!T40+'DES-TRIAL-BAL-2021'!T40+'DMP-TRIAL-BAL-2021'!T40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97">
        <f t="shared" si="13"/>
        <v>1669</v>
      </c>
      <c r="AK40" s="8">
        <v>0</v>
      </c>
      <c r="AL40" s="970">
        <f t="shared" si="14"/>
        <v>0</v>
      </c>
      <c r="AM40" s="326">
        <f t="shared" si="15"/>
        <v>0</v>
      </c>
      <c r="AN40" s="970">
        <f t="shared" si="16"/>
        <v>0</v>
      </c>
      <c r="AO40" s="29">
        <v>0</v>
      </c>
      <c r="AP40" s="28">
        <f t="shared" si="21"/>
        <v>0</v>
      </c>
      <c r="AQ40" s="43"/>
      <c r="AR40" s="358">
        <f t="shared" si="17"/>
        <v>0</v>
      </c>
      <c r="AS40" s="359">
        <f t="shared" si="18"/>
        <v>0</v>
      </c>
      <c r="AT40" s="360">
        <f t="shared" si="19"/>
        <v>0</v>
      </c>
      <c r="AU40" s="43"/>
      <c r="AV40" s="2119">
        <f t="shared" si="20"/>
        <v>0</v>
      </c>
      <c r="AW40" s="119"/>
      <c r="AX40" s="2125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13">
        <f t="shared" si="8"/>
        <v>1681</v>
      </c>
      <c r="O41" s="575">
        <v>0</v>
      </c>
      <c r="P41" s="576"/>
      <c r="Q41" s="325"/>
      <c r="R41" s="324"/>
      <c r="S41" s="579">
        <v>0</v>
      </c>
      <c r="T41" s="580">
        <f t="shared" si="12"/>
        <v>0</v>
      </c>
      <c r="U41" s="51"/>
      <c r="V41" s="541">
        <f>+'NF-KSF-TRIAL-BAL-2021'!O41+'RA-TRIAL-BAL-2021'!O41+'DES-TRIAL-BAL-2021'!O41+'DMP-TRIAL-BAL-2021'!O41</f>
        <v>0</v>
      </c>
      <c r="W41" s="529">
        <f>+'NF-KSF-TRIAL-BAL-2021'!P41+'RA-TRIAL-BAL-2021'!P41+'DES-TRIAL-BAL-2021'!P41+'DMP-TRIAL-BAL-2021'!P41</f>
        <v>0</v>
      </c>
      <c r="X41" s="528">
        <f>+'NF-KSF-TRIAL-BAL-2021'!Q41+'RA-TRIAL-BAL-2021'!Q41+'DES-TRIAL-BAL-2021'!Q41+'DMP-TRIAL-BAL-2021'!Q41</f>
        <v>0</v>
      </c>
      <c r="Y41" s="529">
        <f>+'NF-KSF-TRIAL-BAL-2021'!R41+'RA-TRIAL-BAL-2021'!R41+'DES-TRIAL-BAL-2021'!R41+'DMP-TRIAL-BAL-2021'!R41</f>
        <v>0</v>
      </c>
      <c r="Z41" s="528">
        <f>+'NF-KSF-TRIAL-BAL-2021'!S41+'RA-TRIAL-BAL-2021'!S41+'DES-TRIAL-BAL-2021'!S41+'DMP-TRIAL-BAL-2021'!S41</f>
        <v>0</v>
      </c>
      <c r="AA41" s="347">
        <f>+'NF-KSF-TRIAL-BAL-2021'!T41+'RA-TRIAL-BAL-2021'!T41+'DES-TRIAL-BAL-2021'!T41+'DMP-TRIAL-BAL-2021'!T41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9">
        <v>0</v>
      </c>
      <c r="AH41" s="584">
        <v>0</v>
      </c>
      <c r="AI41" s="51"/>
      <c r="AJ41" s="1497">
        <f t="shared" si="13"/>
        <v>1681</v>
      </c>
      <c r="AK41" s="8">
        <v>0</v>
      </c>
      <c r="AL41" s="970">
        <f t="shared" si="14"/>
        <v>0</v>
      </c>
      <c r="AM41" s="326">
        <f t="shared" si="15"/>
        <v>0</v>
      </c>
      <c r="AN41" s="970">
        <f t="shared" si="16"/>
        <v>0</v>
      </c>
      <c r="AO41" s="579">
        <v>0</v>
      </c>
      <c r="AP41" s="28">
        <f t="shared" si="21"/>
        <v>0</v>
      </c>
      <c r="AQ41" s="43"/>
      <c r="AR41" s="358">
        <f t="shared" si="17"/>
        <v>0</v>
      </c>
      <c r="AS41" s="359">
        <f t="shared" si="18"/>
        <v>0</v>
      </c>
      <c r="AT41" s="360">
        <f t="shared" si="19"/>
        <v>0</v>
      </c>
      <c r="AU41" s="43"/>
      <c r="AV41" s="2119">
        <f t="shared" si="20"/>
        <v>0</v>
      </c>
      <c r="AW41" s="119"/>
      <c r="AX41" s="2125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13">
        <f t="shared" si="8"/>
        <v>1685</v>
      </c>
      <c r="O42" s="575">
        <v>0</v>
      </c>
      <c r="P42" s="576"/>
      <c r="Q42" s="325"/>
      <c r="R42" s="324"/>
      <c r="S42" s="579">
        <v>0</v>
      </c>
      <c r="T42" s="580">
        <f t="shared" si="12"/>
        <v>0</v>
      </c>
      <c r="U42" s="51"/>
      <c r="V42" s="541">
        <f>+'NF-KSF-TRIAL-BAL-2021'!O42+'RA-TRIAL-BAL-2021'!O42+'DES-TRIAL-BAL-2021'!O42+'DMP-TRIAL-BAL-2021'!O42</f>
        <v>0</v>
      </c>
      <c r="W42" s="529">
        <f>+'NF-KSF-TRIAL-BAL-2021'!P42+'RA-TRIAL-BAL-2021'!P42+'DES-TRIAL-BAL-2021'!P42+'DMP-TRIAL-BAL-2021'!P42</f>
        <v>0</v>
      </c>
      <c r="X42" s="528">
        <f>+'NF-KSF-TRIAL-BAL-2021'!Q42+'RA-TRIAL-BAL-2021'!Q42+'DES-TRIAL-BAL-2021'!Q42+'DMP-TRIAL-BAL-2021'!Q42</f>
        <v>0</v>
      </c>
      <c r="Y42" s="529">
        <f>+'NF-KSF-TRIAL-BAL-2021'!R42+'RA-TRIAL-BAL-2021'!R42+'DES-TRIAL-BAL-2021'!R42+'DMP-TRIAL-BAL-2021'!R42</f>
        <v>0</v>
      </c>
      <c r="Z42" s="528">
        <f>+'NF-KSF-TRIAL-BAL-2021'!S42+'RA-TRIAL-BAL-2021'!S42+'DES-TRIAL-BAL-2021'!S42+'DMP-TRIAL-BAL-2021'!S42</f>
        <v>0</v>
      </c>
      <c r="AA42" s="347">
        <f>+'NF-KSF-TRIAL-BAL-2021'!T42+'RA-TRIAL-BAL-2021'!T42+'DES-TRIAL-BAL-2021'!T42+'DMP-TRIAL-BAL-2021'!T42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9">
        <v>0</v>
      </c>
      <c r="AH42" s="584">
        <v>0</v>
      </c>
      <c r="AI42" s="51"/>
      <c r="AJ42" s="1497">
        <f t="shared" si="13"/>
        <v>1685</v>
      </c>
      <c r="AK42" s="8">
        <v>0</v>
      </c>
      <c r="AL42" s="970">
        <f t="shared" si="14"/>
        <v>0</v>
      </c>
      <c r="AM42" s="326">
        <f t="shared" si="15"/>
        <v>0</v>
      </c>
      <c r="AN42" s="970">
        <f t="shared" si="16"/>
        <v>0</v>
      </c>
      <c r="AO42" s="579">
        <v>0</v>
      </c>
      <c r="AP42" s="28">
        <f t="shared" si="21"/>
        <v>0</v>
      </c>
      <c r="AQ42" s="43"/>
      <c r="AR42" s="358">
        <f t="shared" si="17"/>
        <v>0</v>
      </c>
      <c r="AS42" s="359">
        <f t="shared" si="18"/>
        <v>0</v>
      </c>
      <c r="AT42" s="360">
        <f t="shared" si="19"/>
        <v>0</v>
      </c>
      <c r="AU42" s="43"/>
      <c r="AV42" s="2119">
        <f t="shared" si="20"/>
        <v>0</v>
      </c>
      <c r="AW42" s="119"/>
      <c r="AX42" s="2125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 t="s">
        <v>265</v>
      </c>
      <c r="N43" s="113">
        <f t="shared" si="8"/>
        <v>1686</v>
      </c>
      <c r="O43" s="575">
        <v>0</v>
      </c>
      <c r="P43" s="576"/>
      <c r="Q43" s="325"/>
      <c r="R43" s="324"/>
      <c r="S43" s="579">
        <v>0</v>
      </c>
      <c r="T43" s="580">
        <f t="shared" si="12"/>
        <v>0</v>
      </c>
      <c r="U43" s="51"/>
      <c r="V43" s="541">
        <f>+'NF-KSF-TRIAL-BAL-2021'!O43+'RA-TRIAL-BAL-2021'!O43+'DES-TRIAL-BAL-2021'!O43+'DMP-TRIAL-BAL-2021'!O43</f>
        <v>0</v>
      </c>
      <c r="W43" s="529">
        <f>+'NF-KSF-TRIAL-BAL-2021'!P43+'RA-TRIAL-BAL-2021'!P43+'DES-TRIAL-BAL-2021'!P43+'DMP-TRIAL-BAL-2021'!P43</f>
        <v>0</v>
      </c>
      <c r="X43" s="528">
        <f>+'NF-KSF-TRIAL-BAL-2021'!Q43+'RA-TRIAL-BAL-2021'!Q43+'DES-TRIAL-BAL-2021'!Q43+'DMP-TRIAL-BAL-2021'!Q43</f>
        <v>0</v>
      </c>
      <c r="Y43" s="529">
        <f>+'NF-KSF-TRIAL-BAL-2021'!R43+'RA-TRIAL-BAL-2021'!R43+'DES-TRIAL-BAL-2021'!R43+'DMP-TRIAL-BAL-2021'!R43</f>
        <v>0</v>
      </c>
      <c r="Z43" s="528">
        <f>+'NF-KSF-TRIAL-BAL-2021'!S43+'RA-TRIAL-BAL-2021'!S43+'DES-TRIAL-BAL-2021'!S43+'DMP-TRIAL-BAL-2021'!S43</f>
        <v>0</v>
      </c>
      <c r="AA43" s="347">
        <f>+'NF-KSF-TRIAL-BAL-2021'!T43+'RA-TRIAL-BAL-2021'!T43+'DES-TRIAL-BAL-2021'!T43+'DMP-TRIAL-BAL-2021'!T43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9">
        <v>0</v>
      </c>
      <c r="AH43" s="584">
        <v>0</v>
      </c>
      <c r="AI43" s="51"/>
      <c r="AJ43" s="1497">
        <f t="shared" si="13"/>
        <v>1686</v>
      </c>
      <c r="AK43" s="8">
        <v>0</v>
      </c>
      <c r="AL43" s="970">
        <f t="shared" si="14"/>
        <v>0</v>
      </c>
      <c r="AM43" s="326">
        <f t="shared" si="15"/>
        <v>0</v>
      </c>
      <c r="AN43" s="970">
        <f t="shared" si="16"/>
        <v>0</v>
      </c>
      <c r="AO43" s="579">
        <v>0</v>
      </c>
      <c r="AP43" s="28">
        <f t="shared" si="21"/>
        <v>0</v>
      </c>
      <c r="AQ43" s="43"/>
      <c r="AR43" s="358">
        <f t="shared" si="17"/>
        <v>0</v>
      </c>
      <c r="AS43" s="359">
        <f t="shared" si="18"/>
        <v>0</v>
      </c>
      <c r="AT43" s="360">
        <f t="shared" si="19"/>
        <v>0</v>
      </c>
      <c r="AU43" s="43"/>
      <c r="AV43" s="2119">
        <f t="shared" si="20"/>
        <v>0</v>
      </c>
      <c r="AW43" s="119"/>
      <c r="AX43" s="2125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 t="s">
        <v>265</v>
      </c>
      <c r="N44" s="113">
        <f t="shared" si="8"/>
        <v>1688</v>
      </c>
      <c r="O44" s="575">
        <v>0</v>
      </c>
      <c r="P44" s="576"/>
      <c r="Q44" s="325"/>
      <c r="R44" s="324"/>
      <c r="S44" s="579">
        <v>0</v>
      </c>
      <c r="T44" s="580">
        <f t="shared" si="12"/>
        <v>0</v>
      </c>
      <c r="U44" s="51"/>
      <c r="V44" s="541">
        <f>+'NF-KSF-TRIAL-BAL-2021'!O44+'RA-TRIAL-BAL-2021'!O44+'DES-TRIAL-BAL-2021'!O44+'DMP-TRIAL-BAL-2021'!O44</f>
        <v>0</v>
      </c>
      <c r="W44" s="529">
        <f>+'NF-KSF-TRIAL-BAL-2021'!P44+'RA-TRIAL-BAL-2021'!P44+'DES-TRIAL-BAL-2021'!P44+'DMP-TRIAL-BAL-2021'!P44</f>
        <v>0</v>
      </c>
      <c r="X44" s="528">
        <f>+'NF-KSF-TRIAL-BAL-2021'!Q44+'RA-TRIAL-BAL-2021'!Q44+'DES-TRIAL-BAL-2021'!Q44+'DMP-TRIAL-BAL-2021'!Q44</f>
        <v>0</v>
      </c>
      <c r="Y44" s="529">
        <f>+'NF-KSF-TRIAL-BAL-2021'!R44+'RA-TRIAL-BAL-2021'!R44+'DES-TRIAL-BAL-2021'!R44+'DMP-TRIAL-BAL-2021'!R44</f>
        <v>0</v>
      </c>
      <c r="Z44" s="528">
        <f>+'NF-KSF-TRIAL-BAL-2021'!S44+'RA-TRIAL-BAL-2021'!S44+'DES-TRIAL-BAL-2021'!S44+'DMP-TRIAL-BAL-2021'!S44</f>
        <v>0</v>
      </c>
      <c r="AA44" s="347">
        <f>+'NF-KSF-TRIAL-BAL-2021'!T44+'RA-TRIAL-BAL-2021'!T44+'DES-TRIAL-BAL-2021'!T44+'DMP-TRIAL-BAL-2021'!T44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9">
        <v>0</v>
      </c>
      <c r="AH44" s="584">
        <v>0</v>
      </c>
      <c r="AI44" s="51"/>
      <c r="AJ44" s="1497">
        <f t="shared" si="13"/>
        <v>1688</v>
      </c>
      <c r="AK44" s="8">
        <v>0</v>
      </c>
      <c r="AL44" s="970">
        <f t="shared" si="14"/>
        <v>0</v>
      </c>
      <c r="AM44" s="326">
        <f t="shared" si="15"/>
        <v>0</v>
      </c>
      <c r="AN44" s="970">
        <f t="shared" si="16"/>
        <v>0</v>
      </c>
      <c r="AO44" s="579">
        <v>0</v>
      </c>
      <c r="AP44" s="28">
        <f t="shared" si="21"/>
        <v>0</v>
      </c>
      <c r="AQ44" s="43"/>
      <c r="AR44" s="358">
        <f t="shared" si="17"/>
        <v>0</v>
      </c>
      <c r="AS44" s="359">
        <f t="shared" si="18"/>
        <v>0</v>
      </c>
      <c r="AT44" s="360">
        <f t="shared" si="19"/>
        <v>0</v>
      </c>
      <c r="AU44" s="43"/>
      <c r="AV44" s="2119">
        <f t="shared" si="20"/>
        <v>0</v>
      </c>
      <c r="AW44" s="119"/>
      <c r="AX44" s="2125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 t="s">
        <v>265</v>
      </c>
      <c r="N45" s="113">
        <f t="shared" si="8"/>
        <v>1689</v>
      </c>
      <c r="O45" s="575">
        <v>0</v>
      </c>
      <c r="P45" s="576"/>
      <c r="Q45" s="325"/>
      <c r="R45" s="324"/>
      <c r="S45" s="579">
        <v>0</v>
      </c>
      <c r="T45" s="580">
        <f t="shared" si="12"/>
        <v>0</v>
      </c>
      <c r="U45" s="51"/>
      <c r="V45" s="541">
        <f>+'NF-KSF-TRIAL-BAL-2021'!O45+'RA-TRIAL-BAL-2021'!O45+'DES-TRIAL-BAL-2021'!O45+'DMP-TRIAL-BAL-2021'!O45</f>
        <v>0</v>
      </c>
      <c r="W45" s="529">
        <f>+'NF-KSF-TRIAL-BAL-2021'!P45+'RA-TRIAL-BAL-2021'!P45+'DES-TRIAL-BAL-2021'!P45+'DMP-TRIAL-BAL-2021'!P45</f>
        <v>0</v>
      </c>
      <c r="X45" s="528">
        <f>+'NF-KSF-TRIAL-BAL-2021'!Q45+'RA-TRIAL-BAL-2021'!Q45+'DES-TRIAL-BAL-2021'!Q45+'DMP-TRIAL-BAL-2021'!Q45</f>
        <v>0</v>
      </c>
      <c r="Y45" s="529">
        <f>+'NF-KSF-TRIAL-BAL-2021'!R45+'RA-TRIAL-BAL-2021'!R45+'DES-TRIAL-BAL-2021'!R45+'DMP-TRIAL-BAL-2021'!R45</f>
        <v>0</v>
      </c>
      <c r="Z45" s="528">
        <f>+'NF-KSF-TRIAL-BAL-2021'!S45+'RA-TRIAL-BAL-2021'!S45+'DES-TRIAL-BAL-2021'!S45+'DMP-TRIAL-BAL-2021'!S45</f>
        <v>0</v>
      </c>
      <c r="AA45" s="347">
        <f>+'NF-KSF-TRIAL-BAL-2021'!T45+'RA-TRIAL-BAL-2021'!T45+'DES-TRIAL-BAL-2021'!T45+'DMP-TRIAL-BAL-2021'!T45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9">
        <v>0</v>
      </c>
      <c r="AH45" s="584">
        <v>0</v>
      </c>
      <c r="AI45" s="51"/>
      <c r="AJ45" s="1497">
        <f t="shared" si="13"/>
        <v>1689</v>
      </c>
      <c r="AK45" s="8">
        <v>0</v>
      </c>
      <c r="AL45" s="970">
        <f t="shared" si="14"/>
        <v>0</v>
      </c>
      <c r="AM45" s="326">
        <f t="shared" si="15"/>
        <v>0</v>
      </c>
      <c r="AN45" s="970">
        <f t="shared" si="16"/>
        <v>0</v>
      </c>
      <c r="AO45" s="579">
        <v>0</v>
      </c>
      <c r="AP45" s="28">
        <f t="shared" si="21"/>
        <v>0</v>
      </c>
      <c r="AQ45" s="43"/>
      <c r="AR45" s="358">
        <f t="shared" si="17"/>
        <v>0</v>
      </c>
      <c r="AS45" s="359">
        <f t="shared" si="18"/>
        <v>0</v>
      </c>
      <c r="AT45" s="360">
        <f t="shared" si="19"/>
        <v>0</v>
      </c>
      <c r="AU45" s="43"/>
      <c r="AV45" s="2119">
        <f t="shared" si="20"/>
        <v>0</v>
      </c>
      <c r="AW45" s="119"/>
      <c r="AX45" s="2125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8"/>
        <v>1701</v>
      </c>
      <c r="O46" s="8">
        <v>0</v>
      </c>
      <c r="P46" s="121"/>
      <c r="Q46" s="325"/>
      <c r="R46" s="324"/>
      <c r="S46" s="29">
        <v>0</v>
      </c>
      <c r="T46" s="28">
        <f t="shared" si="12"/>
        <v>0</v>
      </c>
      <c r="U46" s="51"/>
      <c r="V46" s="541">
        <f>+'NF-KSF-TRIAL-BAL-2021'!O46+'RA-TRIAL-BAL-2021'!O46+'DES-TRIAL-BAL-2021'!O46+'DMP-TRIAL-BAL-2021'!O46</f>
        <v>0</v>
      </c>
      <c r="W46" s="529">
        <f>+'NF-KSF-TRIAL-BAL-2021'!P46+'RA-TRIAL-BAL-2021'!P46+'DES-TRIAL-BAL-2021'!P46+'DMP-TRIAL-BAL-2021'!P46</f>
        <v>0</v>
      </c>
      <c r="X46" s="528">
        <f>+'NF-KSF-TRIAL-BAL-2021'!Q46+'RA-TRIAL-BAL-2021'!Q46+'DES-TRIAL-BAL-2021'!Q46+'DMP-TRIAL-BAL-2021'!Q46</f>
        <v>0</v>
      </c>
      <c r="Y46" s="529">
        <f>+'NF-KSF-TRIAL-BAL-2021'!R46+'RA-TRIAL-BAL-2021'!R46+'DES-TRIAL-BAL-2021'!R46+'DMP-TRIAL-BAL-2021'!R46</f>
        <v>0</v>
      </c>
      <c r="Z46" s="528">
        <f>+'NF-KSF-TRIAL-BAL-2021'!S46+'RA-TRIAL-BAL-2021'!S46+'DES-TRIAL-BAL-2021'!S46+'DMP-TRIAL-BAL-2021'!S46</f>
        <v>0</v>
      </c>
      <c r="AA46" s="347">
        <f>+'NF-KSF-TRIAL-BAL-2021'!T46+'RA-TRIAL-BAL-2021'!T46+'DES-TRIAL-BAL-2021'!T46+'DMP-TRIAL-BAL-2021'!T46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9">
        <v>0</v>
      </c>
      <c r="AH46" s="584">
        <v>0</v>
      </c>
      <c r="AI46" s="51"/>
      <c r="AJ46" s="1497">
        <f t="shared" si="13"/>
        <v>1701</v>
      </c>
      <c r="AK46" s="8">
        <v>0</v>
      </c>
      <c r="AL46" s="970">
        <f t="shared" si="14"/>
        <v>0</v>
      </c>
      <c r="AM46" s="326">
        <f t="shared" si="15"/>
        <v>0</v>
      </c>
      <c r="AN46" s="970">
        <f t="shared" si="16"/>
        <v>0</v>
      </c>
      <c r="AO46" s="29">
        <v>0</v>
      </c>
      <c r="AP46" s="28">
        <f t="shared" si="21"/>
        <v>0</v>
      </c>
      <c r="AQ46" s="43"/>
      <c r="AR46" s="358">
        <f t="shared" si="17"/>
        <v>0</v>
      </c>
      <c r="AS46" s="359">
        <f t="shared" si="18"/>
        <v>0</v>
      </c>
      <c r="AT46" s="360">
        <f t="shared" si="19"/>
        <v>0</v>
      </c>
      <c r="AU46" s="43"/>
      <c r="AV46" s="2119">
        <f t="shared" si="20"/>
        <v>0</v>
      </c>
      <c r="AW46" s="119"/>
      <c r="AX46" s="2125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>+A47</f>
        <v>1702</v>
      </c>
      <c r="O47" s="8">
        <v>0</v>
      </c>
      <c r="P47" s="121"/>
      <c r="Q47" s="325"/>
      <c r="R47" s="324"/>
      <c r="S47" s="29">
        <v>0</v>
      </c>
      <c r="T47" s="28">
        <f t="shared" si="12"/>
        <v>0</v>
      </c>
      <c r="U47" s="51"/>
      <c r="V47" s="541">
        <f>+'NF-KSF-TRIAL-BAL-2021'!O47+'RA-TRIAL-BAL-2021'!O47+'DES-TRIAL-BAL-2021'!O47+'DMP-TRIAL-BAL-2021'!O47</f>
        <v>0</v>
      </c>
      <c r="W47" s="529">
        <f>+'NF-KSF-TRIAL-BAL-2021'!P47+'RA-TRIAL-BAL-2021'!P47+'DES-TRIAL-BAL-2021'!P47+'DMP-TRIAL-BAL-2021'!P47</f>
        <v>0</v>
      </c>
      <c r="X47" s="528">
        <f>+'NF-KSF-TRIAL-BAL-2021'!Q47+'RA-TRIAL-BAL-2021'!Q47+'DES-TRIAL-BAL-2021'!Q47+'DMP-TRIAL-BAL-2021'!Q47</f>
        <v>0</v>
      </c>
      <c r="Y47" s="529">
        <f>+'NF-KSF-TRIAL-BAL-2021'!R47+'RA-TRIAL-BAL-2021'!R47+'DES-TRIAL-BAL-2021'!R47+'DMP-TRIAL-BAL-2021'!R47</f>
        <v>0</v>
      </c>
      <c r="Z47" s="528">
        <f>+'NF-KSF-TRIAL-BAL-2021'!S47+'RA-TRIAL-BAL-2021'!S47+'DES-TRIAL-BAL-2021'!S47+'DMP-TRIAL-BAL-2021'!S47</f>
        <v>0</v>
      </c>
      <c r="AA47" s="347">
        <f>+'NF-KSF-TRIAL-BAL-2021'!T47+'RA-TRIAL-BAL-2021'!T47+'DES-TRIAL-BAL-2021'!T47+'DMP-TRIAL-BAL-2021'!T47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9">
        <v>0</v>
      </c>
      <c r="AH47" s="584">
        <v>0</v>
      </c>
      <c r="AI47" s="51"/>
      <c r="AJ47" s="1497">
        <f t="shared" si="13"/>
        <v>1702</v>
      </c>
      <c r="AK47" s="8">
        <v>0</v>
      </c>
      <c r="AL47" s="970">
        <f t="shared" si="14"/>
        <v>0</v>
      </c>
      <c r="AM47" s="326">
        <f t="shared" si="15"/>
        <v>0</v>
      </c>
      <c r="AN47" s="970">
        <f t="shared" si="16"/>
        <v>0</v>
      </c>
      <c r="AO47" s="29">
        <v>0</v>
      </c>
      <c r="AP47" s="28">
        <f t="shared" si="21"/>
        <v>0</v>
      </c>
      <c r="AQ47" s="43"/>
      <c r="AR47" s="358">
        <f t="shared" si="17"/>
        <v>0</v>
      </c>
      <c r="AS47" s="359">
        <f t="shared" si="18"/>
        <v>0</v>
      </c>
      <c r="AT47" s="360">
        <f t="shared" si="19"/>
        <v>0</v>
      </c>
      <c r="AU47" s="43"/>
      <c r="AV47" s="2119">
        <f t="shared" si="20"/>
        <v>0</v>
      </c>
      <c r="AW47" s="119"/>
      <c r="AX47" s="2125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8"/>
        <v>1707</v>
      </c>
      <c r="O48" s="8">
        <v>0</v>
      </c>
      <c r="P48" s="121"/>
      <c r="Q48" s="325"/>
      <c r="R48" s="324"/>
      <c r="S48" s="29">
        <v>0</v>
      </c>
      <c r="T48" s="28">
        <f t="shared" si="12"/>
        <v>0</v>
      </c>
      <c r="U48" s="51"/>
      <c r="V48" s="541">
        <f>+'NF-KSF-TRIAL-BAL-2021'!O48+'RA-TRIAL-BAL-2021'!O48+'DES-TRIAL-BAL-2021'!O48+'DMP-TRIAL-BAL-2021'!O48</f>
        <v>0</v>
      </c>
      <c r="W48" s="529">
        <f>+'NF-KSF-TRIAL-BAL-2021'!P48+'RA-TRIAL-BAL-2021'!P48+'DES-TRIAL-BAL-2021'!P48+'DMP-TRIAL-BAL-2021'!P48</f>
        <v>0</v>
      </c>
      <c r="X48" s="528">
        <f>+'NF-KSF-TRIAL-BAL-2021'!Q48+'RA-TRIAL-BAL-2021'!Q48+'DES-TRIAL-BAL-2021'!Q48+'DMP-TRIAL-BAL-2021'!Q48</f>
        <v>0</v>
      </c>
      <c r="Y48" s="529">
        <f>+'NF-KSF-TRIAL-BAL-2021'!R48+'RA-TRIAL-BAL-2021'!R48+'DES-TRIAL-BAL-2021'!R48+'DMP-TRIAL-BAL-2021'!R48</f>
        <v>0</v>
      </c>
      <c r="Z48" s="528">
        <f>+'NF-KSF-TRIAL-BAL-2021'!S48+'RA-TRIAL-BAL-2021'!S48+'DES-TRIAL-BAL-2021'!S48+'DMP-TRIAL-BAL-2021'!S48</f>
        <v>0</v>
      </c>
      <c r="AA48" s="347">
        <f>+'NF-KSF-TRIAL-BAL-2021'!T48+'RA-TRIAL-BAL-2021'!T48+'DES-TRIAL-BAL-2021'!T48+'DMP-TRIAL-BAL-2021'!T48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9">
        <v>0</v>
      </c>
      <c r="AH48" s="584">
        <v>0</v>
      </c>
      <c r="AI48" s="51"/>
      <c r="AJ48" s="1497">
        <f t="shared" si="13"/>
        <v>1707</v>
      </c>
      <c r="AK48" s="8">
        <v>0</v>
      </c>
      <c r="AL48" s="970">
        <f t="shared" si="14"/>
        <v>0</v>
      </c>
      <c r="AM48" s="326">
        <f t="shared" si="15"/>
        <v>0</v>
      </c>
      <c r="AN48" s="970">
        <f t="shared" si="16"/>
        <v>0</v>
      </c>
      <c r="AO48" s="29">
        <v>0</v>
      </c>
      <c r="AP48" s="28">
        <f t="shared" si="21"/>
        <v>0</v>
      </c>
      <c r="AQ48" s="43"/>
      <c r="AR48" s="358">
        <f t="shared" si="17"/>
        <v>0</v>
      </c>
      <c r="AS48" s="359">
        <f t="shared" si="18"/>
        <v>0</v>
      </c>
      <c r="AT48" s="360">
        <f t="shared" si="19"/>
        <v>0</v>
      </c>
      <c r="AU48" s="43"/>
      <c r="AV48" s="2119">
        <f t="shared" si="20"/>
        <v>0</v>
      </c>
      <c r="AW48" s="119"/>
      <c r="AX48" s="2125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>+A49</f>
        <v>1708</v>
      </c>
      <c r="O49" s="8">
        <v>0</v>
      </c>
      <c r="P49" s="121"/>
      <c r="Q49" s="325"/>
      <c r="R49" s="324"/>
      <c r="S49" s="29">
        <v>0</v>
      </c>
      <c r="T49" s="28">
        <f t="shared" si="12"/>
        <v>0</v>
      </c>
      <c r="U49" s="51"/>
      <c r="V49" s="541">
        <f>+'NF-KSF-TRIAL-BAL-2021'!O49+'RA-TRIAL-BAL-2021'!O49+'DES-TRIAL-BAL-2021'!O49+'DMP-TRIAL-BAL-2021'!O49</f>
        <v>0</v>
      </c>
      <c r="W49" s="529">
        <f>+'NF-KSF-TRIAL-BAL-2021'!P49+'RA-TRIAL-BAL-2021'!P49+'DES-TRIAL-BAL-2021'!P49+'DMP-TRIAL-BAL-2021'!P49</f>
        <v>0</v>
      </c>
      <c r="X49" s="528">
        <f>+'NF-KSF-TRIAL-BAL-2021'!Q49+'RA-TRIAL-BAL-2021'!Q49+'DES-TRIAL-BAL-2021'!Q49+'DMP-TRIAL-BAL-2021'!Q49</f>
        <v>0</v>
      </c>
      <c r="Y49" s="529">
        <f>+'NF-KSF-TRIAL-BAL-2021'!R49+'RA-TRIAL-BAL-2021'!R49+'DES-TRIAL-BAL-2021'!R49+'DMP-TRIAL-BAL-2021'!R49</f>
        <v>0</v>
      </c>
      <c r="Z49" s="528">
        <f>+'NF-KSF-TRIAL-BAL-2021'!S49+'RA-TRIAL-BAL-2021'!S49+'DES-TRIAL-BAL-2021'!S49+'DMP-TRIAL-BAL-2021'!S49</f>
        <v>0</v>
      </c>
      <c r="AA49" s="347">
        <f>+'NF-KSF-TRIAL-BAL-2021'!T49+'RA-TRIAL-BAL-2021'!T49+'DES-TRIAL-BAL-2021'!T49+'DMP-TRIAL-BAL-2021'!T49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9">
        <v>0</v>
      </c>
      <c r="AH49" s="584">
        <v>0</v>
      </c>
      <c r="AI49" s="51"/>
      <c r="AJ49" s="1497">
        <f t="shared" si="13"/>
        <v>1708</v>
      </c>
      <c r="AK49" s="8">
        <v>0</v>
      </c>
      <c r="AL49" s="970">
        <f t="shared" si="14"/>
        <v>0</v>
      </c>
      <c r="AM49" s="326">
        <f t="shared" si="15"/>
        <v>0</v>
      </c>
      <c r="AN49" s="970">
        <f t="shared" si="16"/>
        <v>0</v>
      </c>
      <c r="AO49" s="29">
        <v>0</v>
      </c>
      <c r="AP49" s="28">
        <f t="shared" si="21"/>
        <v>0</v>
      </c>
      <c r="AQ49" s="43"/>
      <c r="AR49" s="358">
        <f t="shared" si="17"/>
        <v>0</v>
      </c>
      <c r="AS49" s="359">
        <f t="shared" si="18"/>
        <v>0</v>
      </c>
      <c r="AT49" s="360">
        <f t="shared" si="19"/>
        <v>0</v>
      </c>
      <c r="AU49" s="43"/>
      <c r="AV49" s="2119">
        <f t="shared" si="20"/>
        <v>0</v>
      </c>
      <c r="AW49" s="119"/>
      <c r="AX49" s="2125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 t="shared" si="8"/>
        <v>1911</v>
      </c>
      <c r="O50" s="8">
        <v>0</v>
      </c>
      <c r="P50" s="121"/>
      <c r="Q50" s="325"/>
      <c r="R50" s="324"/>
      <c r="S50" s="29">
        <v>0</v>
      </c>
      <c r="T50" s="28">
        <f t="shared" si="12"/>
        <v>0</v>
      </c>
      <c r="U50" s="51"/>
      <c r="V50" s="541">
        <f>+'NF-KSF-TRIAL-BAL-2021'!O50+'RA-TRIAL-BAL-2021'!O50+'DES-TRIAL-BAL-2021'!O50+'DMP-TRIAL-BAL-2021'!O50</f>
        <v>0</v>
      </c>
      <c r="W50" s="529">
        <f>+'NF-KSF-TRIAL-BAL-2021'!P50+'RA-TRIAL-BAL-2021'!P50+'DES-TRIAL-BAL-2021'!P50+'DMP-TRIAL-BAL-2021'!P50</f>
        <v>0</v>
      </c>
      <c r="X50" s="528">
        <f>+'NF-KSF-TRIAL-BAL-2021'!Q50+'RA-TRIAL-BAL-2021'!Q50+'DES-TRIAL-BAL-2021'!Q50+'DMP-TRIAL-BAL-2021'!Q50</f>
        <v>0</v>
      </c>
      <c r="Y50" s="529">
        <f>+'NF-KSF-TRIAL-BAL-2021'!R50+'RA-TRIAL-BAL-2021'!R50+'DES-TRIAL-BAL-2021'!R50+'DMP-TRIAL-BAL-2021'!R50</f>
        <v>0</v>
      </c>
      <c r="Z50" s="528">
        <f>+'NF-KSF-TRIAL-BAL-2021'!S50+'RA-TRIAL-BAL-2021'!S50+'DES-TRIAL-BAL-2021'!S50+'DMP-TRIAL-BAL-2021'!S50</f>
        <v>0</v>
      </c>
      <c r="AA50" s="347">
        <f>+'NF-KSF-TRIAL-BAL-2021'!T50+'RA-TRIAL-BAL-2021'!T50+'DES-TRIAL-BAL-2021'!T50+'DMP-TRIAL-BAL-2021'!T50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9">
        <v>0</v>
      </c>
      <c r="AH50" s="584">
        <v>0</v>
      </c>
      <c r="AI50" s="51"/>
      <c r="AJ50" s="1497">
        <f t="shared" si="13"/>
        <v>1911</v>
      </c>
      <c r="AK50" s="8">
        <v>0</v>
      </c>
      <c r="AL50" s="970">
        <f t="shared" si="14"/>
        <v>0</v>
      </c>
      <c r="AM50" s="326">
        <f t="shared" si="15"/>
        <v>0</v>
      </c>
      <c r="AN50" s="970">
        <f t="shared" si="16"/>
        <v>0</v>
      </c>
      <c r="AO50" s="29">
        <v>0</v>
      </c>
      <c r="AP50" s="28">
        <f t="shared" si="21"/>
        <v>0</v>
      </c>
      <c r="AQ50" s="43"/>
      <c r="AR50" s="358">
        <f t="shared" si="17"/>
        <v>0</v>
      </c>
      <c r="AS50" s="359">
        <f t="shared" si="18"/>
        <v>0</v>
      </c>
      <c r="AT50" s="360">
        <f t="shared" si="19"/>
        <v>0</v>
      </c>
      <c r="AU50" s="43"/>
      <c r="AV50" s="2119">
        <f t="shared" si="20"/>
        <v>0</v>
      </c>
      <c r="AW50" s="119"/>
      <c r="AX50" s="2125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8"/>
        <v>1912</v>
      </c>
      <c r="O51" s="8">
        <v>0</v>
      </c>
      <c r="P51" s="121"/>
      <c r="Q51" s="325"/>
      <c r="R51" s="324"/>
      <c r="S51" s="29">
        <v>0</v>
      </c>
      <c r="T51" s="28">
        <f t="shared" si="12"/>
        <v>0</v>
      </c>
      <c r="U51" s="51"/>
      <c r="V51" s="541">
        <f>+'NF-KSF-TRIAL-BAL-2021'!O51+'RA-TRIAL-BAL-2021'!O51+'DES-TRIAL-BAL-2021'!O51+'DMP-TRIAL-BAL-2021'!O51</f>
        <v>0</v>
      </c>
      <c r="W51" s="529">
        <f>+'NF-KSF-TRIAL-BAL-2021'!P51+'RA-TRIAL-BAL-2021'!P51+'DES-TRIAL-BAL-2021'!P51+'DMP-TRIAL-BAL-2021'!P51</f>
        <v>0</v>
      </c>
      <c r="X51" s="528">
        <f>+'NF-KSF-TRIAL-BAL-2021'!Q51+'RA-TRIAL-BAL-2021'!Q51+'DES-TRIAL-BAL-2021'!Q51+'DMP-TRIAL-BAL-2021'!Q51</f>
        <v>0</v>
      </c>
      <c r="Y51" s="529">
        <f>+'NF-KSF-TRIAL-BAL-2021'!R51+'RA-TRIAL-BAL-2021'!R51+'DES-TRIAL-BAL-2021'!R51+'DMP-TRIAL-BAL-2021'!R51</f>
        <v>0</v>
      </c>
      <c r="Z51" s="528">
        <f>+'NF-KSF-TRIAL-BAL-2021'!S51+'RA-TRIAL-BAL-2021'!S51+'DES-TRIAL-BAL-2021'!S51+'DMP-TRIAL-BAL-2021'!S51</f>
        <v>0</v>
      </c>
      <c r="AA51" s="347">
        <f>+'NF-KSF-TRIAL-BAL-2021'!T51+'RA-TRIAL-BAL-2021'!T51+'DES-TRIAL-BAL-2021'!T51+'DMP-TRIAL-BAL-2021'!T51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9">
        <v>0</v>
      </c>
      <c r="AH51" s="584">
        <v>0</v>
      </c>
      <c r="AI51" s="51"/>
      <c r="AJ51" s="1497">
        <f t="shared" si="13"/>
        <v>1912</v>
      </c>
      <c r="AK51" s="8">
        <v>0</v>
      </c>
      <c r="AL51" s="970">
        <f t="shared" si="14"/>
        <v>0</v>
      </c>
      <c r="AM51" s="326">
        <f t="shared" si="15"/>
        <v>0</v>
      </c>
      <c r="AN51" s="970">
        <f t="shared" si="16"/>
        <v>0</v>
      </c>
      <c r="AO51" s="29">
        <v>0</v>
      </c>
      <c r="AP51" s="28">
        <f t="shared" si="21"/>
        <v>0</v>
      </c>
      <c r="AQ51" s="43"/>
      <c r="AR51" s="358">
        <f t="shared" si="17"/>
        <v>0</v>
      </c>
      <c r="AS51" s="359">
        <f t="shared" si="18"/>
        <v>0</v>
      </c>
      <c r="AT51" s="360">
        <f t="shared" si="19"/>
        <v>0</v>
      </c>
      <c r="AU51" s="43"/>
      <c r="AV51" s="2119">
        <f t="shared" si="20"/>
        <v>0</v>
      </c>
      <c r="AW51" s="119"/>
      <c r="AX51" s="2125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8"/>
        <v>1913</v>
      </c>
      <c r="O52" s="8">
        <v>0</v>
      </c>
      <c r="P52" s="121"/>
      <c r="Q52" s="325"/>
      <c r="R52" s="324"/>
      <c r="S52" s="29">
        <v>0</v>
      </c>
      <c r="T52" s="28">
        <f t="shared" si="12"/>
        <v>0</v>
      </c>
      <c r="U52" s="51"/>
      <c r="V52" s="541">
        <f>+'NF-KSF-TRIAL-BAL-2021'!O52+'RA-TRIAL-BAL-2021'!O52+'DES-TRIAL-BAL-2021'!O52+'DMP-TRIAL-BAL-2021'!O52</f>
        <v>0</v>
      </c>
      <c r="W52" s="529">
        <f>+'NF-KSF-TRIAL-BAL-2021'!P52+'RA-TRIAL-BAL-2021'!P52+'DES-TRIAL-BAL-2021'!P52+'DMP-TRIAL-BAL-2021'!P52</f>
        <v>0</v>
      </c>
      <c r="X52" s="528">
        <f>+'NF-KSF-TRIAL-BAL-2021'!Q52+'RA-TRIAL-BAL-2021'!Q52+'DES-TRIAL-BAL-2021'!Q52+'DMP-TRIAL-BAL-2021'!Q52</f>
        <v>0</v>
      </c>
      <c r="Y52" s="529">
        <f>+'NF-KSF-TRIAL-BAL-2021'!R52+'RA-TRIAL-BAL-2021'!R52+'DES-TRIAL-BAL-2021'!R52+'DMP-TRIAL-BAL-2021'!R52</f>
        <v>0</v>
      </c>
      <c r="Z52" s="528">
        <f>+'NF-KSF-TRIAL-BAL-2021'!S52+'RA-TRIAL-BAL-2021'!S52+'DES-TRIAL-BAL-2021'!S52+'DMP-TRIAL-BAL-2021'!S52</f>
        <v>0</v>
      </c>
      <c r="AA52" s="347">
        <f>+'NF-KSF-TRIAL-BAL-2021'!T52+'RA-TRIAL-BAL-2021'!T52+'DES-TRIAL-BAL-2021'!T52+'DMP-TRIAL-BAL-2021'!T52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9">
        <v>0</v>
      </c>
      <c r="AH52" s="584">
        <v>0</v>
      </c>
      <c r="AI52" s="51"/>
      <c r="AJ52" s="1497">
        <f t="shared" si="13"/>
        <v>1913</v>
      </c>
      <c r="AK52" s="8">
        <v>0</v>
      </c>
      <c r="AL52" s="970">
        <f t="shared" si="14"/>
        <v>0</v>
      </c>
      <c r="AM52" s="326">
        <f t="shared" si="15"/>
        <v>0</v>
      </c>
      <c r="AN52" s="970">
        <f t="shared" si="16"/>
        <v>0</v>
      </c>
      <c r="AO52" s="29">
        <v>0</v>
      </c>
      <c r="AP52" s="28">
        <f t="shared" si="21"/>
        <v>0</v>
      </c>
      <c r="AQ52" s="43"/>
      <c r="AR52" s="358">
        <f t="shared" si="17"/>
        <v>0</v>
      </c>
      <c r="AS52" s="359">
        <f t="shared" si="18"/>
        <v>0</v>
      </c>
      <c r="AT52" s="360">
        <f t="shared" si="19"/>
        <v>0</v>
      </c>
      <c r="AU52" s="43"/>
      <c r="AV52" s="2119">
        <f t="shared" si="20"/>
        <v>0</v>
      </c>
      <c r="AW52" s="119"/>
      <c r="AX52" s="2125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 t="shared" si="8"/>
        <v>1914</v>
      </c>
      <c r="O53" s="8">
        <v>0</v>
      </c>
      <c r="P53" s="121"/>
      <c r="Q53" s="325"/>
      <c r="R53" s="324"/>
      <c r="S53" s="29">
        <v>0</v>
      </c>
      <c r="T53" s="28">
        <f t="shared" si="12"/>
        <v>0</v>
      </c>
      <c r="U53" s="51"/>
      <c r="V53" s="541">
        <f>+'NF-KSF-TRIAL-BAL-2021'!O53+'RA-TRIAL-BAL-2021'!O53+'DES-TRIAL-BAL-2021'!O53+'DMP-TRIAL-BAL-2021'!O53</f>
        <v>0</v>
      </c>
      <c r="W53" s="529">
        <f>+'NF-KSF-TRIAL-BAL-2021'!P53+'RA-TRIAL-BAL-2021'!P53+'DES-TRIAL-BAL-2021'!P53+'DMP-TRIAL-BAL-2021'!P53</f>
        <v>0</v>
      </c>
      <c r="X53" s="528">
        <f>+'NF-KSF-TRIAL-BAL-2021'!Q53+'RA-TRIAL-BAL-2021'!Q53+'DES-TRIAL-BAL-2021'!Q53+'DMP-TRIAL-BAL-2021'!Q53</f>
        <v>0</v>
      </c>
      <c r="Y53" s="529">
        <f>+'NF-KSF-TRIAL-BAL-2021'!R53+'RA-TRIAL-BAL-2021'!R53+'DES-TRIAL-BAL-2021'!R53+'DMP-TRIAL-BAL-2021'!R53</f>
        <v>0</v>
      </c>
      <c r="Z53" s="528">
        <f>+'NF-KSF-TRIAL-BAL-2021'!S53+'RA-TRIAL-BAL-2021'!S53+'DES-TRIAL-BAL-2021'!S53+'DMP-TRIAL-BAL-2021'!S53</f>
        <v>0</v>
      </c>
      <c r="AA53" s="347">
        <f>+'NF-KSF-TRIAL-BAL-2021'!T53+'RA-TRIAL-BAL-2021'!T53+'DES-TRIAL-BAL-2021'!T53+'DMP-TRIAL-BAL-2021'!T53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9">
        <v>0</v>
      </c>
      <c r="AH53" s="584">
        <v>0</v>
      </c>
      <c r="AI53" s="51"/>
      <c r="AJ53" s="1497">
        <f t="shared" si="13"/>
        <v>1914</v>
      </c>
      <c r="AK53" s="8">
        <v>0</v>
      </c>
      <c r="AL53" s="970">
        <f t="shared" si="14"/>
        <v>0</v>
      </c>
      <c r="AM53" s="326">
        <f t="shared" si="15"/>
        <v>0</v>
      </c>
      <c r="AN53" s="970">
        <f t="shared" si="16"/>
        <v>0</v>
      </c>
      <c r="AO53" s="29">
        <v>0</v>
      </c>
      <c r="AP53" s="28">
        <f t="shared" si="21"/>
        <v>0</v>
      </c>
      <c r="AQ53" s="43"/>
      <c r="AR53" s="358">
        <f t="shared" si="17"/>
        <v>0</v>
      </c>
      <c r="AS53" s="359">
        <f t="shared" si="18"/>
        <v>0</v>
      </c>
      <c r="AT53" s="360">
        <f t="shared" si="19"/>
        <v>0</v>
      </c>
      <c r="AU53" s="43"/>
      <c r="AV53" s="2119">
        <f t="shared" si="20"/>
        <v>0</v>
      </c>
      <c r="AW53" s="119"/>
      <c r="AX53" s="2125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8"/>
        <v>1917</v>
      </c>
      <c r="O54" s="120"/>
      <c r="P54" s="9">
        <v>0</v>
      </c>
      <c r="Q54" s="325"/>
      <c r="R54" s="121"/>
      <c r="S54" s="27">
        <f>+IF(ABS(+O54+Q54)&gt;=ABS(P54+R54),+O54-P54+Q54-R54,0)</f>
        <v>0</v>
      </c>
      <c r="T54" s="30">
        <v>0</v>
      </c>
      <c r="U54" s="51"/>
      <c r="V54" s="541">
        <f>+'NF-KSF-TRIAL-BAL-2021'!O54+'RA-TRIAL-BAL-2021'!O54+'DES-TRIAL-BAL-2021'!O54+'DMP-TRIAL-BAL-2021'!O54</f>
        <v>0</v>
      </c>
      <c r="W54" s="529">
        <f>+'NF-KSF-TRIAL-BAL-2021'!P54+'RA-TRIAL-BAL-2021'!P54+'DES-TRIAL-BAL-2021'!P54+'DMP-TRIAL-BAL-2021'!P54</f>
        <v>0</v>
      </c>
      <c r="X54" s="528">
        <f>+'NF-KSF-TRIAL-BAL-2021'!Q54+'RA-TRIAL-BAL-2021'!Q54+'DES-TRIAL-BAL-2021'!Q54+'DMP-TRIAL-BAL-2021'!Q54</f>
        <v>0</v>
      </c>
      <c r="Y54" s="529">
        <f>+'NF-KSF-TRIAL-BAL-2021'!R54+'RA-TRIAL-BAL-2021'!R54+'DES-TRIAL-BAL-2021'!R54+'DMP-TRIAL-BAL-2021'!R54</f>
        <v>0</v>
      </c>
      <c r="Z54" s="528">
        <f>+'NF-KSF-TRIAL-BAL-2021'!S54+'RA-TRIAL-BAL-2021'!S54+'DES-TRIAL-BAL-2021'!S54+'DMP-TRIAL-BAL-2021'!S54</f>
        <v>0</v>
      </c>
      <c r="AA54" s="347">
        <f>+'NF-KSF-TRIAL-BAL-2021'!T54+'RA-TRIAL-BAL-2021'!T54+'DES-TRIAL-BAL-2021'!T54+'DMP-TRIAL-BAL-2021'!T54</f>
        <v>0</v>
      </c>
      <c r="AB54" s="51"/>
      <c r="AC54" s="575">
        <v>0</v>
      </c>
      <c r="AD54" s="582">
        <v>0</v>
      </c>
      <c r="AE54" s="579">
        <v>0</v>
      </c>
      <c r="AF54" s="582">
        <v>0</v>
      </c>
      <c r="AG54" s="579">
        <v>0</v>
      </c>
      <c r="AH54" s="584">
        <v>0</v>
      </c>
      <c r="AI54" s="51"/>
      <c r="AJ54" s="1497">
        <f>+N54</f>
        <v>1917</v>
      </c>
      <c r="AK54" s="951">
        <f>+ROUND(+O54+V54+AC54,2)</f>
        <v>0</v>
      </c>
      <c r="AL54" s="9">
        <v>0</v>
      </c>
      <c r="AM54" s="326">
        <f>+ROUND(+Q54+X54+AE54,2)</f>
        <v>0</v>
      </c>
      <c r="AN54" s="970">
        <f>+ROUND(+R54+Y54+AF54,2)</f>
        <v>0</v>
      </c>
      <c r="AO54" s="326">
        <f>+S54+Z54+AG54</f>
        <v>0</v>
      </c>
      <c r="AP54" s="30">
        <v>0</v>
      </c>
      <c r="AQ54" s="43"/>
      <c r="AR54" s="358">
        <f>+ROUND(+SUM(AK54-AL54)-SUM(O54-P54)-SUM(V54-W54)-SUM(AC54-AD54),2)</f>
        <v>0</v>
      </c>
      <c r="AS54" s="359">
        <f>+ROUND(+SUM(AM54-AN54)-SUM(Q54-R54)-SUM(X54-Y54)-SUM(AE54-AF54),2)</f>
        <v>0</v>
      </c>
      <c r="AT54" s="360">
        <f>+ROUND(+SUM(AO54-AP54)-SUM(S54-T54)-SUM(Z54-AA54)-SUM(AG54-AH54),2)</f>
        <v>0</v>
      </c>
      <c r="AU54" s="43"/>
      <c r="AV54" s="2120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125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8"/>
        <v>1918</v>
      </c>
      <c r="O55" s="120"/>
      <c r="P55" s="9">
        <v>0</v>
      </c>
      <c r="Q55" s="325"/>
      <c r="R55" s="121"/>
      <c r="S55" s="27">
        <f>+IF(ABS(+O55+Q55)&gt;=ABS(P55+R55),+O55-P55+Q55-R55,0)</f>
        <v>0</v>
      </c>
      <c r="T55" s="30">
        <v>0</v>
      </c>
      <c r="U55" s="51"/>
      <c r="V55" s="541">
        <f>+'NF-KSF-TRIAL-BAL-2021'!O55+'RA-TRIAL-BAL-2021'!O55+'DES-TRIAL-BAL-2021'!O55+'DMP-TRIAL-BAL-2021'!O55</f>
        <v>0</v>
      </c>
      <c r="W55" s="529">
        <f>+'NF-KSF-TRIAL-BAL-2021'!P55+'RA-TRIAL-BAL-2021'!P55+'DES-TRIAL-BAL-2021'!P55+'DMP-TRIAL-BAL-2021'!P55</f>
        <v>0</v>
      </c>
      <c r="X55" s="528">
        <f>+'NF-KSF-TRIAL-BAL-2021'!Q55+'RA-TRIAL-BAL-2021'!Q55+'DES-TRIAL-BAL-2021'!Q55+'DMP-TRIAL-BAL-2021'!Q55</f>
        <v>0</v>
      </c>
      <c r="Y55" s="529">
        <f>+'NF-KSF-TRIAL-BAL-2021'!R55+'RA-TRIAL-BAL-2021'!R55+'DES-TRIAL-BAL-2021'!R55+'DMP-TRIAL-BAL-2021'!R55</f>
        <v>0</v>
      </c>
      <c r="Z55" s="528">
        <f>+'NF-KSF-TRIAL-BAL-2021'!S55+'RA-TRIAL-BAL-2021'!S55+'DES-TRIAL-BAL-2021'!S55+'DMP-TRIAL-BAL-2021'!S55</f>
        <v>0</v>
      </c>
      <c r="AA55" s="347">
        <f>+'NF-KSF-TRIAL-BAL-2021'!T55+'RA-TRIAL-BAL-2021'!T55+'DES-TRIAL-BAL-2021'!T55+'DMP-TRIAL-BAL-2021'!T55</f>
        <v>0</v>
      </c>
      <c r="AB55" s="51"/>
      <c r="AC55" s="575">
        <v>0</v>
      </c>
      <c r="AD55" s="582">
        <v>0</v>
      </c>
      <c r="AE55" s="579">
        <v>0</v>
      </c>
      <c r="AF55" s="582">
        <v>0</v>
      </c>
      <c r="AG55" s="579">
        <v>0</v>
      </c>
      <c r="AH55" s="584">
        <v>0</v>
      </c>
      <c r="AI55" s="51"/>
      <c r="AJ55" s="1497">
        <f>+N55</f>
        <v>1918</v>
      </c>
      <c r="AK55" s="951">
        <f>+ROUND(+O55+V55+AC55,2)</f>
        <v>0</v>
      </c>
      <c r="AL55" s="9">
        <v>0</v>
      </c>
      <c r="AM55" s="326">
        <f>+ROUND(+Q55+X55+AE55,2)</f>
        <v>0</v>
      </c>
      <c r="AN55" s="970">
        <f>+ROUND(+R55+Y55+AF55,2)</f>
        <v>0</v>
      </c>
      <c r="AO55" s="326">
        <f>+S55+Z55+AG55</f>
        <v>0</v>
      </c>
      <c r="AP55" s="30">
        <v>0</v>
      </c>
      <c r="AQ55" s="43"/>
      <c r="AR55" s="358">
        <f>+ROUND(+SUM(AK55-AL55)-SUM(O55-P55)-SUM(V55-W55)-SUM(AC55-AD55),2)</f>
        <v>0</v>
      </c>
      <c r="AS55" s="359">
        <f>+ROUND(+SUM(AM55-AN55)-SUM(Q55-R55)-SUM(X55-Y55)-SUM(AE55-AF55),2)</f>
        <v>0</v>
      </c>
      <c r="AT55" s="360">
        <f>+ROUND(+SUM(AO55-AP55)-SUM(S55-T55)-SUM(Z55-AA55)-SUM(AG55-AH55),2)</f>
        <v>0</v>
      </c>
      <c r="AU55" s="43"/>
      <c r="AV55" s="2120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125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 t="s">
        <v>265</v>
      </c>
      <c r="N56" s="113">
        <f t="shared" si="8"/>
        <v>1921</v>
      </c>
      <c r="O56" s="575">
        <v>0</v>
      </c>
      <c r="P56" s="576"/>
      <c r="Q56" s="325"/>
      <c r="R56" s="324"/>
      <c r="S56" s="579">
        <v>0</v>
      </c>
      <c r="T56" s="580">
        <f t="shared" ref="T56:T67" si="22">+IF(ABS(+O56+Q56)&lt;=ABS(P56+R56),-O56+P56-Q56+R56,0)</f>
        <v>0</v>
      </c>
      <c r="U56" s="51"/>
      <c r="V56" s="541">
        <f>+'NF-KSF-TRIAL-BAL-2021'!O56+'RA-TRIAL-BAL-2021'!O56+'DES-TRIAL-BAL-2021'!O56+'DMP-TRIAL-BAL-2021'!O56</f>
        <v>0</v>
      </c>
      <c r="W56" s="529">
        <f>+'NF-KSF-TRIAL-BAL-2021'!P56+'RA-TRIAL-BAL-2021'!P56+'DES-TRIAL-BAL-2021'!P56+'DMP-TRIAL-BAL-2021'!P56</f>
        <v>0</v>
      </c>
      <c r="X56" s="587">
        <f>+'NF-KSF-TRIAL-BAL-2021'!Q56+'RA-TRIAL-BAL-2021'!Q56+'DES-TRIAL-BAL-2021'!Q56+'DMP-TRIAL-BAL-2021'!Q56</f>
        <v>0</v>
      </c>
      <c r="Y56" s="586">
        <f>+'NF-KSF-TRIAL-BAL-2021'!R56+'RA-TRIAL-BAL-2021'!R56+'DES-TRIAL-BAL-2021'!R56+'DMP-TRIAL-BAL-2021'!R56</f>
        <v>0</v>
      </c>
      <c r="Z56" s="587">
        <f>+'NF-KSF-TRIAL-BAL-2021'!S56+'RA-TRIAL-BAL-2021'!S56+'DES-TRIAL-BAL-2021'!S56+'DMP-TRIAL-BAL-2021'!S56</f>
        <v>0</v>
      </c>
      <c r="AA56" s="588">
        <f>+'NF-KSF-TRIAL-BAL-2021'!T56+'RA-TRIAL-BAL-2021'!T56+'DES-TRIAL-BAL-2021'!T56+'DMP-TRIAL-BAL-2021'!T56</f>
        <v>0</v>
      </c>
      <c r="AB56" s="51"/>
      <c r="AC56" s="575">
        <v>0</v>
      </c>
      <c r="AD56" s="582">
        <v>0</v>
      </c>
      <c r="AE56" s="579">
        <v>0</v>
      </c>
      <c r="AF56" s="582">
        <v>0</v>
      </c>
      <c r="AG56" s="579">
        <v>0</v>
      </c>
      <c r="AH56" s="584">
        <v>0</v>
      </c>
      <c r="AI56" s="51"/>
      <c r="AJ56" s="1497">
        <f t="shared" ref="AJ56:AJ67" si="23">+N56</f>
        <v>1921</v>
      </c>
      <c r="AK56" s="8">
        <v>0</v>
      </c>
      <c r="AL56" s="970">
        <f t="shared" ref="AL56:AL67" si="24">+ROUND(+P56+W56+AD56,2)</f>
        <v>0</v>
      </c>
      <c r="AM56" s="326">
        <f t="shared" ref="AM56:AM67" si="25">+ROUND(+Q56+X56+AE56,2)</f>
        <v>0</v>
      </c>
      <c r="AN56" s="970">
        <f t="shared" ref="AN56:AN67" si="26">+ROUND(+R56+Y56+AF56,2)</f>
        <v>0</v>
      </c>
      <c r="AO56" s="579">
        <v>0</v>
      </c>
      <c r="AP56" s="28">
        <f t="shared" ref="AP56:AP69" si="27">+T56+AA56+AH56</f>
        <v>0</v>
      </c>
      <c r="AQ56" s="43"/>
      <c r="AR56" s="358">
        <f t="shared" ref="AR56:AR67" si="28">+ROUND(+SUM(AK56-AL56)-SUM(O56-P56)-SUM(V56-W56)-SUM(AC56-AD56),2)</f>
        <v>0</v>
      </c>
      <c r="AS56" s="359">
        <f t="shared" ref="AS56:AS67" si="29">+ROUND(+SUM(AM56-AN56)-SUM(Q56-R56)-SUM(X56-Y56)-SUM(AE56-AF56),2)</f>
        <v>0</v>
      </c>
      <c r="AT56" s="360">
        <f t="shared" ref="AT56:AT67" si="30">+ROUND(+SUM(AO56-AP56)-SUM(S56-T56)-SUM(Z56-AA56)-SUM(AG56-AH56),2)</f>
        <v>0</v>
      </c>
      <c r="AU56" s="43"/>
      <c r="AV56" s="2119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125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 t="s">
        <v>265</v>
      </c>
      <c r="N57" s="113">
        <f t="shared" si="8"/>
        <v>1922</v>
      </c>
      <c r="O57" s="575">
        <v>0</v>
      </c>
      <c r="P57" s="576"/>
      <c r="Q57" s="325"/>
      <c r="R57" s="324"/>
      <c r="S57" s="579">
        <v>0</v>
      </c>
      <c r="T57" s="580">
        <f t="shared" si="22"/>
        <v>0</v>
      </c>
      <c r="U57" s="51"/>
      <c r="V57" s="541">
        <f>+'NF-KSF-TRIAL-BAL-2021'!O57+'RA-TRIAL-BAL-2021'!O57+'DES-TRIAL-BAL-2021'!O57+'DMP-TRIAL-BAL-2021'!O57</f>
        <v>0</v>
      </c>
      <c r="W57" s="529">
        <f>+'NF-KSF-TRIAL-BAL-2021'!P57+'RA-TRIAL-BAL-2021'!P57+'DES-TRIAL-BAL-2021'!P57+'DMP-TRIAL-BAL-2021'!P57</f>
        <v>0</v>
      </c>
      <c r="X57" s="587">
        <f>+'NF-KSF-TRIAL-BAL-2021'!Q57+'RA-TRIAL-BAL-2021'!Q57+'DES-TRIAL-BAL-2021'!Q57+'DMP-TRIAL-BAL-2021'!Q57</f>
        <v>0</v>
      </c>
      <c r="Y57" s="586">
        <f>+'NF-KSF-TRIAL-BAL-2021'!R57+'RA-TRIAL-BAL-2021'!R57+'DES-TRIAL-BAL-2021'!R57+'DMP-TRIAL-BAL-2021'!R57</f>
        <v>0</v>
      </c>
      <c r="Z57" s="587">
        <f>+'NF-KSF-TRIAL-BAL-2021'!S57+'RA-TRIAL-BAL-2021'!S57+'DES-TRIAL-BAL-2021'!S57+'DMP-TRIAL-BAL-2021'!S57</f>
        <v>0</v>
      </c>
      <c r="AA57" s="588">
        <f>+'NF-KSF-TRIAL-BAL-2021'!T57+'RA-TRIAL-BAL-2021'!T57+'DES-TRIAL-BAL-2021'!T57+'DMP-TRIAL-BAL-2021'!T57</f>
        <v>0</v>
      </c>
      <c r="AB57" s="51"/>
      <c r="AC57" s="575">
        <v>0</v>
      </c>
      <c r="AD57" s="582">
        <v>0</v>
      </c>
      <c r="AE57" s="579">
        <v>0</v>
      </c>
      <c r="AF57" s="582">
        <v>0</v>
      </c>
      <c r="AG57" s="579">
        <v>0</v>
      </c>
      <c r="AH57" s="584">
        <v>0</v>
      </c>
      <c r="AI57" s="51"/>
      <c r="AJ57" s="1497">
        <f t="shared" si="23"/>
        <v>1922</v>
      </c>
      <c r="AK57" s="8">
        <v>0</v>
      </c>
      <c r="AL57" s="970">
        <f t="shared" si="24"/>
        <v>0</v>
      </c>
      <c r="AM57" s="326">
        <f t="shared" si="25"/>
        <v>0</v>
      </c>
      <c r="AN57" s="970">
        <f t="shared" si="26"/>
        <v>0</v>
      </c>
      <c r="AO57" s="579">
        <v>0</v>
      </c>
      <c r="AP57" s="28">
        <f t="shared" si="27"/>
        <v>0</v>
      </c>
      <c r="AQ57" s="43"/>
      <c r="AR57" s="358">
        <f t="shared" si="28"/>
        <v>0</v>
      </c>
      <c r="AS57" s="359">
        <f t="shared" si="29"/>
        <v>0</v>
      </c>
      <c r="AT57" s="360">
        <f t="shared" si="30"/>
        <v>0</v>
      </c>
      <c r="AU57" s="43"/>
      <c r="AV57" s="2119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125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 t="s">
        <v>265</v>
      </c>
      <c r="N58" s="113">
        <f t="shared" si="8"/>
        <v>1923</v>
      </c>
      <c r="O58" s="575">
        <v>0</v>
      </c>
      <c r="P58" s="576"/>
      <c r="Q58" s="325"/>
      <c r="R58" s="324"/>
      <c r="S58" s="579">
        <v>0</v>
      </c>
      <c r="T58" s="580">
        <f t="shared" si="22"/>
        <v>0</v>
      </c>
      <c r="U58" s="51"/>
      <c r="V58" s="541">
        <f>+'NF-KSF-TRIAL-BAL-2021'!O58+'RA-TRIAL-BAL-2021'!O58+'DES-TRIAL-BAL-2021'!O58+'DMP-TRIAL-BAL-2021'!O58</f>
        <v>0</v>
      </c>
      <c r="W58" s="529">
        <f>+'NF-KSF-TRIAL-BAL-2021'!P58+'RA-TRIAL-BAL-2021'!P58+'DES-TRIAL-BAL-2021'!P58+'DMP-TRIAL-BAL-2021'!P58</f>
        <v>0</v>
      </c>
      <c r="X58" s="587">
        <f>+'NF-KSF-TRIAL-BAL-2021'!Q58+'RA-TRIAL-BAL-2021'!Q58+'DES-TRIAL-BAL-2021'!Q58+'DMP-TRIAL-BAL-2021'!Q58</f>
        <v>0</v>
      </c>
      <c r="Y58" s="586">
        <f>+'NF-KSF-TRIAL-BAL-2021'!R58+'RA-TRIAL-BAL-2021'!R58+'DES-TRIAL-BAL-2021'!R58+'DMP-TRIAL-BAL-2021'!R58</f>
        <v>0</v>
      </c>
      <c r="Z58" s="587">
        <f>+'NF-KSF-TRIAL-BAL-2021'!S58+'RA-TRIAL-BAL-2021'!S58+'DES-TRIAL-BAL-2021'!S58+'DMP-TRIAL-BAL-2021'!S58</f>
        <v>0</v>
      </c>
      <c r="AA58" s="588">
        <f>+'NF-KSF-TRIAL-BAL-2021'!T58+'RA-TRIAL-BAL-2021'!T58+'DES-TRIAL-BAL-2021'!T58+'DMP-TRIAL-BAL-2021'!T58</f>
        <v>0</v>
      </c>
      <c r="AB58" s="51"/>
      <c r="AC58" s="575">
        <v>0</v>
      </c>
      <c r="AD58" s="582">
        <v>0</v>
      </c>
      <c r="AE58" s="579">
        <v>0</v>
      </c>
      <c r="AF58" s="582">
        <v>0</v>
      </c>
      <c r="AG58" s="579">
        <v>0</v>
      </c>
      <c r="AH58" s="584">
        <v>0</v>
      </c>
      <c r="AI58" s="51"/>
      <c r="AJ58" s="1497">
        <f t="shared" si="23"/>
        <v>1923</v>
      </c>
      <c r="AK58" s="8">
        <v>0</v>
      </c>
      <c r="AL58" s="970">
        <f t="shared" si="24"/>
        <v>0</v>
      </c>
      <c r="AM58" s="326">
        <f t="shared" si="25"/>
        <v>0</v>
      </c>
      <c r="AN58" s="970">
        <f t="shared" si="26"/>
        <v>0</v>
      </c>
      <c r="AO58" s="579">
        <v>0</v>
      </c>
      <c r="AP58" s="28">
        <f t="shared" si="27"/>
        <v>0</v>
      </c>
      <c r="AQ58" s="43"/>
      <c r="AR58" s="358">
        <f t="shared" si="28"/>
        <v>0</v>
      </c>
      <c r="AS58" s="359">
        <f t="shared" si="29"/>
        <v>0</v>
      </c>
      <c r="AT58" s="360">
        <f t="shared" si="30"/>
        <v>0</v>
      </c>
      <c r="AU58" s="43"/>
      <c r="AV58" s="2119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125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 t="s">
        <v>265</v>
      </c>
      <c r="N59" s="113">
        <f t="shared" si="8"/>
        <v>1924</v>
      </c>
      <c r="O59" s="575">
        <v>0</v>
      </c>
      <c r="P59" s="576"/>
      <c r="Q59" s="325"/>
      <c r="R59" s="324"/>
      <c r="S59" s="579">
        <v>0</v>
      </c>
      <c r="T59" s="580">
        <f t="shared" si="22"/>
        <v>0</v>
      </c>
      <c r="U59" s="51"/>
      <c r="V59" s="541">
        <f>+'NF-KSF-TRIAL-BAL-2021'!O59+'RA-TRIAL-BAL-2021'!O59+'DES-TRIAL-BAL-2021'!O59+'DMP-TRIAL-BAL-2021'!O59</f>
        <v>0</v>
      </c>
      <c r="W59" s="529">
        <f>+'NF-KSF-TRIAL-BAL-2021'!P59+'RA-TRIAL-BAL-2021'!P59+'DES-TRIAL-BAL-2021'!P59+'DMP-TRIAL-BAL-2021'!P59</f>
        <v>0</v>
      </c>
      <c r="X59" s="587">
        <f>+'NF-KSF-TRIAL-BAL-2021'!Q59+'RA-TRIAL-BAL-2021'!Q59+'DES-TRIAL-BAL-2021'!Q59+'DMP-TRIAL-BAL-2021'!Q59</f>
        <v>0</v>
      </c>
      <c r="Y59" s="586">
        <f>+'NF-KSF-TRIAL-BAL-2021'!R59+'RA-TRIAL-BAL-2021'!R59+'DES-TRIAL-BAL-2021'!R59+'DMP-TRIAL-BAL-2021'!R59</f>
        <v>0</v>
      </c>
      <c r="Z59" s="587">
        <f>+'NF-KSF-TRIAL-BAL-2021'!S59+'RA-TRIAL-BAL-2021'!S59+'DES-TRIAL-BAL-2021'!S59+'DMP-TRIAL-BAL-2021'!S59</f>
        <v>0</v>
      </c>
      <c r="AA59" s="588">
        <f>+'NF-KSF-TRIAL-BAL-2021'!T59+'RA-TRIAL-BAL-2021'!T59+'DES-TRIAL-BAL-2021'!T59+'DMP-TRIAL-BAL-2021'!T59</f>
        <v>0</v>
      </c>
      <c r="AB59" s="51"/>
      <c r="AC59" s="575">
        <v>0</v>
      </c>
      <c r="AD59" s="582">
        <v>0</v>
      </c>
      <c r="AE59" s="579">
        <v>0</v>
      </c>
      <c r="AF59" s="582">
        <v>0</v>
      </c>
      <c r="AG59" s="579">
        <v>0</v>
      </c>
      <c r="AH59" s="584">
        <v>0</v>
      </c>
      <c r="AI59" s="51"/>
      <c r="AJ59" s="1497">
        <f t="shared" si="23"/>
        <v>1924</v>
      </c>
      <c r="AK59" s="8">
        <v>0</v>
      </c>
      <c r="AL59" s="970">
        <f t="shared" si="24"/>
        <v>0</v>
      </c>
      <c r="AM59" s="326">
        <f t="shared" si="25"/>
        <v>0</v>
      </c>
      <c r="AN59" s="970">
        <f t="shared" si="26"/>
        <v>0</v>
      </c>
      <c r="AO59" s="579">
        <v>0</v>
      </c>
      <c r="AP59" s="28">
        <f t="shared" si="27"/>
        <v>0</v>
      </c>
      <c r="AQ59" s="43"/>
      <c r="AR59" s="358">
        <f t="shared" si="28"/>
        <v>0</v>
      </c>
      <c r="AS59" s="359">
        <f t="shared" si="29"/>
        <v>0</v>
      </c>
      <c r="AT59" s="360">
        <f t="shared" si="30"/>
        <v>0</v>
      </c>
      <c r="AU59" s="43"/>
      <c r="AV59" s="2119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125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 t="s">
        <v>265</v>
      </c>
      <c r="N60" s="113">
        <f t="shared" si="8"/>
        <v>1927</v>
      </c>
      <c r="O60" s="581"/>
      <c r="P60" s="576"/>
      <c r="Q60" s="325"/>
      <c r="R60" s="324"/>
      <c r="S60" s="583">
        <f>+IF(ABS(+O60+Q60)&gt;=ABS(P60+R60),+O60-P60+Q60-R60,0)</f>
        <v>0</v>
      </c>
      <c r="T60" s="580">
        <f t="shared" si="22"/>
        <v>0</v>
      </c>
      <c r="U60" s="51"/>
      <c r="V60" s="541">
        <f>+'NF-KSF-TRIAL-BAL-2021'!O60+'RA-TRIAL-BAL-2021'!O60+'DES-TRIAL-BAL-2021'!O60+'DMP-TRIAL-BAL-2021'!O60</f>
        <v>0</v>
      </c>
      <c r="W60" s="529">
        <f>+'NF-KSF-TRIAL-BAL-2021'!P60+'RA-TRIAL-BAL-2021'!P60+'DES-TRIAL-BAL-2021'!P60+'DMP-TRIAL-BAL-2021'!P60</f>
        <v>0</v>
      </c>
      <c r="X60" s="587">
        <f>+'NF-KSF-TRIAL-BAL-2021'!Q60+'RA-TRIAL-BAL-2021'!Q60+'DES-TRIAL-BAL-2021'!Q60+'DMP-TRIAL-BAL-2021'!Q60</f>
        <v>0</v>
      </c>
      <c r="Y60" s="586">
        <f>+'NF-KSF-TRIAL-BAL-2021'!R60+'RA-TRIAL-BAL-2021'!R60+'DES-TRIAL-BAL-2021'!R60+'DMP-TRIAL-BAL-2021'!R60</f>
        <v>0</v>
      </c>
      <c r="Z60" s="587">
        <f>+'NF-KSF-TRIAL-BAL-2021'!S60+'RA-TRIAL-BAL-2021'!S60+'DES-TRIAL-BAL-2021'!S60+'DMP-TRIAL-BAL-2021'!S60</f>
        <v>0</v>
      </c>
      <c r="AA60" s="588">
        <f>+'NF-KSF-TRIAL-BAL-2021'!T60+'RA-TRIAL-BAL-2021'!T60+'DES-TRIAL-BAL-2021'!T60+'DMP-TRIAL-BAL-2021'!T60</f>
        <v>0</v>
      </c>
      <c r="AB60" s="51"/>
      <c r="AC60" s="575">
        <v>0</v>
      </c>
      <c r="AD60" s="582">
        <v>0</v>
      </c>
      <c r="AE60" s="579">
        <v>0</v>
      </c>
      <c r="AF60" s="582">
        <v>0</v>
      </c>
      <c r="AG60" s="579">
        <v>0</v>
      </c>
      <c r="AH60" s="584">
        <v>0</v>
      </c>
      <c r="AI60" s="51"/>
      <c r="AJ60" s="1497">
        <f t="shared" si="23"/>
        <v>1927</v>
      </c>
      <c r="AK60" s="951">
        <f>+ROUND(+O60+V60+AC60,2)</f>
        <v>0</v>
      </c>
      <c r="AL60" s="970">
        <f t="shared" si="24"/>
        <v>0</v>
      </c>
      <c r="AM60" s="326">
        <f t="shared" si="25"/>
        <v>0</v>
      </c>
      <c r="AN60" s="970">
        <f t="shared" si="26"/>
        <v>0</v>
      </c>
      <c r="AO60" s="326">
        <f>+S60+Z60+AG60</f>
        <v>0</v>
      </c>
      <c r="AP60" s="28">
        <f t="shared" si="27"/>
        <v>0</v>
      </c>
      <c r="AQ60" s="43"/>
      <c r="AR60" s="358">
        <f t="shared" si="28"/>
        <v>0</v>
      </c>
      <c r="AS60" s="359">
        <f t="shared" si="29"/>
        <v>0</v>
      </c>
      <c r="AT60" s="360">
        <f t="shared" si="30"/>
        <v>0</v>
      </c>
      <c r="AU60" s="43"/>
      <c r="AV60" s="43"/>
      <c r="AW60" s="119"/>
      <c r="AX60" s="2125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 t="s">
        <v>265</v>
      </c>
      <c r="N61" s="113">
        <f t="shared" si="8"/>
        <v>1928</v>
      </c>
      <c r="O61" s="581"/>
      <c r="P61" s="576"/>
      <c r="Q61" s="325"/>
      <c r="R61" s="324"/>
      <c r="S61" s="583">
        <f>+IF(ABS(+O61+Q61)&gt;=ABS(P61+R61),+O61-P61+Q61-R61,0)</f>
        <v>0</v>
      </c>
      <c r="T61" s="580">
        <f t="shared" si="22"/>
        <v>0</v>
      </c>
      <c r="U61" s="51"/>
      <c r="V61" s="541">
        <f>+'NF-KSF-TRIAL-BAL-2021'!O61+'RA-TRIAL-BAL-2021'!O61+'DES-TRIAL-BAL-2021'!O61+'DMP-TRIAL-BAL-2021'!O61</f>
        <v>0</v>
      </c>
      <c r="W61" s="529">
        <f>+'NF-KSF-TRIAL-BAL-2021'!P61+'RA-TRIAL-BAL-2021'!P61+'DES-TRIAL-BAL-2021'!P61+'DMP-TRIAL-BAL-2021'!P61</f>
        <v>0</v>
      </c>
      <c r="X61" s="587">
        <f>+'NF-KSF-TRIAL-BAL-2021'!Q61+'RA-TRIAL-BAL-2021'!Q61+'DES-TRIAL-BAL-2021'!Q61+'DMP-TRIAL-BAL-2021'!Q61</f>
        <v>0</v>
      </c>
      <c r="Y61" s="586">
        <f>+'NF-KSF-TRIAL-BAL-2021'!R61+'RA-TRIAL-BAL-2021'!R61+'DES-TRIAL-BAL-2021'!R61+'DMP-TRIAL-BAL-2021'!R61</f>
        <v>0</v>
      </c>
      <c r="Z61" s="587">
        <f>+'NF-KSF-TRIAL-BAL-2021'!S61+'RA-TRIAL-BAL-2021'!S61+'DES-TRIAL-BAL-2021'!S61+'DMP-TRIAL-BAL-2021'!S61</f>
        <v>0</v>
      </c>
      <c r="AA61" s="588">
        <f>+'NF-KSF-TRIAL-BAL-2021'!T61+'RA-TRIAL-BAL-2021'!T61+'DES-TRIAL-BAL-2021'!T61+'DMP-TRIAL-BAL-2021'!T61</f>
        <v>0</v>
      </c>
      <c r="AB61" s="51"/>
      <c r="AC61" s="575">
        <v>0</v>
      </c>
      <c r="AD61" s="582">
        <v>0</v>
      </c>
      <c r="AE61" s="579">
        <v>0</v>
      </c>
      <c r="AF61" s="582">
        <v>0</v>
      </c>
      <c r="AG61" s="579">
        <v>0</v>
      </c>
      <c r="AH61" s="584">
        <v>0</v>
      </c>
      <c r="AI61" s="51"/>
      <c r="AJ61" s="1497">
        <f t="shared" si="23"/>
        <v>1928</v>
      </c>
      <c r="AK61" s="951">
        <f>+ROUND(+O61+V61+AC61,2)</f>
        <v>0</v>
      </c>
      <c r="AL61" s="970">
        <f t="shared" si="24"/>
        <v>0</v>
      </c>
      <c r="AM61" s="326">
        <f t="shared" si="25"/>
        <v>0</v>
      </c>
      <c r="AN61" s="970">
        <f t="shared" si="26"/>
        <v>0</v>
      </c>
      <c r="AO61" s="326">
        <f>+S61+Z61+AG61</f>
        <v>0</v>
      </c>
      <c r="AP61" s="28">
        <f t="shared" si="27"/>
        <v>0</v>
      </c>
      <c r="AQ61" s="43"/>
      <c r="AR61" s="358">
        <f t="shared" si="28"/>
        <v>0</v>
      </c>
      <c r="AS61" s="359">
        <f t="shared" si="29"/>
        <v>0</v>
      </c>
      <c r="AT61" s="360">
        <f t="shared" si="30"/>
        <v>0</v>
      </c>
      <c r="AU61" s="43"/>
      <c r="AV61" s="43"/>
      <c r="AW61" s="119"/>
      <c r="AX61" s="2125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 t="s">
        <v>265</v>
      </c>
      <c r="N62" s="113">
        <f t="shared" si="8"/>
        <v>1991</v>
      </c>
      <c r="O62" s="575">
        <v>0</v>
      </c>
      <c r="P62" s="576"/>
      <c r="Q62" s="325"/>
      <c r="R62" s="324"/>
      <c r="S62" s="579">
        <v>0</v>
      </c>
      <c r="T62" s="580">
        <f t="shared" si="22"/>
        <v>0</v>
      </c>
      <c r="U62" s="51"/>
      <c r="V62" s="541">
        <f>+'NF-KSF-TRIAL-BAL-2021'!O62+'RA-TRIAL-BAL-2021'!O62+'DES-TRIAL-BAL-2021'!O62+'DMP-TRIAL-BAL-2021'!O62</f>
        <v>0</v>
      </c>
      <c r="W62" s="529">
        <f>+'NF-KSF-TRIAL-BAL-2021'!P62+'RA-TRIAL-BAL-2021'!P62+'DES-TRIAL-BAL-2021'!P62+'DMP-TRIAL-BAL-2021'!P62</f>
        <v>0</v>
      </c>
      <c r="X62" s="587">
        <f>+'NF-KSF-TRIAL-BAL-2021'!Q62+'RA-TRIAL-BAL-2021'!Q62+'DES-TRIAL-BAL-2021'!Q62+'DMP-TRIAL-BAL-2021'!Q62</f>
        <v>0</v>
      </c>
      <c r="Y62" s="586">
        <f>+'NF-KSF-TRIAL-BAL-2021'!R62+'RA-TRIAL-BAL-2021'!R62+'DES-TRIAL-BAL-2021'!R62+'DMP-TRIAL-BAL-2021'!R62</f>
        <v>0</v>
      </c>
      <c r="Z62" s="587">
        <f>+'NF-KSF-TRIAL-BAL-2021'!S62+'RA-TRIAL-BAL-2021'!S62+'DES-TRIAL-BAL-2021'!S62+'DMP-TRIAL-BAL-2021'!S62</f>
        <v>0</v>
      </c>
      <c r="AA62" s="588">
        <f>+'NF-KSF-TRIAL-BAL-2021'!T62+'RA-TRIAL-BAL-2021'!T62+'DES-TRIAL-BAL-2021'!T62+'DMP-TRIAL-BAL-2021'!T62</f>
        <v>0</v>
      </c>
      <c r="AB62" s="51"/>
      <c r="AC62" s="575">
        <v>0</v>
      </c>
      <c r="AD62" s="582">
        <v>0</v>
      </c>
      <c r="AE62" s="579">
        <v>0</v>
      </c>
      <c r="AF62" s="582">
        <v>0</v>
      </c>
      <c r="AG62" s="579">
        <v>0</v>
      </c>
      <c r="AH62" s="584">
        <v>0</v>
      </c>
      <c r="AI62" s="51"/>
      <c r="AJ62" s="1497">
        <f t="shared" si="23"/>
        <v>1991</v>
      </c>
      <c r="AK62" s="8">
        <v>0</v>
      </c>
      <c r="AL62" s="970">
        <f t="shared" si="24"/>
        <v>0</v>
      </c>
      <c r="AM62" s="326">
        <f t="shared" si="25"/>
        <v>0</v>
      </c>
      <c r="AN62" s="970">
        <f t="shared" si="26"/>
        <v>0</v>
      </c>
      <c r="AO62" s="579">
        <v>0</v>
      </c>
      <c r="AP62" s="28">
        <f t="shared" si="27"/>
        <v>0</v>
      </c>
      <c r="AQ62" s="43"/>
      <c r="AR62" s="358">
        <f t="shared" si="28"/>
        <v>0</v>
      </c>
      <c r="AS62" s="359">
        <f t="shared" si="29"/>
        <v>0</v>
      </c>
      <c r="AT62" s="360">
        <f t="shared" si="30"/>
        <v>0</v>
      </c>
      <c r="AU62" s="43"/>
      <c r="AV62" s="2119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125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 t="s">
        <v>265</v>
      </c>
      <c r="N63" s="113">
        <f t="shared" si="8"/>
        <v>1992</v>
      </c>
      <c r="O63" s="575">
        <v>0</v>
      </c>
      <c r="P63" s="576"/>
      <c r="Q63" s="325"/>
      <c r="R63" s="324"/>
      <c r="S63" s="579">
        <v>0</v>
      </c>
      <c r="T63" s="580">
        <f t="shared" si="22"/>
        <v>0</v>
      </c>
      <c r="U63" s="51"/>
      <c r="V63" s="541">
        <f>+'NF-KSF-TRIAL-BAL-2021'!O63+'RA-TRIAL-BAL-2021'!O63+'DES-TRIAL-BAL-2021'!O63+'DMP-TRIAL-BAL-2021'!O63</f>
        <v>0</v>
      </c>
      <c r="W63" s="529">
        <f>+'NF-KSF-TRIAL-BAL-2021'!P63+'RA-TRIAL-BAL-2021'!P63+'DES-TRIAL-BAL-2021'!P63+'DMP-TRIAL-BAL-2021'!P63</f>
        <v>0</v>
      </c>
      <c r="X63" s="587">
        <f>+'NF-KSF-TRIAL-BAL-2021'!Q63+'RA-TRIAL-BAL-2021'!Q63+'DES-TRIAL-BAL-2021'!Q63+'DMP-TRIAL-BAL-2021'!Q63</f>
        <v>0</v>
      </c>
      <c r="Y63" s="586">
        <f>+'NF-KSF-TRIAL-BAL-2021'!R63+'RA-TRIAL-BAL-2021'!R63+'DES-TRIAL-BAL-2021'!R63+'DMP-TRIAL-BAL-2021'!R63</f>
        <v>0</v>
      </c>
      <c r="Z63" s="587">
        <f>+'NF-KSF-TRIAL-BAL-2021'!S63+'RA-TRIAL-BAL-2021'!S63+'DES-TRIAL-BAL-2021'!S63+'DMP-TRIAL-BAL-2021'!S63</f>
        <v>0</v>
      </c>
      <c r="AA63" s="588">
        <f>+'NF-KSF-TRIAL-BAL-2021'!T63+'RA-TRIAL-BAL-2021'!T63+'DES-TRIAL-BAL-2021'!T63+'DMP-TRIAL-BAL-2021'!T63</f>
        <v>0</v>
      </c>
      <c r="AB63" s="51"/>
      <c r="AC63" s="575">
        <v>0</v>
      </c>
      <c r="AD63" s="582">
        <v>0</v>
      </c>
      <c r="AE63" s="579">
        <v>0</v>
      </c>
      <c r="AF63" s="582">
        <v>0</v>
      </c>
      <c r="AG63" s="579">
        <v>0</v>
      </c>
      <c r="AH63" s="584">
        <v>0</v>
      </c>
      <c r="AI63" s="51"/>
      <c r="AJ63" s="1497">
        <f t="shared" si="23"/>
        <v>1992</v>
      </c>
      <c r="AK63" s="8">
        <v>0</v>
      </c>
      <c r="AL63" s="970">
        <f t="shared" si="24"/>
        <v>0</v>
      </c>
      <c r="AM63" s="326">
        <f t="shared" si="25"/>
        <v>0</v>
      </c>
      <c r="AN63" s="970">
        <f t="shared" si="26"/>
        <v>0</v>
      </c>
      <c r="AO63" s="579">
        <v>0</v>
      </c>
      <c r="AP63" s="28">
        <f t="shared" si="27"/>
        <v>0</v>
      </c>
      <c r="AQ63" s="43"/>
      <c r="AR63" s="358">
        <f t="shared" si="28"/>
        <v>0</v>
      </c>
      <c r="AS63" s="359">
        <f t="shared" si="29"/>
        <v>0</v>
      </c>
      <c r="AT63" s="360">
        <f t="shared" si="30"/>
        <v>0</v>
      </c>
      <c r="AU63" s="43"/>
      <c r="AV63" s="2119">
        <f t="shared" si="31"/>
        <v>0</v>
      </c>
      <c r="AW63" s="119"/>
      <c r="AX63" s="2125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 t="s">
        <v>265</v>
      </c>
      <c r="N64" s="113">
        <f t="shared" si="8"/>
        <v>1993</v>
      </c>
      <c r="O64" s="575">
        <v>0</v>
      </c>
      <c r="P64" s="576"/>
      <c r="Q64" s="325"/>
      <c r="R64" s="324"/>
      <c r="S64" s="579">
        <v>0</v>
      </c>
      <c r="T64" s="580">
        <f t="shared" si="22"/>
        <v>0</v>
      </c>
      <c r="U64" s="51"/>
      <c r="V64" s="541">
        <f>+'NF-KSF-TRIAL-BAL-2021'!O64+'RA-TRIAL-BAL-2021'!O64+'DES-TRIAL-BAL-2021'!O64+'DMP-TRIAL-BAL-2021'!O64</f>
        <v>0</v>
      </c>
      <c r="W64" s="529">
        <f>+'NF-KSF-TRIAL-BAL-2021'!P64+'RA-TRIAL-BAL-2021'!P64+'DES-TRIAL-BAL-2021'!P64+'DMP-TRIAL-BAL-2021'!P64</f>
        <v>0</v>
      </c>
      <c r="X64" s="587">
        <f>+'NF-KSF-TRIAL-BAL-2021'!Q64+'RA-TRIAL-BAL-2021'!Q64+'DES-TRIAL-BAL-2021'!Q64+'DMP-TRIAL-BAL-2021'!Q64</f>
        <v>0</v>
      </c>
      <c r="Y64" s="586">
        <f>+'NF-KSF-TRIAL-BAL-2021'!R64+'RA-TRIAL-BAL-2021'!R64+'DES-TRIAL-BAL-2021'!R64+'DMP-TRIAL-BAL-2021'!R64</f>
        <v>0</v>
      </c>
      <c r="Z64" s="587">
        <f>+'NF-KSF-TRIAL-BAL-2021'!S64+'RA-TRIAL-BAL-2021'!S64+'DES-TRIAL-BAL-2021'!S64+'DMP-TRIAL-BAL-2021'!S64</f>
        <v>0</v>
      </c>
      <c r="AA64" s="588">
        <f>+'NF-KSF-TRIAL-BAL-2021'!T64+'RA-TRIAL-BAL-2021'!T64+'DES-TRIAL-BAL-2021'!T64+'DMP-TRIAL-BAL-2021'!T64</f>
        <v>0</v>
      </c>
      <c r="AB64" s="51"/>
      <c r="AC64" s="575">
        <v>0</v>
      </c>
      <c r="AD64" s="582">
        <v>0</v>
      </c>
      <c r="AE64" s="579">
        <v>0</v>
      </c>
      <c r="AF64" s="582">
        <v>0</v>
      </c>
      <c r="AG64" s="579">
        <v>0</v>
      </c>
      <c r="AH64" s="584">
        <v>0</v>
      </c>
      <c r="AI64" s="51"/>
      <c r="AJ64" s="1497">
        <f t="shared" si="23"/>
        <v>1993</v>
      </c>
      <c r="AK64" s="8">
        <v>0</v>
      </c>
      <c r="AL64" s="970">
        <f t="shared" si="24"/>
        <v>0</v>
      </c>
      <c r="AM64" s="326">
        <f t="shared" si="25"/>
        <v>0</v>
      </c>
      <c r="AN64" s="970">
        <f t="shared" si="26"/>
        <v>0</v>
      </c>
      <c r="AO64" s="579">
        <v>0</v>
      </c>
      <c r="AP64" s="28">
        <f t="shared" si="27"/>
        <v>0</v>
      </c>
      <c r="AQ64" s="43"/>
      <c r="AR64" s="358">
        <f t="shared" si="28"/>
        <v>0</v>
      </c>
      <c r="AS64" s="359">
        <f t="shared" si="29"/>
        <v>0</v>
      </c>
      <c r="AT64" s="360">
        <f t="shared" si="30"/>
        <v>0</v>
      </c>
      <c r="AU64" s="43"/>
      <c r="AV64" s="2119">
        <f t="shared" si="31"/>
        <v>0</v>
      </c>
      <c r="AW64" s="119"/>
      <c r="AX64" s="2125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 t="s">
        <v>265</v>
      </c>
      <c r="N65" s="113">
        <f t="shared" si="8"/>
        <v>1994</v>
      </c>
      <c r="O65" s="575">
        <v>0</v>
      </c>
      <c r="P65" s="576"/>
      <c r="Q65" s="325"/>
      <c r="R65" s="324"/>
      <c r="S65" s="579">
        <v>0</v>
      </c>
      <c r="T65" s="580">
        <f t="shared" si="22"/>
        <v>0</v>
      </c>
      <c r="U65" s="51"/>
      <c r="V65" s="541">
        <f>+'NF-KSF-TRIAL-BAL-2021'!O65+'RA-TRIAL-BAL-2021'!O65+'DES-TRIAL-BAL-2021'!O65+'DMP-TRIAL-BAL-2021'!O65</f>
        <v>0</v>
      </c>
      <c r="W65" s="529">
        <f>+'NF-KSF-TRIAL-BAL-2021'!P65+'RA-TRIAL-BAL-2021'!P65+'DES-TRIAL-BAL-2021'!P65+'DMP-TRIAL-BAL-2021'!P65</f>
        <v>0</v>
      </c>
      <c r="X65" s="587">
        <f>+'NF-KSF-TRIAL-BAL-2021'!Q65+'RA-TRIAL-BAL-2021'!Q65+'DES-TRIAL-BAL-2021'!Q65+'DMP-TRIAL-BAL-2021'!Q65</f>
        <v>0</v>
      </c>
      <c r="Y65" s="586">
        <f>+'NF-KSF-TRIAL-BAL-2021'!R65+'RA-TRIAL-BAL-2021'!R65+'DES-TRIAL-BAL-2021'!R65+'DMP-TRIAL-BAL-2021'!R65</f>
        <v>0</v>
      </c>
      <c r="Z65" s="587">
        <f>+'NF-KSF-TRIAL-BAL-2021'!S65+'RA-TRIAL-BAL-2021'!S65+'DES-TRIAL-BAL-2021'!S65+'DMP-TRIAL-BAL-2021'!S65</f>
        <v>0</v>
      </c>
      <c r="AA65" s="588">
        <f>+'NF-KSF-TRIAL-BAL-2021'!T65+'RA-TRIAL-BAL-2021'!T65+'DES-TRIAL-BAL-2021'!T65+'DMP-TRIAL-BAL-2021'!T65</f>
        <v>0</v>
      </c>
      <c r="AB65" s="51"/>
      <c r="AC65" s="575">
        <v>0</v>
      </c>
      <c r="AD65" s="582">
        <v>0</v>
      </c>
      <c r="AE65" s="579">
        <v>0</v>
      </c>
      <c r="AF65" s="582">
        <v>0</v>
      </c>
      <c r="AG65" s="579">
        <v>0</v>
      </c>
      <c r="AH65" s="584">
        <v>0</v>
      </c>
      <c r="AI65" s="51"/>
      <c r="AJ65" s="1497">
        <f t="shared" si="23"/>
        <v>1994</v>
      </c>
      <c r="AK65" s="8">
        <v>0</v>
      </c>
      <c r="AL65" s="970">
        <f t="shared" si="24"/>
        <v>0</v>
      </c>
      <c r="AM65" s="326">
        <f t="shared" si="25"/>
        <v>0</v>
      </c>
      <c r="AN65" s="970">
        <f t="shared" si="26"/>
        <v>0</v>
      </c>
      <c r="AO65" s="579">
        <v>0</v>
      </c>
      <c r="AP65" s="28">
        <f t="shared" si="27"/>
        <v>0</v>
      </c>
      <c r="AQ65" s="43"/>
      <c r="AR65" s="358">
        <f t="shared" si="28"/>
        <v>0</v>
      </c>
      <c r="AS65" s="359">
        <f t="shared" si="29"/>
        <v>0</v>
      </c>
      <c r="AT65" s="360">
        <f t="shared" si="30"/>
        <v>0</v>
      </c>
      <c r="AU65" s="43"/>
      <c r="AV65" s="2119">
        <f t="shared" si="31"/>
        <v>0</v>
      </c>
      <c r="AW65" s="119"/>
      <c r="AX65" s="2125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 t="s">
        <v>265</v>
      </c>
      <c r="N66" s="113">
        <f t="shared" si="8"/>
        <v>1995</v>
      </c>
      <c r="O66" s="575">
        <v>0</v>
      </c>
      <c r="P66" s="576"/>
      <c r="Q66" s="325"/>
      <c r="R66" s="324"/>
      <c r="S66" s="579">
        <v>0</v>
      </c>
      <c r="T66" s="580">
        <f t="shared" si="22"/>
        <v>0</v>
      </c>
      <c r="U66" s="51"/>
      <c r="V66" s="541">
        <f>+'NF-KSF-TRIAL-BAL-2021'!O66+'RA-TRIAL-BAL-2021'!O66+'DES-TRIAL-BAL-2021'!O66+'DMP-TRIAL-BAL-2021'!O66</f>
        <v>0</v>
      </c>
      <c r="W66" s="529">
        <f>+'NF-KSF-TRIAL-BAL-2021'!P66+'RA-TRIAL-BAL-2021'!P66+'DES-TRIAL-BAL-2021'!P66+'DMP-TRIAL-BAL-2021'!P66</f>
        <v>0</v>
      </c>
      <c r="X66" s="587">
        <f>+'NF-KSF-TRIAL-BAL-2021'!Q66+'RA-TRIAL-BAL-2021'!Q66+'DES-TRIAL-BAL-2021'!Q66+'DMP-TRIAL-BAL-2021'!Q66</f>
        <v>0</v>
      </c>
      <c r="Y66" s="586">
        <f>+'NF-KSF-TRIAL-BAL-2021'!R66+'RA-TRIAL-BAL-2021'!R66+'DES-TRIAL-BAL-2021'!R66+'DMP-TRIAL-BAL-2021'!R66</f>
        <v>0</v>
      </c>
      <c r="Z66" s="587">
        <f>+'NF-KSF-TRIAL-BAL-2021'!S66+'RA-TRIAL-BAL-2021'!S66+'DES-TRIAL-BAL-2021'!S66+'DMP-TRIAL-BAL-2021'!S66</f>
        <v>0</v>
      </c>
      <c r="AA66" s="588">
        <f>+'NF-KSF-TRIAL-BAL-2021'!T66+'RA-TRIAL-BAL-2021'!T66+'DES-TRIAL-BAL-2021'!T66+'DMP-TRIAL-BAL-2021'!T66</f>
        <v>0</v>
      </c>
      <c r="AB66" s="51"/>
      <c r="AC66" s="575">
        <v>0</v>
      </c>
      <c r="AD66" s="582">
        <v>0</v>
      </c>
      <c r="AE66" s="579">
        <v>0</v>
      </c>
      <c r="AF66" s="582">
        <v>0</v>
      </c>
      <c r="AG66" s="579">
        <v>0</v>
      </c>
      <c r="AH66" s="584">
        <v>0</v>
      </c>
      <c r="AI66" s="51"/>
      <c r="AJ66" s="1497">
        <f t="shared" si="23"/>
        <v>1995</v>
      </c>
      <c r="AK66" s="8">
        <v>0</v>
      </c>
      <c r="AL66" s="970">
        <f t="shared" si="24"/>
        <v>0</v>
      </c>
      <c r="AM66" s="326">
        <f t="shared" si="25"/>
        <v>0</v>
      </c>
      <c r="AN66" s="970">
        <f t="shared" si="26"/>
        <v>0</v>
      </c>
      <c r="AO66" s="579">
        <v>0</v>
      </c>
      <c r="AP66" s="28">
        <f t="shared" si="27"/>
        <v>0</v>
      </c>
      <c r="AQ66" s="43"/>
      <c r="AR66" s="358">
        <f t="shared" si="28"/>
        <v>0</v>
      </c>
      <c r="AS66" s="359">
        <f t="shared" si="29"/>
        <v>0</v>
      </c>
      <c r="AT66" s="360">
        <f t="shared" si="30"/>
        <v>0</v>
      </c>
      <c r="AU66" s="43"/>
      <c r="AV66" s="2119">
        <f t="shared" si="31"/>
        <v>0</v>
      </c>
      <c r="AW66" s="119"/>
      <c r="AX66" s="2125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 t="s">
        <v>265</v>
      </c>
      <c r="N67" s="113">
        <f t="shared" si="8"/>
        <v>1996</v>
      </c>
      <c r="O67" s="575">
        <v>0</v>
      </c>
      <c r="P67" s="576"/>
      <c r="Q67" s="325"/>
      <c r="R67" s="324"/>
      <c r="S67" s="579">
        <v>0</v>
      </c>
      <c r="T67" s="580">
        <f t="shared" si="22"/>
        <v>0</v>
      </c>
      <c r="U67" s="51"/>
      <c r="V67" s="541">
        <f>+'NF-KSF-TRIAL-BAL-2021'!O67+'RA-TRIAL-BAL-2021'!O67+'DES-TRIAL-BAL-2021'!O67+'DMP-TRIAL-BAL-2021'!O67</f>
        <v>0</v>
      </c>
      <c r="W67" s="529">
        <f>+'NF-KSF-TRIAL-BAL-2021'!P67+'RA-TRIAL-BAL-2021'!P67+'DES-TRIAL-BAL-2021'!P67+'DMP-TRIAL-BAL-2021'!P67</f>
        <v>0</v>
      </c>
      <c r="X67" s="587">
        <f>+'NF-KSF-TRIAL-BAL-2021'!Q67+'RA-TRIAL-BAL-2021'!Q67+'DES-TRIAL-BAL-2021'!Q67+'DMP-TRIAL-BAL-2021'!Q67</f>
        <v>0</v>
      </c>
      <c r="Y67" s="586">
        <f>+'NF-KSF-TRIAL-BAL-2021'!R67+'RA-TRIAL-BAL-2021'!R67+'DES-TRIAL-BAL-2021'!R67+'DMP-TRIAL-BAL-2021'!R67</f>
        <v>0</v>
      </c>
      <c r="Z67" s="587">
        <f>+'NF-KSF-TRIAL-BAL-2021'!S67+'RA-TRIAL-BAL-2021'!S67+'DES-TRIAL-BAL-2021'!S67+'DMP-TRIAL-BAL-2021'!S67</f>
        <v>0</v>
      </c>
      <c r="AA67" s="588">
        <f>+'NF-KSF-TRIAL-BAL-2021'!T67+'RA-TRIAL-BAL-2021'!T67+'DES-TRIAL-BAL-2021'!T67+'DMP-TRIAL-BAL-2021'!T67</f>
        <v>0</v>
      </c>
      <c r="AB67" s="51"/>
      <c r="AC67" s="575">
        <v>0</v>
      </c>
      <c r="AD67" s="582">
        <v>0</v>
      </c>
      <c r="AE67" s="579">
        <v>0</v>
      </c>
      <c r="AF67" s="582">
        <v>0</v>
      </c>
      <c r="AG67" s="579">
        <v>0</v>
      </c>
      <c r="AH67" s="584">
        <v>0</v>
      </c>
      <c r="AI67" s="51"/>
      <c r="AJ67" s="1497">
        <f t="shared" si="23"/>
        <v>1996</v>
      </c>
      <c r="AK67" s="8">
        <v>0</v>
      </c>
      <c r="AL67" s="970">
        <f t="shared" si="24"/>
        <v>0</v>
      </c>
      <c r="AM67" s="326">
        <f t="shared" si="25"/>
        <v>0</v>
      </c>
      <c r="AN67" s="970">
        <f t="shared" si="26"/>
        <v>0</v>
      </c>
      <c r="AO67" s="579">
        <v>0</v>
      </c>
      <c r="AP67" s="28">
        <f t="shared" si="27"/>
        <v>0</v>
      </c>
      <c r="AQ67" s="43"/>
      <c r="AR67" s="358">
        <f t="shared" si="28"/>
        <v>0</v>
      </c>
      <c r="AS67" s="359">
        <f t="shared" si="29"/>
        <v>0</v>
      </c>
      <c r="AT67" s="360">
        <f t="shared" si="30"/>
        <v>0</v>
      </c>
      <c r="AU67" s="43"/>
      <c r="AV67" s="2119">
        <f t="shared" si="31"/>
        <v>0</v>
      </c>
      <c r="AW67" s="119"/>
      <c r="AX67" s="2125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8"/>
        <v>1997</v>
      </c>
      <c r="O68" s="8">
        <v>0</v>
      </c>
      <c r="P68" s="121"/>
      <c r="Q68" s="325"/>
      <c r="R68" s="324"/>
      <c r="S68" s="29">
        <v>0</v>
      </c>
      <c r="T68" s="28">
        <f>+IF(ABS(+O68+Q68)&lt;=ABS(P68+R68),-O68+P68-Q68+R68,0)</f>
        <v>0</v>
      </c>
      <c r="U68" s="51"/>
      <c r="V68" s="541">
        <f>+'NF-KSF-TRIAL-BAL-2021'!O68+'RA-TRIAL-BAL-2021'!O68+'DES-TRIAL-BAL-2021'!O68+'DMP-TRIAL-BAL-2021'!O68</f>
        <v>0</v>
      </c>
      <c r="W68" s="529">
        <f>+'NF-KSF-TRIAL-BAL-2021'!P68+'RA-TRIAL-BAL-2021'!P68+'DES-TRIAL-BAL-2021'!P68+'DMP-TRIAL-BAL-2021'!P68</f>
        <v>0</v>
      </c>
      <c r="X68" s="528">
        <f>+'NF-KSF-TRIAL-BAL-2021'!Q68+'RA-TRIAL-BAL-2021'!Q68+'DES-TRIAL-BAL-2021'!Q68+'DMP-TRIAL-BAL-2021'!Q68</f>
        <v>0</v>
      </c>
      <c r="Y68" s="529">
        <f>+'NF-KSF-TRIAL-BAL-2021'!R68+'RA-TRIAL-BAL-2021'!R68+'DES-TRIAL-BAL-2021'!R68+'DMP-TRIAL-BAL-2021'!R68</f>
        <v>0</v>
      </c>
      <c r="Z68" s="528">
        <f>+'NF-KSF-TRIAL-BAL-2021'!S68+'RA-TRIAL-BAL-2021'!S68+'DES-TRIAL-BAL-2021'!S68+'DMP-TRIAL-BAL-2021'!S68</f>
        <v>0</v>
      </c>
      <c r="AA68" s="347">
        <f>+'NF-KSF-TRIAL-BAL-2021'!T68+'RA-TRIAL-BAL-2021'!T68+'DES-TRIAL-BAL-2021'!T68+'DMP-TRIAL-BAL-2021'!T68</f>
        <v>0</v>
      </c>
      <c r="AB68" s="51"/>
      <c r="AC68" s="575">
        <v>0</v>
      </c>
      <c r="AD68" s="582">
        <v>0</v>
      </c>
      <c r="AE68" s="579">
        <v>0</v>
      </c>
      <c r="AF68" s="582">
        <v>0</v>
      </c>
      <c r="AG68" s="579">
        <v>0</v>
      </c>
      <c r="AH68" s="584">
        <v>0</v>
      </c>
      <c r="AI68" s="51"/>
      <c r="AJ68" s="1497">
        <f t="shared" ref="AJ68:AJ79" si="32">+N68</f>
        <v>1997</v>
      </c>
      <c r="AK68" s="8">
        <v>0</v>
      </c>
      <c r="AL68" s="970">
        <f t="shared" ref="AL68:AN69" si="33">+ROUND(+P68+W68+AD68,2)</f>
        <v>0</v>
      </c>
      <c r="AM68" s="326">
        <f t="shared" si="33"/>
        <v>0</v>
      </c>
      <c r="AN68" s="970">
        <f t="shared" si="33"/>
        <v>0</v>
      </c>
      <c r="AO68" s="29">
        <v>0</v>
      </c>
      <c r="AP68" s="28">
        <f t="shared" si="27"/>
        <v>0</v>
      </c>
      <c r="AQ68" s="43"/>
      <c r="AR68" s="358">
        <f>+ROUND(+SUM(AK68-AL68)-SUM(O68-P68)-SUM(V68-W68)-SUM(AC68-AD68),2)</f>
        <v>0</v>
      </c>
      <c r="AS68" s="359">
        <f>+ROUND(+SUM(AM68-AN68)-SUM(Q68-R68)-SUM(X68-Y68)-SUM(AE68-AF68),2)</f>
        <v>0</v>
      </c>
      <c r="AT68" s="360">
        <f>+ROUND(+SUM(AO68-AP68)-SUM(S68-T68)-SUM(Z68-AA68)-SUM(AG68-AH68),2)</f>
        <v>0</v>
      </c>
      <c r="AU68" s="43"/>
      <c r="AV68" s="2119">
        <f t="shared" si="31"/>
        <v>0</v>
      </c>
      <c r="AW68" s="119"/>
      <c r="AX68" s="2125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25"/>
      <c r="R69" s="324"/>
      <c r="S69" s="382">
        <v>0</v>
      </c>
      <c r="T69" s="57">
        <f>+IF(ABS(+O69+Q69)&lt;=ABS(P69+R69),-O69+P69-Q69+R69,0)</f>
        <v>0</v>
      </c>
      <c r="U69" s="51"/>
      <c r="V69" s="544">
        <f>+'NF-KSF-TRIAL-BAL-2021'!O69+'RA-TRIAL-BAL-2021'!O69+'DES-TRIAL-BAL-2021'!O69+'DMP-TRIAL-BAL-2021'!O69</f>
        <v>0</v>
      </c>
      <c r="W69" s="542">
        <f>+'NF-KSF-TRIAL-BAL-2021'!P69+'RA-TRIAL-BAL-2021'!P69+'DES-TRIAL-BAL-2021'!P69+'DMP-TRIAL-BAL-2021'!P69</f>
        <v>0</v>
      </c>
      <c r="X69" s="530">
        <f>+'NF-KSF-TRIAL-BAL-2021'!Q69+'RA-TRIAL-BAL-2021'!Q69+'DES-TRIAL-BAL-2021'!Q69+'DMP-TRIAL-BAL-2021'!Q69</f>
        <v>0</v>
      </c>
      <c r="Y69" s="542">
        <f>+'NF-KSF-TRIAL-BAL-2021'!R69+'RA-TRIAL-BAL-2021'!R69+'DES-TRIAL-BAL-2021'!R69+'DMP-TRIAL-BAL-2021'!R69</f>
        <v>0</v>
      </c>
      <c r="Z69" s="530">
        <f>+'NF-KSF-TRIAL-BAL-2021'!S69+'RA-TRIAL-BAL-2021'!S69+'DES-TRIAL-BAL-2021'!S69+'DMP-TRIAL-BAL-2021'!S69</f>
        <v>0</v>
      </c>
      <c r="AA69" s="531">
        <f>+'NF-KSF-TRIAL-BAL-2021'!T69+'RA-TRIAL-BAL-2021'!T69+'DES-TRIAL-BAL-2021'!T69+'DMP-TRIAL-BAL-2021'!T69</f>
        <v>0</v>
      </c>
      <c r="AB69" s="51"/>
      <c r="AC69" s="575">
        <v>0</v>
      </c>
      <c r="AD69" s="582">
        <v>0</v>
      </c>
      <c r="AE69" s="579">
        <v>0</v>
      </c>
      <c r="AF69" s="582">
        <v>0</v>
      </c>
      <c r="AG69" s="579">
        <v>0</v>
      </c>
      <c r="AH69" s="584">
        <v>0</v>
      </c>
      <c r="AI69" s="51"/>
      <c r="AJ69" s="1498">
        <f t="shared" si="32"/>
        <v>1998</v>
      </c>
      <c r="AK69" s="55">
        <v>0</v>
      </c>
      <c r="AL69" s="1499">
        <f t="shared" si="33"/>
        <v>0</v>
      </c>
      <c r="AM69" s="1057">
        <f t="shared" si="33"/>
        <v>0</v>
      </c>
      <c r="AN69" s="1499">
        <f t="shared" si="33"/>
        <v>0</v>
      </c>
      <c r="AO69" s="382">
        <v>0</v>
      </c>
      <c r="AP69" s="28">
        <f t="shared" si="27"/>
        <v>0</v>
      </c>
      <c r="AQ69" s="43"/>
      <c r="AR69" s="389">
        <f>+ROUND(+SUM(AK69-AL69)-SUM(O69-P69)-SUM(V69-W69)-SUM(AC69-AD69),2)</f>
        <v>0</v>
      </c>
      <c r="AS69" s="390">
        <f>+ROUND(+SUM(AM69-AN69)-SUM(Q69-R69)-SUM(X69-Y69)-SUM(AE69-AF69),2)</f>
        <v>0</v>
      </c>
      <c r="AT69" s="391">
        <f>+ROUND(+SUM(AO69-AP69)-SUM(S69-T69)-SUM(Z69-AA69)-SUM(AG69-AH69),2)</f>
        <v>0</v>
      </c>
      <c r="AU69" s="43"/>
      <c r="AV69" s="2119">
        <f t="shared" si="31"/>
        <v>0</v>
      </c>
      <c r="AW69" s="119"/>
      <c r="AX69" s="2125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 t="s">
        <v>265</v>
      </c>
      <c r="N70" s="383">
        <v>2</v>
      </c>
      <c r="O70" s="384"/>
      <c r="P70" s="385"/>
      <c r="Q70" s="386"/>
      <c r="R70" s="385"/>
      <c r="S70" s="386"/>
      <c r="T70" s="387"/>
      <c r="U70" s="51"/>
      <c r="V70" s="545"/>
      <c r="W70" s="533"/>
      <c r="X70" s="532"/>
      <c r="Y70" s="533"/>
      <c r="Z70" s="532"/>
      <c r="AA70" s="534"/>
      <c r="AB70" s="51"/>
      <c r="AC70" s="384"/>
      <c r="AD70" s="385"/>
      <c r="AE70" s="386"/>
      <c r="AF70" s="385"/>
      <c r="AG70" s="386"/>
      <c r="AH70" s="387"/>
      <c r="AI70" s="51"/>
      <c r="AJ70" s="388">
        <f t="shared" si="32"/>
        <v>2</v>
      </c>
      <c r="AK70" s="384"/>
      <c r="AL70" s="385"/>
      <c r="AM70" s="386"/>
      <c r="AN70" s="385"/>
      <c r="AO70" s="386"/>
      <c r="AP70" s="387"/>
      <c r="AQ70" s="43"/>
      <c r="AR70" s="392"/>
      <c r="AS70" s="393"/>
      <c r="AT70" s="394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23">
        <v>736833.39</v>
      </c>
      <c r="P71" s="329">
        <v>0</v>
      </c>
      <c r="Q71" s="325"/>
      <c r="R71" s="324"/>
      <c r="S71" s="326">
        <f t="shared" ref="S71:S89" si="34">+IF(ABS(+O71+Q71)&gt;=ABS(P71+R71),+O71-P71+Q71-R71,0)</f>
        <v>736833.39</v>
      </c>
      <c r="T71" s="331">
        <v>0</v>
      </c>
      <c r="U71" s="51"/>
      <c r="V71" s="543">
        <f>+'NF-KSF-TRIAL-BAL-2021'!O71+'RA-TRIAL-BAL-2021'!O71+'DES-TRIAL-BAL-2021'!O71+'DMP-TRIAL-BAL-2021'!O71</f>
        <v>0</v>
      </c>
      <c r="W71" s="526">
        <f>+'NF-KSF-TRIAL-BAL-2021'!P71+'RA-TRIAL-BAL-2021'!P71+'DES-TRIAL-BAL-2021'!P71+'DMP-TRIAL-BAL-2021'!P71</f>
        <v>0</v>
      </c>
      <c r="X71" s="525">
        <f>+'NF-KSF-TRIAL-BAL-2021'!Q71+'RA-TRIAL-BAL-2021'!Q71+'DES-TRIAL-BAL-2021'!Q71+'DMP-TRIAL-BAL-2021'!Q71</f>
        <v>0</v>
      </c>
      <c r="Y71" s="526">
        <f>+'NF-KSF-TRIAL-BAL-2021'!R71+'RA-TRIAL-BAL-2021'!R71+'DES-TRIAL-BAL-2021'!R71+'DMP-TRIAL-BAL-2021'!R71</f>
        <v>0</v>
      </c>
      <c r="Z71" s="525">
        <f>+'NF-KSF-TRIAL-BAL-2021'!S71+'RA-TRIAL-BAL-2021'!S71+'DES-TRIAL-BAL-2021'!S71+'DMP-TRIAL-BAL-2021'!S71</f>
        <v>0</v>
      </c>
      <c r="AA71" s="527">
        <f>+'NF-KSF-TRIAL-BAL-2021'!T71+'RA-TRIAL-BAL-2021'!T71+'DES-TRIAL-BAL-2021'!T71+'DMP-TRIAL-BAL-2021'!T71</f>
        <v>0</v>
      </c>
      <c r="AB71" s="51"/>
      <c r="AC71" s="323"/>
      <c r="AD71" s="329">
        <v>0</v>
      </c>
      <c r="AE71" s="325"/>
      <c r="AF71" s="324"/>
      <c r="AG71" s="326">
        <f>+IF(ABS(+AC71+AE71)&gt;=ABS(AD71+AF71),+AC71-AD71+AE71-AF71,0)</f>
        <v>0</v>
      </c>
      <c r="AH71" s="331">
        <v>0</v>
      </c>
      <c r="AI71" s="51"/>
      <c r="AJ71" s="1496">
        <f t="shared" si="32"/>
        <v>2010</v>
      </c>
      <c r="AK71" s="951">
        <f>+ROUND(+O71+V71+AC71,2)</f>
        <v>736833.39</v>
      </c>
      <c r="AL71" s="329">
        <v>0</v>
      </c>
      <c r="AM71" s="326">
        <f>+ROUND(+Q71+X71+AE71,2)</f>
        <v>0</v>
      </c>
      <c r="AN71" s="970">
        <f>+ROUND(+R71+Y71+AF71,2)</f>
        <v>0</v>
      </c>
      <c r="AO71" s="326">
        <f t="shared" ref="AO71:AO93" si="35">+S71+Z71+AG71</f>
        <v>736833.39</v>
      </c>
      <c r="AP71" s="331">
        <v>0</v>
      </c>
      <c r="AQ71" s="43"/>
      <c r="AR71" s="358">
        <f>+ROUND(+SUM(AK71-AL71)-SUM(O71-P71)-SUM(V71-W71)-SUM(AC71-AD71),2)</f>
        <v>0</v>
      </c>
      <c r="AS71" s="359">
        <f>+ROUND(+SUM(AM71-AN71)-SUM(Q71-R71)-SUM(X71-Y71)-SUM(AE71-AF71),2)</f>
        <v>0</v>
      </c>
      <c r="AT71" s="360">
        <f>+ROUND(+SUM(AO71-AP71)-SUM(S71-T71)-SUM(Z71-AA71)-SUM(AG71-AH71),2)</f>
        <v>0</v>
      </c>
      <c r="AU71" s="43"/>
      <c r="AV71" s="2120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120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23"/>
      <c r="P72" s="329">
        <v>0</v>
      </c>
      <c r="Q72" s="325"/>
      <c r="R72" s="324"/>
      <c r="S72" s="326">
        <f t="shared" si="34"/>
        <v>0</v>
      </c>
      <c r="T72" s="331">
        <v>0</v>
      </c>
      <c r="U72" s="51"/>
      <c r="V72" s="543">
        <f>+'NF-KSF-TRIAL-BAL-2021'!O72+'RA-TRIAL-BAL-2021'!O72+'DES-TRIAL-BAL-2021'!O72+'DMP-TRIAL-BAL-2021'!O72</f>
        <v>0</v>
      </c>
      <c r="W72" s="526">
        <f>+'NF-KSF-TRIAL-BAL-2021'!P72+'RA-TRIAL-BAL-2021'!P72+'DES-TRIAL-BAL-2021'!P72+'DMP-TRIAL-BAL-2021'!P72</f>
        <v>0</v>
      </c>
      <c r="X72" s="525">
        <f>+'NF-KSF-TRIAL-BAL-2021'!Q72+'RA-TRIAL-BAL-2021'!Q72+'DES-TRIAL-BAL-2021'!Q72+'DMP-TRIAL-BAL-2021'!Q72</f>
        <v>0</v>
      </c>
      <c r="Y72" s="526">
        <f>+'NF-KSF-TRIAL-BAL-2021'!R72+'RA-TRIAL-BAL-2021'!R72+'DES-TRIAL-BAL-2021'!R72+'DMP-TRIAL-BAL-2021'!R72</f>
        <v>0</v>
      </c>
      <c r="Z72" s="525">
        <f>+'NF-KSF-TRIAL-BAL-2021'!S72+'RA-TRIAL-BAL-2021'!S72+'DES-TRIAL-BAL-2021'!S72+'DMP-TRIAL-BAL-2021'!S72</f>
        <v>0</v>
      </c>
      <c r="AA72" s="527">
        <f>+'NF-KSF-TRIAL-BAL-2021'!T72+'RA-TRIAL-BAL-2021'!T72+'DES-TRIAL-BAL-2021'!T72+'DMP-TRIAL-BAL-2021'!T72</f>
        <v>0</v>
      </c>
      <c r="AB72" s="51"/>
      <c r="AC72" s="323"/>
      <c r="AD72" s="329">
        <v>0</v>
      </c>
      <c r="AE72" s="122"/>
      <c r="AF72" s="324"/>
      <c r="AG72" s="326">
        <f t="shared" ref="AG72:AG93" si="37">+IF(ABS(+AC72+AE72)&gt;=ABS(AD72+AF72),+AC72-AD72+AE72-AF72,0)</f>
        <v>0</v>
      </c>
      <c r="AH72" s="331">
        <v>0</v>
      </c>
      <c r="AI72" s="51"/>
      <c r="AJ72" s="1496">
        <f t="shared" si="32"/>
        <v>2020</v>
      </c>
      <c r="AK72" s="951">
        <f t="shared" ref="AK72:AK91" si="38">+ROUND(+O72+V72+AC72,2)</f>
        <v>0</v>
      </c>
      <c r="AL72" s="329">
        <v>0</v>
      </c>
      <c r="AM72" s="326">
        <f t="shared" ref="AM72:AN89" si="39">+ROUND(+Q72+X72+AE72,2)</f>
        <v>0</v>
      </c>
      <c r="AN72" s="970">
        <f t="shared" si="39"/>
        <v>0</v>
      </c>
      <c r="AO72" s="326">
        <f t="shared" si="35"/>
        <v>0</v>
      </c>
      <c r="AP72" s="331">
        <v>0</v>
      </c>
      <c r="AQ72" s="43"/>
      <c r="AR72" s="358">
        <f t="shared" ref="AR72:AR101" si="40">+ROUND(+SUM(AK72-AL72)-SUM(O72-P72)-SUM(V72-W72)-SUM(AC72-AD72),2)</f>
        <v>0</v>
      </c>
      <c r="AS72" s="359">
        <f t="shared" ref="AS72:AS101" si="41">+ROUND(+SUM(AM72-AN72)-SUM(Q72-R72)-SUM(X72-Y72)-SUM(AE72-AF72),2)</f>
        <v>0</v>
      </c>
      <c r="AT72" s="360">
        <f t="shared" ref="AT72:AT101" si="42">+ROUND(+SUM(AO72-AP72)-SUM(S72-T72)-SUM(Z72-AA72)-SUM(AG72-AH72),2)</f>
        <v>0</v>
      </c>
      <c r="AU72" s="43"/>
      <c r="AV72" s="2120">
        <f t="shared" si="36"/>
        <v>0</v>
      </c>
      <c r="AW72" s="119"/>
      <c r="AX72" s="2120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8"/>
        <v>2031</v>
      </c>
      <c r="O73" s="120">
        <v>3821685.53</v>
      </c>
      <c r="P73" s="9">
        <v>0</v>
      </c>
      <c r="Q73" s="325"/>
      <c r="R73" s="324"/>
      <c r="S73" s="27">
        <f t="shared" si="34"/>
        <v>3821685.53</v>
      </c>
      <c r="T73" s="30">
        <v>0</v>
      </c>
      <c r="U73" s="51"/>
      <c r="V73" s="541">
        <f>+'NF-KSF-TRIAL-BAL-2021'!O73+'RA-TRIAL-BAL-2021'!O73+'DES-TRIAL-BAL-2021'!O73+'DMP-TRIAL-BAL-2021'!O73</f>
        <v>1630660.69</v>
      </c>
      <c r="W73" s="529">
        <f>+'NF-KSF-TRIAL-BAL-2021'!P73+'RA-TRIAL-BAL-2021'!P73+'DES-TRIAL-BAL-2021'!P73+'DMP-TRIAL-BAL-2021'!P73</f>
        <v>0</v>
      </c>
      <c r="X73" s="528">
        <f>+'NF-KSF-TRIAL-BAL-2021'!Q73+'RA-TRIAL-BAL-2021'!Q73+'DES-TRIAL-BAL-2021'!Q73+'DMP-TRIAL-BAL-2021'!Q73</f>
        <v>0</v>
      </c>
      <c r="Y73" s="529">
        <f>+'NF-KSF-TRIAL-BAL-2021'!R73+'RA-TRIAL-BAL-2021'!R73+'DES-TRIAL-BAL-2021'!R73+'DMP-TRIAL-BAL-2021'!R73</f>
        <v>0</v>
      </c>
      <c r="Z73" s="528">
        <f>+'NF-KSF-TRIAL-BAL-2021'!S73+'RA-TRIAL-BAL-2021'!S73+'DES-TRIAL-BAL-2021'!S73+'DMP-TRIAL-BAL-2021'!S73</f>
        <v>1630660.69</v>
      </c>
      <c r="AA73" s="347">
        <f>+'NF-KSF-TRIAL-BAL-2021'!T73+'RA-TRIAL-BAL-2021'!T73+'DES-TRIAL-BAL-2021'!T73+'DMP-TRIAL-BAL-2021'!T73</f>
        <v>0</v>
      </c>
      <c r="AB73" s="51"/>
      <c r="AC73" s="120"/>
      <c r="AD73" s="9">
        <v>0</v>
      </c>
      <c r="AE73" s="122"/>
      <c r="AF73" s="324"/>
      <c r="AG73" s="27">
        <f t="shared" si="37"/>
        <v>0</v>
      </c>
      <c r="AH73" s="30">
        <v>0</v>
      </c>
      <c r="AI73" s="51"/>
      <c r="AJ73" s="1497">
        <f t="shared" si="32"/>
        <v>2031</v>
      </c>
      <c r="AK73" s="951">
        <f t="shared" si="38"/>
        <v>5452346.2199999997</v>
      </c>
      <c r="AL73" s="9">
        <v>0</v>
      </c>
      <c r="AM73" s="326">
        <f t="shared" si="39"/>
        <v>0</v>
      </c>
      <c r="AN73" s="970">
        <f t="shared" si="39"/>
        <v>0</v>
      </c>
      <c r="AO73" s="326">
        <f t="shared" si="35"/>
        <v>5452346.2199999997</v>
      </c>
      <c r="AP73" s="331">
        <v>0</v>
      </c>
      <c r="AQ73" s="43"/>
      <c r="AR73" s="358">
        <f t="shared" si="40"/>
        <v>0</v>
      </c>
      <c r="AS73" s="359">
        <f t="shared" si="41"/>
        <v>0</v>
      </c>
      <c r="AT73" s="360">
        <f t="shared" si="42"/>
        <v>0</v>
      </c>
      <c r="AU73" s="43"/>
      <c r="AV73" s="2120">
        <f t="shared" si="36"/>
        <v>0</v>
      </c>
      <c r="AW73" s="119"/>
      <c r="AX73" s="2120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8"/>
        <v>2032</v>
      </c>
      <c r="O74" s="120">
        <v>17113</v>
      </c>
      <c r="P74" s="9">
        <v>0</v>
      </c>
      <c r="Q74" s="325"/>
      <c r="R74" s="324"/>
      <c r="S74" s="27">
        <f t="shared" si="34"/>
        <v>17113</v>
      </c>
      <c r="T74" s="30">
        <v>0</v>
      </c>
      <c r="U74" s="51"/>
      <c r="V74" s="541">
        <f>+'NF-KSF-TRIAL-BAL-2021'!O74+'RA-TRIAL-BAL-2021'!O74+'DES-TRIAL-BAL-2021'!O74+'DMP-TRIAL-BAL-2021'!O74</f>
        <v>0</v>
      </c>
      <c r="W74" s="529">
        <f>+'NF-KSF-TRIAL-BAL-2021'!P74+'RA-TRIAL-BAL-2021'!P74+'DES-TRIAL-BAL-2021'!P74+'DMP-TRIAL-BAL-2021'!P74</f>
        <v>0</v>
      </c>
      <c r="X74" s="528">
        <f>+'NF-KSF-TRIAL-BAL-2021'!Q74+'RA-TRIAL-BAL-2021'!Q74+'DES-TRIAL-BAL-2021'!Q74+'DMP-TRIAL-BAL-2021'!Q74</f>
        <v>0</v>
      </c>
      <c r="Y74" s="529">
        <f>+'NF-KSF-TRIAL-BAL-2021'!R74+'RA-TRIAL-BAL-2021'!R74+'DES-TRIAL-BAL-2021'!R74+'DMP-TRIAL-BAL-2021'!R74</f>
        <v>0</v>
      </c>
      <c r="Z74" s="528">
        <f>+'NF-KSF-TRIAL-BAL-2021'!S74+'RA-TRIAL-BAL-2021'!S74+'DES-TRIAL-BAL-2021'!S74+'DMP-TRIAL-BAL-2021'!S74</f>
        <v>0</v>
      </c>
      <c r="AA74" s="347">
        <f>+'NF-KSF-TRIAL-BAL-2021'!T74+'RA-TRIAL-BAL-2021'!T74+'DES-TRIAL-BAL-2021'!T74+'DMP-TRIAL-BAL-2021'!T74</f>
        <v>0</v>
      </c>
      <c r="AB74" s="51"/>
      <c r="AC74" s="120"/>
      <c r="AD74" s="9">
        <v>0</v>
      </c>
      <c r="AE74" s="122"/>
      <c r="AF74" s="324"/>
      <c r="AG74" s="27">
        <f t="shared" si="37"/>
        <v>0</v>
      </c>
      <c r="AH74" s="30">
        <v>0</v>
      </c>
      <c r="AI74" s="51"/>
      <c r="AJ74" s="1497">
        <f t="shared" si="32"/>
        <v>2032</v>
      </c>
      <c r="AK74" s="951">
        <f t="shared" si="38"/>
        <v>17113</v>
      </c>
      <c r="AL74" s="9">
        <v>0</v>
      </c>
      <c r="AM74" s="326">
        <f t="shared" si="39"/>
        <v>0</v>
      </c>
      <c r="AN74" s="970">
        <f t="shared" si="39"/>
        <v>0</v>
      </c>
      <c r="AO74" s="326">
        <f t="shared" si="35"/>
        <v>17113</v>
      </c>
      <c r="AP74" s="331">
        <v>0</v>
      </c>
      <c r="AQ74" s="43"/>
      <c r="AR74" s="358">
        <f t="shared" si="40"/>
        <v>0</v>
      </c>
      <c r="AS74" s="359">
        <f t="shared" si="41"/>
        <v>0</v>
      </c>
      <c r="AT74" s="360">
        <f t="shared" si="42"/>
        <v>0</v>
      </c>
      <c r="AU74" s="43"/>
      <c r="AV74" s="2120">
        <f t="shared" si="36"/>
        <v>0</v>
      </c>
      <c r="AW74" s="119"/>
      <c r="AX74" s="2120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2038</v>
      </c>
      <c r="O75" s="120"/>
      <c r="P75" s="9">
        <v>0</v>
      </c>
      <c r="Q75" s="325"/>
      <c r="R75" s="324"/>
      <c r="S75" s="27">
        <f t="shared" si="34"/>
        <v>0</v>
      </c>
      <c r="T75" s="30">
        <v>0</v>
      </c>
      <c r="U75" s="51"/>
      <c r="V75" s="541">
        <f>+'NF-KSF-TRIAL-BAL-2021'!O75+'RA-TRIAL-BAL-2021'!O75+'DES-TRIAL-BAL-2021'!O75+'DMP-TRIAL-BAL-2021'!O75</f>
        <v>0</v>
      </c>
      <c r="W75" s="529">
        <f>+'NF-KSF-TRIAL-BAL-2021'!P75+'RA-TRIAL-BAL-2021'!P75+'DES-TRIAL-BAL-2021'!P75+'DMP-TRIAL-BAL-2021'!P75</f>
        <v>0</v>
      </c>
      <c r="X75" s="528">
        <f>+'NF-KSF-TRIAL-BAL-2021'!Q75+'RA-TRIAL-BAL-2021'!Q75+'DES-TRIAL-BAL-2021'!Q75+'DMP-TRIAL-BAL-2021'!Q75</f>
        <v>0</v>
      </c>
      <c r="Y75" s="529">
        <f>+'NF-KSF-TRIAL-BAL-2021'!R75+'RA-TRIAL-BAL-2021'!R75+'DES-TRIAL-BAL-2021'!R75+'DMP-TRIAL-BAL-2021'!R75</f>
        <v>0</v>
      </c>
      <c r="Z75" s="528">
        <f>+'NF-KSF-TRIAL-BAL-2021'!S75+'RA-TRIAL-BAL-2021'!S75+'DES-TRIAL-BAL-2021'!S75+'DMP-TRIAL-BAL-2021'!S75</f>
        <v>0</v>
      </c>
      <c r="AA75" s="347">
        <f>+'NF-KSF-TRIAL-BAL-2021'!T75+'RA-TRIAL-BAL-2021'!T75+'DES-TRIAL-BAL-2021'!T75+'DMP-TRIAL-BAL-2021'!T75</f>
        <v>0</v>
      </c>
      <c r="AB75" s="51"/>
      <c r="AC75" s="120"/>
      <c r="AD75" s="9">
        <v>0</v>
      </c>
      <c r="AE75" s="122"/>
      <c r="AF75" s="324"/>
      <c r="AG75" s="27">
        <f t="shared" si="37"/>
        <v>0</v>
      </c>
      <c r="AH75" s="30">
        <v>0</v>
      </c>
      <c r="AI75" s="51"/>
      <c r="AJ75" s="1497">
        <f t="shared" si="32"/>
        <v>2038</v>
      </c>
      <c r="AK75" s="951">
        <f>+ROUND(+O75+V75+AC75,2)</f>
        <v>0</v>
      </c>
      <c r="AL75" s="9">
        <v>0</v>
      </c>
      <c r="AM75" s="326">
        <f>+ROUND(+Q75+X75+AE75,2)</f>
        <v>0</v>
      </c>
      <c r="AN75" s="970">
        <f>+ROUND(+R75+Y75+AF75,2)</f>
        <v>0</v>
      </c>
      <c r="AO75" s="326">
        <f t="shared" si="35"/>
        <v>0</v>
      </c>
      <c r="AP75" s="331">
        <v>0</v>
      </c>
      <c r="AQ75" s="43"/>
      <c r="AR75" s="358">
        <f>+ROUND(+SUM(AK75-AL75)-SUM(O75-P75)-SUM(V75-W75)-SUM(AC75-AD75),2)</f>
        <v>0</v>
      </c>
      <c r="AS75" s="359">
        <f>+ROUND(+SUM(AM75-AN75)-SUM(Q75-R75)-SUM(X75-Y75)-SUM(AE75-AF75),2)</f>
        <v>0</v>
      </c>
      <c r="AT75" s="360">
        <f>+ROUND(+SUM(AO75-AP75)-SUM(S75-T75)-SUM(Z75-AA75)-SUM(AG75-AH75),2)</f>
        <v>0</v>
      </c>
      <c r="AU75" s="43"/>
      <c r="AV75" s="2120">
        <f t="shared" si="36"/>
        <v>0</v>
      </c>
      <c r="AW75" s="119"/>
      <c r="AX75" s="2120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 t="shared" si="8"/>
        <v>2039</v>
      </c>
      <c r="O76" s="120">
        <v>1169365.75</v>
      </c>
      <c r="P76" s="9">
        <v>0</v>
      </c>
      <c r="Q76" s="325"/>
      <c r="R76" s="324"/>
      <c r="S76" s="27">
        <f t="shared" si="34"/>
        <v>1169365.75</v>
      </c>
      <c r="T76" s="30">
        <v>0</v>
      </c>
      <c r="U76" s="51"/>
      <c r="V76" s="541">
        <f>+'NF-KSF-TRIAL-BAL-2021'!O76+'RA-TRIAL-BAL-2021'!O76+'DES-TRIAL-BAL-2021'!O76+'DMP-TRIAL-BAL-2021'!O76</f>
        <v>0</v>
      </c>
      <c r="W76" s="529">
        <f>+'NF-KSF-TRIAL-BAL-2021'!P76+'RA-TRIAL-BAL-2021'!P76+'DES-TRIAL-BAL-2021'!P76+'DMP-TRIAL-BAL-2021'!P76</f>
        <v>0</v>
      </c>
      <c r="X76" s="528">
        <f>+'NF-KSF-TRIAL-BAL-2021'!Q76+'RA-TRIAL-BAL-2021'!Q76+'DES-TRIAL-BAL-2021'!Q76+'DMP-TRIAL-BAL-2021'!Q76</f>
        <v>0</v>
      </c>
      <c r="Y76" s="529">
        <f>+'NF-KSF-TRIAL-BAL-2021'!R76+'RA-TRIAL-BAL-2021'!R76+'DES-TRIAL-BAL-2021'!R76+'DMP-TRIAL-BAL-2021'!R76</f>
        <v>0</v>
      </c>
      <c r="Z76" s="528">
        <f>+'NF-KSF-TRIAL-BAL-2021'!S76+'RA-TRIAL-BAL-2021'!S76+'DES-TRIAL-BAL-2021'!S76+'DMP-TRIAL-BAL-2021'!S76</f>
        <v>0</v>
      </c>
      <c r="AA76" s="347">
        <f>+'NF-KSF-TRIAL-BAL-2021'!T76+'RA-TRIAL-BAL-2021'!T76+'DES-TRIAL-BAL-2021'!T76+'DMP-TRIAL-BAL-2021'!T76</f>
        <v>0</v>
      </c>
      <c r="AB76" s="51"/>
      <c r="AC76" s="120"/>
      <c r="AD76" s="9">
        <v>0</v>
      </c>
      <c r="AE76" s="122"/>
      <c r="AF76" s="324"/>
      <c r="AG76" s="27">
        <f t="shared" si="37"/>
        <v>0</v>
      </c>
      <c r="AH76" s="30">
        <v>0</v>
      </c>
      <c r="AI76" s="51"/>
      <c r="AJ76" s="1497">
        <f t="shared" si="32"/>
        <v>2039</v>
      </c>
      <c r="AK76" s="951">
        <f t="shared" si="38"/>
        <v>1169365.75</v>
      </c>
      <c r="AL76" s="9">
        <v>0</v>
      </c>
      <c r="AM76" s="326">
        <f t="shared" si="39"/>
        <v>0</v>
      </c>
      <c r="AN76" s="970">
        <f t="shared" si="39"/>
        <v>0</v>
      </c>
      <c r="AO76" s="326">
        <f t="shared" si="35"/>
        <v>1169365.75</v>
      </c>
      <c r="AP76" s="331">
        <v>0</v>
      </c>
      <c r="AQ76" s="43"/>
      <c r="AR76" s="358">
        <f t="shared" si="40"/>
        <v>0</v>
      </c>
      <c r="AS76" s="359">
        <f t="shared" si="41"/>
        <v>0</v>
      </c>
      <c r="AT76" s="360">
        <f t="shared" si="42"/>
        <v>0</v>
      </c>
      <c r="AU76" s="43"/>
      <c r="AV76" s="2120">
        <f t="shared" si="36"/>
        <v>0</v>
      </c>
      <c r="AW76" s="119"/>
      <c r="AX76" s="2120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8"/>
        <v>2041</v>
      </c>
      <c r="O77" s="120">
        <v>291225.96999999997</v>
      </c>
      <c r="P77" s="9">
        <v>0</v>
      </c>
      <c r="Q77" s="325">
        <v>124333.65</v>
      </c>
      <c r="R77" s="324">
        <v>2304.5</v>
      </c>
      <c r="S77" s="27">
        <f t="shared" si="34"/>
        <v>413255.12</v>
      </c>
      <c r="T77" s="30">
        <v>0</v>
      </c>
      <c r="U77" s="51"/>
      <c r="V77" s="541">
        <f>+'NF-KSF-TRIAL-BAL-2021'!O77+'RA-TRIAL-BAL-2021'!O77+'DES-TRIAL-BAL-2021'!O77+'DMP-TRIAL-BAL-2021'!O77</f>
        <v>58091.99</v>
      </c>
      <c r="W77" s="529">
        <f>+'NF-KSF-TRIAL-BAL-2021'!P77+'RA-TRIAL-BAL-2021'!P77+'DES-TRIAL-BAL-2021'!P77+'DMP-TRIAL-BAL-2021'!P77</f>
        <v>0</v>
      </c>
      <c r="X77" s="528">
        <f>+'NF-KSF-TRIAL-BAL-2021'!Q77+'RA-TRIAL-BAL-2021'!Q77+'DES-TRIAL-BAL-2021'!Q77+'DMP-TRIAL-BAL-2021'!Q77</f>
        <v>13833.2</v>
      </c>
      <c r="Y77" s="529">
        <f>+'NF-KSF-TRIAL-BAL-2021'!R77+'RA-TRIAL-BAL-2021'!R77+'DES-TRIAL-BAL-2021'!R77+'DMP-TRIAL-BAL-2021'!R77</f>
        <v>19099.2</v>
      </c>
      <c r="Z77" s="528">
        <f>+'NF-KSF-TRIAL-BAL-2021'!S77+'RA-TRIAL-BAL-2021'!S77+'DES-TRIAL-BAL-2021'!S77+'DMP-TRIAL-BAL-2021'!S77</f>
        <v>52825.990000000005</v>
      </c>
      <c r="AA77" s="347">
        <f>+'NF-KSF-TRIAL-BAL-2021'!T77+'RA-TRIAL-BAL-2021'!T77+'DES-TRIAL-BAL-2021'!T77+'DMP-TRIAL-BAL-2021'!T77</f>
        <v>0</v>
      </c>
      <c r="AB77" s="51"/>
      <c r="AC77" s="120"/>
      <c r="AD77" s="9">
        <v>0</v>
      </c>
      <c r="AE77" s="122"/>
      <c r="AF77" s="324"/>
      <c r="AG77" s="27">
        <f t="shared" si="37"/>
        <v>0</v>
      </c>
      <c r="AH77" s="30">
        <v>0</v>
      </c>
      <c r="AI77" s="51"/>
      <c r="AJ77" s="1497">
        <f t="shared" si="32"/>
        <v>2041</v>
      </c>
      <c r="AK77" s="951">
        <f t="shared" si="38"/>
        <v>349317.96</v>
      </c>
      <c r="AL77" s="9">
        <v>0</v>
      </c>
      <c r="AM77" s="326">
        <f t="shared" si="39"/>
        <v>138166.85</v>
      </c>
      <c r="AN77" s="970">
        <f t="shared" si="39"/>
        <v>21403.7</v>
      </c>
      <c r="AO77" s="326">
        <f t="shared" si="35"/>
        <v>466081.11</v>
      </c>
      <c r="AP77" s="331">
        <v>0</v>
      </c>
      <c r="AQ77" s="43"/>
      <c r="AR77" s="358">
        <f t="shared" si="40"/>
        <v>0</v>
      </c>
      <c r="AS77" s="359">
        <f t="shared" si="41"/>
        <v>0</v>
      </c>
      <c r="AT77" s="360">
        <f t="shared" si="42"/>
        <v>0</v>
      </c>
      <c r="AU77" s="43"/>
      <c r="AV77" s="2120">
        <f t="shared" si="36"/>
        <v>0</v>
      </c>
      <c r="AW77" s="119"/>
      <c r="AX77" s="2120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ref="N78:N101" si="44">+A78</f>
        <v>2049</v>
      </c>
      <c r="O78" s="120">
        <v>7072442.2699999996</v>
      </c>
      <c r="P78" s="9">
        <v>0</v>
      </c>
      <c r="Q78" s="325">
        <v>25231.81</v>
      </c>
      <c r="R78" s="324">
        <v>7160</v>
      </c>
      <c r="S78" s="27">
        <f t="shared" si="34"/>
        <v>7090514.0799999991</v>
      </c>
      <c r="T78" s="30">
        <v>0</v>
      </c>
      <c r="U78" s="51"/>
      <c r="V78" s="541">
        <f>+'NF-KSF-TRIAL-BAL-2021'!O78+'RA-TRIAL-BAL-2021'!O78+'DES-TRIAL-BAL-2021'!O78+'DMP-TRIAL-BAL-2021'!O78</f>
        <v>106273.44</v>
      </c>
      <c r="W78" s="529">
        <f>+'NF-KSF-TRIAL-BAL-2021'!P78+'RA-TRIAL-BAL-2021'!P78+'DES-TRIAL-BAL-2021'!P78+'DMP-TRIAL-BAL-2021'!P78</f>
        <v>0</v>
      </c>
      <c r="X78" s="528">
        <f>+'NF-KSF-TRIAL-BAL-2021'!Q78+'RA-TRIAL-BAL-2021'!Q78+'DES-TRIAL-BAL-2021'!Q78+'DMP-TRIAL-BAL-2021'!Q78</f>
        <v>0</v>
      </c>
      <c r="Y78" s="529">
        <f>+'NF-KSF-TRIAL-BAL-2021'!R78+'RA-TRIAL-BAL-2021'!R78+'DES-TRIAL-BAL-2021'!R78+'DMP-TRIAL-BAL-2021'!R78</f>
        <v>0</v>
      </c>
      <c r="Z78" s="528">
        <f>+'NF-KSF-TRIAL-BAL-2021'!S78+'RA-TRIAL-BAL-2021'!S78+'DES-TRIAL-BAL-2021'!S78+'DMP-TRIAL-BAL-2021'!S78</f>
        <v>106273.44</v>
      </c>
      <c r="AA78" s="347">
        <f>+'NF-KSF-TRIAL-BAL-2021'!T78+'RA-TRIAL-BAL-2021'!T78+'DES-TRIAL-BAL-2021'!T78+'DMP-TRIAL-BAL-2021'!T78</f>
        <v>0</v>
      </c>
      <c r="AB78" s="51"/>
      <c r="AC78" s="120"/>
      <c r="AD78" s="9">
        <v>0</v>
      </c>
      <c r="AE78" s="122"/>
      <c r="AF78" s="324"/>
      <c r="AG78" s="27">
        <f t="shared" si="37"/>
        <v>0</v>
      </c>
      <c r="AH78" s="30">
        <v>0</v>
      </c>
      <c r="AI78" s="51"/>
      <c r="AJ78" s="1497">
        <f t="shared" si="32"/>
        <v>2049</v>
      </c>
      <c r="AK78" s="951">
        <f t="shared" si="38"/>
        <v>7178715.71</v>
      </c>
      <c r="AL78" s="9">
        <v>0</v>
      </c>
      <c r="AM78" s="326">
        <f t="shared" si="39"/>
        <v>25231.81</v>
      </c>
      <c r="AN78" s="970">
        <f t="shared" si="39"/>
        <v>7160</v>
      </c>
      <c r="AO78" s="326">
        <f t="shared" si="35"/>
        <v>7196787.5199999996</v>
      </c>
      <c r="AP78" s="331">
        <v>0</v>
      </c>
      <c r="AQ78" s="43"/>
      <c r="AR78" s="358">
        <f t="shared" si="40"/>
        <v>0</v>
      </c>
      <c r="AS78" s="359">
        <f t="shared" si="41"/>
        <v>0</v>
      </c>
      <c r="AT78" s="360">
        <f t="shared" si="42"/>
        <v>0</v>
      </c>
      <c r="AU78" s="43"/>
      <c r="AV78" s="2120">
        <f t="shared" si="36"/>
        <v>0</v>
      </c>
      <c r="AW78" s="119"/>
      <c r="AX78" s="2120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44"/>
        <v>2051</v>
      </c>
      <c r="O79" s="120">
        <v>175147.8</v>
      </c>
      <c r="P79" s="9">
        <v>0</v>
      </c>
      <c r="Q79" s="325"/>
      <c r="R79" s="324"/>
      <c r="S79" s="27">
        <f t="shared" si="34"/>
        <v>175147.8</v>
      </c>
      <c r="T79" s="30">
        <v>0</v>
      </c>
      <c r="U79" s="51"/>
      <c r="V79" s="541">
        <f>+'NF-KSF-TRIAL-BAL-2021'!O79+'RA-TRIAL-BAL-2021'!O79+'DES-TRIAL-BAL-2021'!O79+'DMP-TRIAL-BAL-2021'!O79</f>
        <v>0</v>
      </c>
      <c r="W79" s="529">
        <f>+'NF-KSF-TRIAL-BAL-2021'!P79+'RA-TRIAL-BAL-2021'!P79+'DES-TRIAL-BAL-2021'!P79+'DMP-TRIAL-BAL-2021'!P79</f>
        <v>0</v>
      </c>
      <c r="X79" s="528">
        <f>+'NF-KSF-TRIAL-BAL-2021'!Q79+'RA-TRIAL-BAL-2021'!Q79+'DES-TRIAL-BAL-2021'!Q79+'DMP-TRIAL-BAL-2021'!Q79</f>
        <v>0</v>
      </c>
      <c r="Y79" s="529">
        <f>+'NF-KSF-TRIAL-BAL-2021'!R79+'RA-TRIAL-BAL-2021'!R79+'DES-TRIAL-BAL-2021'!R79+'DMP-TRIAL-BAL-2021'!R79</f>
        <v>0</v>
      </c>
      <c r="Z79" s="528">
        <f>+'NF-KSF-TRIAL-BAL-2021'!S79+'RA-TRIAL-BAL-2021'!S79+'DES-TRIAL-BAL-2021'!S79+'DMP-TRIAL-BAL-2021'!S79</f>
        <v>0</v>
      </c>
      <c r="AA79" s="347">
        <f>+'NF-KSF-TRIAL-BAL-2021'!T79+'RA-TRIAL-BAL-2021'!T79+'DES-TRIAL-BAL-2021'!T79+'DMP-TRIAL-BAL-2021'!T79</f>
        <v>0</v>
      </c>
      <c r="AB79" s="51"/>
      <c r="AC79" s="120"/>
      <c r="AD79" s="9">
        <v>0</v>
      </c>
      <c r="AE79" s="122"/>
      <c r="AF79" s="324"/>
      <c r="AG79" s="27">
        <f t="shared" si="37"/>
        <v>0</v>
      </c>
      <c r="AH79" s="30">
        <v>0</v>
      </c>
      <c r="AI79" s="51"/>
      <c r="AJ79" s="1497">
        <f t="shared" si="32"/>
        <v>2051</v>
      </c>
      <c r="AK79" s="951">
        <f t="shared" si="38"/>
        <v>175147.8</v>
      </c>
      <c r="AL79" s="9">
        <v>0</v>
      </c>
      <c r="AM79" s="326">
        <f t="shared" si="39"/>
        <v>0</v>
      </c>
      <c r="AN79" s="970">
        <f t="shared" si="39"/>
        <v>0</v>
      </c>
      <c r="AO79" s="326">
        <f t="shared" si="35"/>
        <v>175147.8</v>
      </c>
      <c r="AP79" s="331">
        <v>0</v>
      </c>
      <c r="AQ79" s="43"/>
      <c r="AR79" s="358">
        <f t="shared" si="40"/>
        <v>0</v>
      </c>
      <c r="AS79" s="359">
        <f t="shared" si="41"/>
        <v>0</v>
      </c>
      <c r="AT79" s="360">
        <f t="shared" si="42"/>
        <v>0</v>
      </c>
      <c r="AU79" s="43"/>
      <c r="AV79" s="2120">
        <f t="shared" si="36"/>
        <v>0</v>
      </c>
      <c r="AW79" s="119"/>
      <c r="AX79" s="2120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 t="shared" si="44"/>
        <v>2059</v>
      </c>
      <c r="O80" s="120">
        <v>995736.67</v>
      </c>
      <c r="P80" s="9">
        <v>0</v>
      </c>
      <c r="Q80" s="325">
        <v>152960</v>
      </c>
      <c r="R80" s="324">
        <v>65460</v>
      </c>
      <c r="S80" s="27">
        <f t="shared" si="34"/>
        <v>1083236.67</v>
      </c>
      <c r="T80" s="30">
        <v>0</v>
      </c>
      <c r="U80" s="51"/>
      <c r="V80" s="541">
        <f>+'NF-KSF-TRIAL-BAL-2021'!O80+'RA-TRIAL-BAL-2021'!O80+'DES-TRIAL-BAL-2021'!O80+'DMP-TRIAL-BAL-2021'!O80</f>
        <v>0</v>
      </c>
      <c r="W80" s="529">
        <f>+'NF-KSF-TRIAL-BAL-2021'!P80+'RA-TRIAL-BAL-2021'!P80+'DES-TRIAL-BAL-2021'!P80+'DMP-TRIAL-BAL-2021'!P80</f>
        <v>0</v>
      </c>
      <c r="X80" s="528">
        <f>+'NF-KSF-TRIAL-BAL-2021'!Q80+'RA-TRIAL-BAL-2021'!Q80+'DES-TRIAL-BAL-2021'!Q80+'DMP-TRIAL-BAL-2021'!Q80</f>
        <v>0</v>
      </c>
      <c r="Y80" s="529">
        <f>+'NF-KSF-TRIAL-BAL-2021'!R80+'RA-TRIAL-BAL-2021'!R80+'DES-TRIAL-BAL-2021'!R80+'DMP-TRIAL-BAL-2021'!R80</f>
        <v>0</v>
      </c>
      <c r="Z80" s="528">
        <f>+'NF-KSF-TRIAL-BAL-2021'!S80+'RA-TRIAL-BAL-2021'!S80+'DES-TRIAL-BAL-2021'!S80+'DMP-TRIAL-BAL-2021'!S80</f>
        <v>0</v>
      </c>
      <c r="AA80" s="347">
        <f>+'NF-KSF-TRIAL-BAL-2021'!T80+'RA-TRIAL-BAL-2021'!T80+'DES-TRIAL-BAL-2021'!T80+'DMP-TRIAL-BAL-2021'!T80</f>
        <v>0</v>
      </c>
      <c r="AB80" s="51"/>
      <c r="AC80" s="120"/>
      <c r="AD80" s="9">
        <v>0</v>
      </c>
      <c r="AE80" s="122"/>
      <c r="AF80" s="324"/>
      <c r="AG80" s="27">
        <f t="shared" si="37"/>
        <v>0</v>
      </c>
      <c r="AH80" s="30">
        <v>0</v>
      </c>
      <c r="AI80" s="51"/>
      <c r="AJ80" s="1497">
        <f t="shared" ref="AJ80:AJ145" si="45">+N80</f>
        <v>2059</v>
      </c>
      <c r="AK80" s="951">
        <f t="shared" si="38"/>
        <v>995736.67</v>
      </c>
      <c r="AL80" s="9">
        <v>0</v>
      </c>
      <c r="AM80" s="326">
        <f t="shared" si="39"/>
        <v>152960</v>
      </c>
      <c r="AN80" s="970">
        <f t="shared" si="39"/>
        <v>65460</v>
      </c>
      <c r="AO80" s="326">
        <f t="shared" si="35"/>
        <v>1083236.67</v>
      </c>
      <c r="AP80" s="331">
        <v>0</v>
      </c>
      <c r="AQ80" s="43"/>
      <c r="AR80" s="358">
        <f t="shared" si="40"/>
        <v>0</v>
      </c>
      <c r="AS80" s="359">
        <f t="shared" si="41"/>
        <v>0</v>
      </c>
      <c r="AT80" s="360">
        <f t="shared" si="42"/>
        <v>0</v>
      </c>
      <c r="AU80" s="43"/>
      <c r="AV80" s="2120">
        <f t="shared" si="36"/>
        <v>0</v>
      </c>
      <c r="AW80" s="119"/>
      <c r="AX80" s="2120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44"/>
        <v>2060</v>
      </c>
      <c r="O81" s="120">
        <v>201018.93</v>
      </c>
      <c r="P81" s="9">
        <v>0</v>
      </c>
      <c r="Q81" s="325">
        <v>4539</v>
      </c>
      <c r="R81" s="324"/>
      <c r="S81" s="27">
        <f t="shared" si="34"/>
        <v>205557.93</v>
      </c>
      <c r="T81" s="30">
        <v>0</v>
      </c>
      <c r="U81" s="51"/>
      <c r="V81" s="541">
        <f>+'NF-KSF-TRIAL-BAL-2021'!O81+'RA-TRIAL-BAL-2021'!O81+'DES-TRIAL-BAL-2021'!O81+'DMP-TRIAL-BAL-2021'!O81</f>
        <v>1308</v>
      </c>
      <c r="W81" s="529">
        <f>+'NF-KSF-TRIAL-BAL-2021'!P81+'RA-TRIAL-BAL-2021'!P81+'DES-TRIAL-BAL-2021'!P81+'DMP-TRIAL-BAL-2021'!P81</f>
        <v>0</v>
      </c>
      <c r="X81" s="528">
        <f>+'NF-KSF-TRIAL-BAL-2021'!Q81+'RA-TRIAL-BAL-2021'!Q81+'DES-TRIAL-BAL-2021'!Q81+'DMP-TRIAL-BAL-2021'!Q81</f>
        <v>0</v>
      </c>
      <c r="Y81" s="529">
        <f>+'NF-KSF-TRIAL-BAL-2021'!R81+'RA-TRIAL-BAL-2021'!R81+'DES-TRIAL-BAL-2021'!R81+'DMP-TRIAL-BAL-2021'!R81</f>
        <v>0</v>
      </c>
      <c r="Z81" s="528">
        <f>+'NF-KSF-TRIAL-BAL-2021'!S81+'RA-TRIAL-BAL-2021'!S81+'DES-TRIAL-BAL-2021'!S81+'DMP-TRIAL-BAL-2021'!S81</f>
        <v>1308</v>
      </c>
      <c r="AA81" s="347">
        <f>+'NF-KSF-TRIAL-BAL-2021'!T81+'RA-TRIAL-BAL-2021'!T81+'DES-TRIAL-BAL-2021'!T81+'DMP-TRIAL-BAL-2021'!T81</f>
        <v>0</v>
      </c>
      <c r="AB81" s="51"/>
      <c r="AC81" s="120"/>
      <c r="AD81" s="9">
        <v>0</v>
      </c>
      <c r="AE81" s="122"/>
      <c r="AF81" s="324"/>
      <c r="AG81" s="27">
        <f t="shared" si="37"/>
        <v>0</v>
      </c>
      <c r="AH81" s="30">
        <v>0</v>
      </c>
      <c r="AI81" s="51"/>
      <c r="AJ81" s="1497">
        <f t="shared" si="45"/>
        <v>2060</v>
      </c>
      <c r="AK81" s="951">
        <f t="shared" si="38"/>
        <v>202326.93</v>
      </c>
      <c r="AL81" s="9">
        <v>0</v>
      </c>
      <c r="AM81" s="326">
        <f t="shared" si="39"/>
        <v>4539</v>
      </c>
      <c r="AN81" s="970">
        <f t="shared" si="39"/>
        <v>0</v>
      </c>
      <c r="AO81" s="326">
        <f t="shared" si="35"/>
        <v>206865.93</v>
      </c>
      <c r="AP81" s="331">
        <v>0</v>
      </c>
      <c r="AQ81" s="43"/>
      <c r="AR81" s="358">
        <f t="shared" si="40"/>
        <v>0</v>
      </c>
      <c r="AS81" s="359">
        <f t="shared" si="41"/>
        <v>0</v>
      </c>
      <c r="AT81" s="360">
        <f t="shared" si="42"/>
        <v>0</v>
      </c>
      <c r="AU81" s="43"/>
      <c r="AV81" s="2120">
        <f t="shared" si="36"/>
        <v>0</v>
      </c>
      <c r="AW81" s="119"/>
      <c r="AX81" s="2120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 t="shared" si="44"/>
        <v>2071</v>
      </c>
      <c r="O82" s="120">
        <v>6600</v>
      </c>
      <c r="P82" s="9">
        <v>0</v>
      </c>
      <c r="Q82" s="325">
        <v>5040</v>
      </c>
      <c r="R82" s="324">
        <v>5040</v>
      </c>
      <c r="S82" s="27">
        <f t="shared" si="34"/>
        <v>6600</v>
      </c>
      <c r="T82" s="30">
        <v>0</v>
      </c>
      <c r="U82" s="51"/>
      <c r="V82" s="541">
        <f>+'NF-KSF-TRIAL-BAL-2021'!O82+'RA-TRIAL-BAL-2021'!O82+'DES-TRIAL-BAL-2021'!O82+'DMP-TRIAL-BAL-2021'!O82</f>
        <v>0</v>
      </c>
      <c r="W82" s="529">
        <f>+'NF-KSF-TRIAL-BAL-2021'!P82+'RA-TRIAL-BAL-2021'!P82+'DES-TRIAL-BAL-2021'!P82+'DMP-TRIAL-BAL-2021'!P82</f>
        <v>0</v>
      </c>
      <c r="X82" s="528">
        <f>+'NF-KSF-TRIAL-BAL-2021'!Q82+'RA-TRIAL-BAL-2021'!Q82+'DES-TRIAL-BAL-2021'!Q82+'DMP-TRIAL-BAL-2021'!Q82</f>
        <v>0</v>
      </c>
      <c r="Y82" s="529">
        <f>+'NF-KSF-TRIAL-BAL-2021'!R82+'RA-TRIAL-BAL-2021'!R82+'DES-TRIAL-BAL-2021'!R82+'DMP-TRIAL-BAL-2021'!R82</f>
        <v>0</v>
      </c>
      <c r="Z82" s="528">
        <f>+'NF-KSF-TRIAL-BAL-2021'!S82+'RA-TRIAL-BAL-2021'!S82+'DES-TRIAL-BAL-2021'!S82+'DMP-TRIAL-BAL-2021'!S82</f>
        <v>0</v>
      </c>
      <c r="AA82" s="347">
        <f>+'NF-KSF-TRIAL-BAL-2021'!T82+'RA-TRIAL-BAL-2021'!T82+'DES-TRIAL-BAL-2021'!T82+'DMP-TRIAL-BAL-2021'!T82</f>
        <v>0</v>
      </c>
      <c r="AB82" s="51"/>
      <c r="AC82" s="120">
        <v>20000</v>
      </c>
      <c r="AD82" s="9">
        <v>0</v>
      </c>
      <c r="AE82" s="122"/>
      <c r="AF82" s="324"/>
      <c r="AG82" s="27">
        <f t="shared" si="37"/>
        <v>20000</v>
      </c>
      <c r="AH82" s="30">
        <v>0</v>
      </c>
      <c r="AI82" s="51"/>
      <c r="AJ82" s="1497">
        <f t="shared" si="45"/>
        <v>2071</v>
      </c>
      <c r="AK82" s="951">
        <f t="shared" si="38"/>
        <v>26600</v>
      </c>
      <c r="AL82" s="9">
        <v>0</v>
      </c>
      <c r="AM82" s="326">
        <f t="shared" si="39"/>
        <v>5040</v>
      </c>
      <c r="AN82" s="970">
        <f t="shared" si="39"/>
        <v>5040</v>
      </c>
      <c r="AO82" s="326">
        <f t="shared" si="35"/>
        <v>26600</v>
      </c>
      <c r="AP82" s="331">
        <v>0</v>
      </c>
      <c r="AQ82" s="43"/>
      <c r="AR82" s="358">
        <f t="shared" si="40"/>
        <v>0</v>
      </c>
      <c r="AS82" s="359">
        <f t="shared" si="41"/>
        <v>0</v>
      </c>
      <c r="AT82" s="360">
        <f t="shared" si="42"/>
        <v>0</v>
      </c>
      <c r="AU82" s="43"/>
      <c r="AV82" s="2120">
        <f t="shared" si="36"/>
        <v>0</v>
      </c>
      <c r="AW82" s="119"/>
      <c r="AX82" s="2120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44"/>
        <v>2079</v>
      </c>
      <c r="O83" s="120"/>
      <c r="P83" s="9">
        <v>0</v>
      </c>
      <c r="Q83" s="325"/>
      <c r="R83" s="324"/>
      <c r="S83" s="27">
        <f t="shared" si="34"/>
        <v>0</v>
      </c>
      <c r="T83" s="30">
        <v>0</v>
      </c>
      <c r="U83" s="51"/>
      <c r="V83" s="541">
        <f>+'NF-KSF-TRIAL-BAL-2021'!O83+'RA-TRIAL-BAL-2021'!O83+'DES-TRIAL-BAL-2021'!O83+'DMP-TRIAL-BAL-2021'!O83</f>
        <v>0</v>
      </c>
      <c r="W83" s="529">
        <f>+'NF-KSF-TRIAL-BAL-2021'!P83+'RA-TRIAL-BAL-2021'!P83+'DES-TRIAL-BAL-2021'!P83+'DMP-TRIAL-BAL-2021'!P83</f>
        <v>0</v>
      </c>
      <c r="X83" s="528">
        <f>+'NF-KSF-TRIAL-BAL-2021'!Q83+'RA-TRIAL-BAL-2021'!Q83+'DES-TRIAL-BAL-2021'!Q83+'DMP-TRIAL-BAL-2021'!Q83</f>
        <v>0</v>
      </c>
      <c r="Y83" s="529">
        <f>+'NF-KSF-TRIAL-BAL-2021'!R83+'RA-TRIAL-BAL-2021'!R83+'DES-TRIAL-BAL-2021'!R83+'DMP-TRIAL-BAL-2021'!R83</f>
        <v>0</v>
      </c>
      <c r="Z83" s="528">
        <f>+'NF-KSF-TRIAL-BAL-2021'!S83+'RA-TRIAL-BAL-2021'!S83+'DES-TRIAL-BAL-2021'!S83+'DMP-TRIAL-BAL-2021'!S83</f>
        <v>0</v>
      </c>
      <c r="AA83" s="347">
        <f>+'NF-KSF-TRIAL-BAL-2021'!T83+'RA-TRIAL-BAL-2021'!T83+'DES-TRIAL-BAL-2021'!T83+'DMP-TRIAL-BAL-2021'!T83</f>
        <v>0</v>
      </c>
      <c r="AB83" s="51"/>
      <c r="AC83" s="120">
        <v>2799705.69</v>
      </c>
      <c r="AD83" s="9">
        <v>0</v>
      </c>
      <c r="AE83" s="122"/>
      <c r="AF83" s="324"/>
      <c r="AG83" s="27">
        <f t="shared" si="37"/>
        <v>2799705.69</v>
      </c>
      <c r="AH83" s="30">
        <v>0</v>
      </c>
      <c r="AI83" s="51"/>
      <c r="AJ83" s="1497">
        <f t="shared" si="45"/>
        <v>2079</v>
      </c>
      <c r="AK83" s="951">
        <f t="shared" si="38"/>
        <v>2799705.69</v>
      </c>
      <c r="AL83" s="9">
        <v>0</v>
      </c>
      <c r="AM83" s="326">
        <f t="shared" si="39"/>
        <v>0</v>
      </c>
      <c r="AN83" s="970">
        <f t="shared" si="39"/>
        <v>0</v>
      </c>
      <c r="AO83" s="326">
        <f t="shared" si="35"/>
        <v>2799705.69</v>
      </c>
      <c r="AP83" s="331">
        <v>0</v>
      </c>
      <c r="AQ83" s="43"/>
      <c r="AR83" s="358">
        <f t="shared" si="40"/>
        <v>0</v>
      </c>
      <c r="AS83" s="359">
        <f t="shared" si="41"/>
        <v>0</v>
      </c>
      <c r="AT83" s="360">
        <f t="shared" si="42"/>
        <v>0</v>
      </c>
      <c r="AU83" s="43"/>
      <c r="AV83" s="2120">
        <f t="shared" si="36"/>
        <v>0</v>
      </c>
      <c r="AW83" s="119"/>
      <c r="AX83" s="2120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25"/>
      <c r="R84" s="324"/>
      <c r="S84" s="27">
        <f t="shared" si="34"/>
        <v>0</v>
      </c>
      <c r="T84" s="30">
        <v>0</v>
      </c>
      <c r="U84" s="51"/>
      <c r="V84" s="541">
        <f>+'NF-KSF-TRIAL-BAL-2021'!O84+'RA-TRIAL-BAL-2021'!O84+'DES-TRIAL-BAL-2021'!O84+'DMP-TRIAL-BAL-2021'!O84</f>
        <v>0</v>
      </c>
      <c r="W84" s="529">
        <f>+'NF-KSF-TRIAL-BAL-2021'!P84+'RA-TRIAL-BAL-2021'!P84+'DES-TRIAL-BAL-2021'!P84+'DMP-TRIAL-BAL-2021'!P84</f>
        <v>0</v>
      </c>
      <c r="X84" s="528">
        <f>+'NF-KSF-TRIAL-BAL-2021'!Q84+'RA-TRIAL-BAL-2021'!Q84+'DES-TRIAL-BAL-2021'!Q84+'DMP-TRIAL-BAL-2021'!Q84</f>
        <v>0</v>
      </c>
      <c r="Y84" s="529">
        <f>+'NF-KSF-TRIAL-BAL-2021'!R84+'RA-TRIAL-BAL-2021'!R84+'DES-TRIAL-BAL-2021'!R84+'DMP-TRIAL-BAL-2021'!R84</f>
        <v>0</v>
      </c>
      <c r="Z84" s="528">
        <f>+'NF-KSF-TRIAL-BAL-2021'!S84+'RA-TRIAL-BAL-2021'!S84+'DES-TRIAL-BAL-2021'!S84+'DMP-TRIAL-BAL-2021'!S84</f>
        <v>0</v>
      </c>
      <c r="AA84" s="347">
        <f>+'NF-KSF-TRIAL-BAL-2021'!T84+'RA-TRIAL-BAL-2021'!T84+'DES-TRIAL-BAL-2021'!T84+'DMP-TRIAL-BAL-2021'!T84</f>
        <v>0</v>
      </c>
      <c r="AB84" s="51"/>
      <c r="AC84" s="120"/>
      <c r="AD84" s="9">
        <v>0</v>
      </c>
      <c r="AE84" s="122"/>
      <c r="AF84" s="324"/>
      <c r="AG84" s="27">
        <f t="shared" si="37"/>
        <v>0</v>
      </c>
      <c r="AH84" s="30">
        <v>0</v>
      </c>
      <c r="AI84" s="51"/>
      <c r="AJ84" s="1497">
        <f t="shared" si="45"/>
        <v>2091</v>
      </c>
      <c r="AK84" s="951">
        <f t="shared" si="38"/>
        <v>0</v>
      </c>
      <c r="AL84" s="9">
        <v>0</v>
      </c>
      <c r="AM84" s="326">
        <f t="shared" si="39"/>
        <v>0</v>
      </c>
      <c r="AN84" s="970">
        <f t="shared" si="39"/>
        <v>0</v>
      </c>
      <c r="AO84" s="326">
        <f t="shared" si="35"/>
        <v>0</v>
      </c>
      <c r="AP84" s="331">
        <v>0</v>
      </c>
      <c r="AQ84" s="43"/>
      <c r="AR84" s="358">
        <f t="shared" si="40"/>
        <v>0</v>
      </c>
      <c r="AS84" s="359">
        <f t="shared" si="41"/>
        <v>0</v>
      </c>
      <c r="AT84" s="360">
        <f t="shared" si="42"/>
        <v>0</v>
      </c>
      <c r="AU84" s="43"/>
      <c r="AV84" s="2120">
        <f t="shared" si="36"/>
        <v>0</v>
      </c>
      <c r="AW84" s="119"/>
      <c r="AX84" s="2120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44"/>
        <v>2099</v>
      </c>
      <c r="O85" s="120">
        <v>3370</v>
      </c>
      <c r="P85" s="9">
        <v>0</v>
      </c>
      <c r="Q85" s="325"/>
      <c r="R85" s="324"/>
      <c r="S85" s="27">
        <f t="shared" si="34"/>
        <v>3370</v>
      </c>
      <c r="T85" s="30">
        <v>0</v>
      </c>
      <c r="U85" s="51"/>
      <c r="V85" s="541">
        <f>+'NF-KSF-TRIAL-BAL-2021'!O85+'RA-TRIAL-BAL-2021'!O85+'DES-TRIAL-BAL-2021'!O85+'DMP-TRIAL-BAL-2021'!O85</f>
        <v>0</v>
      </c>
      <c r="W85" s="529">
        <f>+'NF-KSF-TRIAL-BAL-2021'!P85+'RA-TRIAL-BAL-2021'!P85+'DES-TRIAL-BAL-2021'!P85+'DMP-TRIAL-BAL-2021'!P85</f>
        <v>0</v>
      </c>
      <c r="X85" s="528">
        <f>+'NF-KSF-TRIAL-BAL-2021'!Q85+'RA-TRIAL-BAL-2021'!Q85+'DES-TRIAL-BAL-2021'!Q85+'DMP-TRIAL-BAL-2021'!Q85</f>
        <v>0</v>
      </c>
      <c r="Y85" s="529">
        <f>+'NF-KSF-TRIAL-BAL-2021'!R85+'RA-TRIAL-BAL-2021'!R85+'DES-TRIAL-BAL-2021'!R85+'DMP-TRIAL-BAL-2021'!R85</f>
        <v>0</v>
      </c>
      <c r="Z85" s="528">
        <f>+'NF-KSF-TRIAL-BAL-2021'!S85+'RA-TRIAL-BAL-2021'!S85+'DES-TRIAL-BAL-2021'!S85+'DMP-TRIAL-BAL-2021'!S85</f>
        <v>0</v>
      </c>
      <c r="AA85" s="347">
        <f>+'NF-KSF-TRIAL-BAL-2021'!T85+'RA-TRIAL-BAL-2021'!T85+'DES-TRIAL-BAL-2021'!T85+'DMP-TRIAL-BAL-2021'!T85</f>
        <v>0</v>
      </c>
      <c r="AB85" s="51"/>
      <c r="AC85" s="120"/>
      <c r="AD85" s="9">
        <v>0</v>
      </c>
      <c r="AE85" s="122"/>
      <c r="AF85" s="324"/>
      <c r="AG85" s="27">
        <f t="shared" si="37"/>
        <v>0</v>
      </c>
      <c r="AH85" s="30">
        <v>0</v>
      </c>
      <c r="AI85" s="51"/>
      <c r="AJ85" s="1497">
        <f t="shared" si="45"/>
        <v>2099</v>
      </c>
      <c r="AK85" s="951">
        <f t="shared" si="38"/>
        <v>3370</v>
      </c>
      <c r="AL85" s="9">
        <v>0</v>
      </c>
      <c r="AM85" s="326">
        <f t="shared" si="39"/>
        <v>0</v>
      </c>
      <c r="AN85" s="970">
        <f t="shared" si="39"/>
        <v>0</v>
      </c>
      <c r="AO85" s="326">
        <f t="shared" si="35"/>
        <v>3370</v>
      </c>
      <c r="AP85" s="331">
        <v>0</v>
      </c>
      <c r="AQ85" s="43"/>
      <c r="AR85" s="358">
        <f t="shared" si="40"/>
        <v>0</v>
      </c>
      <c r="AS85" s="359">
        <f t="shared" si="41"/>
        <v>0</v>
      </c>
      <c r="AT85" s="360">
        <f t="shared" si="42"/>
        <v>0</v>
      </c>
      <c r="AU85" s="43"/>
      <c r="AV85" s="2120">
        <f t="shared" si="36"/>
        <v>0</v>
      </c>
      <c r="AW85" s="119"/>
      <c r="AX85" s="2120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si="44"/>
        <v>2101</v>
      </c>
      <c r="O86" s="120">
        <v>95034.59</v>
      </c>
      <c r="P86" s="9">
        <v>0</v>
      </c>
      <c r="Q86" s="325"/>
      <c r="R86" s="324"/>
      <c r="S86" s="27">
        <f t="shared" si="34"/>
        <v>95034.59</v>
      </c>
      <c r="T86" s="30">
        <v>0</v>
      </c>
      <c r="U86" s="51"/>
      <c r="V86" s="541">
        <f>+'NF-KSF-TRIAL-BAL-2021'!O86+'RA-TRIAL-BAL-2021'!O86+'DES-TRIAL-BAL-2021'!O86+'DMP-TRIAL-BAL-2021'!O86</f>
        <v>0</v>
      </c>
      <c r="W86" s="529">
        <f>+'NF-KSF-TRIAL-BAL-2021'!P86+'RA-TRIAL-BAL-2021'!P86+'DES-TRIAL-BAL-2021'!P86+'DMP-TRIAL-BAL-2021'!P86</f>
        <v>0</v>
      </c>
      <c r="X86" s="528">
        <f>+'NF-KSF-TRIAL-BAL-2021'!Q86+'RA-TRIAL-BAL-2021'!Q86+'DES-TRIAL-BAL-2021'!Q86+'DMP-TRIAL-BAL-2021'!Q86</f>
        <v>0</v>
      </c>
      <c r="Y86" s="529">
        <f>+'NF-KSF-TRIAL-BAL-2021'!R86+'RA-TRIAL-BAL-2021'!R86+'DES-TRIAL-BAL-2021'!R86+'DMP-TRIAL-BAL-2021'!R86</f>
        <v>0</v>
      </c>
      <c r="Z86" s="528">
        <f>+'NF-KSF-TRIAL-BAL-2021'!S86+'RA-TRIAL-BAL-2021'!S86+'DES-TRIAL-BAL-2021'!S86+'DMP-TRIAL-BAL-2021'!S86</f>
        <v>0</v>
      </c>
      <c r="AA86" s="347">
        <f>+'NF-KSF-TRIAL-BAL-2021'!T86+'RA-TRIAL-BAL-2021'!T86+'DES-TRIAL-BAL-2021'!T86+'DMP-TRIAL-BAL-2021'!T86</f>
        <v>0</v>
      </c>
      <c r="AB86" s="51"/>
      <c r="AC86" s="120"/>
      <c r="AD86" s="9">
        <v>0</v>
      </c>
      <c r="AE86" s="122"/>
      <c r="AF86" s="324"/>
      <c r="AG86" s="27">
        <f t="shared" si="37"/>
        <v>0</v>
      </c>
      <c r="AH86" s="30">
        <v>0</v>
      </c>
      <c r="AI86" s="51"/>
      <c r="AJ86" s="1497">
        <f t="shared" si="45"/>
        <v>2101</v>
      </c>
      <c r="AK86" s="951">
        <f t="shared" si="38"/>
        <v>95034.59</v>
      </c>
      <c r="AL86" s="9">
        <v>0</v>
      </c>
      <c r="AM86" s="326">
        <f t="shared" si="39"/>
        <v>0</v>
      </c>
      <c r="AN86" s="970">
        <f t="shared" si="39"/>
        <v>0</v>
      </c>
      <c r="AO86" s="326">
        <f t="shared" si="35"/>
        <v>95034.59</v>
      </c>
      <c r="AP86" s="331">
        <v>0</v>
      </c>
      <c r="AQ86" s="43"/>
      <c r="AR86" s="358">
        <f t="shared" si="40"/>
        <v>0</v>
      </c>
      <c r="AS86" s="359">
        <f t="shared" si="41"/>
        <v>0</v>
      </c>
      <c r="AT86" s="360">
        <f t="shared" si="42"/>
        <v>0</v>
      </c>
      <c r="AU86" s="43"/>
      <c r="AV86" s="2120">
        <f t="shared" si="36"/>
        <v>0</v>
      </c>
      <c r="AW86" s="119"/>
      <c r="AX86" s="2120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25"/>
      <c r="R87" s="324"/>
      <c r="S87" s="27">
        <f t="shared" si="34"/>
        <v>0</v>
      </c>
      <c r="T87" s="30">
        <v>0</v>
      </c>
      <c r="U87" s="51"/>
      <c r="V87" s="541">
        <f>+'NF-KSF-TRIAL-BAL-2021'!O87+'RA-TRIAL-BAL-2021'!O87+'DES-TRIAL-BAL-2021'!O87+'DMP-TRIAL-BAL-2021'!O87</f>
        <v>0</v>
      </c>
      <c r="W87" s="529">
        <f>+'NF-KSF-TRIAL-BAL-2021'!P87+'RA-TRIAL-BAL-2021'!P87+'DES-TRIAL-BAL-2021'!P87+'DMP-TRIAL-BAL-2021'!P87</f>
        <v>0</v>
      </c>
      <c r="X87" s="528">
        <f>+'NF-KSF-TRIAL-BAL-2021'!Q87+'RA-TRIAL-BAL-2021'!Q87+'DES-TRIAL-BAL-2021'!Q87+'DMP-TRIAL-BAL-2021'!Q87</f>
        <v>0</v>
      </c>
      <c r="Y87" s="529">
        <f>+'NF-KSF-TRIAL-BAL-2021'!R87+'RA-TRIAL-BAL-2021'!R87+'DES-TRIAL-BAL-2021'!R87+'DMP-TRIAL-BAL-2021'!R87</f>
        <v>0</v>
      </c>
      <c r="Z87" s="528">
        <f>+'NF-KSF-TRIAL-BAL-2021'!S87+'RA-TRIAL-BAL-2021'!S87+'DES-TRIAL-BAL-2021'!S87+'DMP-TRIAL-BAL-2021'!S87</f>
        <v>0</v>
      </c>
      <c r="AA87" s="347">
        <f>+'NF-KSF-TRIAL-BAL-2021'!T87+'RA-TRIAL-BAL-2021'!T87+'DES-TRIAL-BAL-2021'!T87+'DMP-TRIAL-BAL-2021'!T87</f>
        <v>0</v>
      </c>
      <c r="AB87" s="51"/>
      <c r="AC87" s="120"/>
      <c r="AD87" s="9">
        <v>0</v>
      </c>
      <c r="AE87" s="122"/>
      <c r="AF87" s="324"/>
      <c r="AG87" s="27">
        <f t="shared" si="37"/>
        <v>0</v>
      </c>
      <c r="AH87" s="30">
        <v>0</v>
      </c>
      <c r="AI87" s="51"/>
      <c r="AJ87" s="1497">
        <f t="shared" si="45"/>
        <v>2102</v>
      </c>
      <c r="AK87" s="951">
        <f t="shared" si="38"/>
        <v>0</v>
      </c>
      <c r="AL87" s="9">
        <v>0</v>
      </c>
      <c r="AM87" s="326">
        <f t="shared" si="39"/>
        <v>0</v>
      </c>
      <c r="AN87" s="970">
        <f t="shared" si="39"/>
        <v>0</v>
      </c>
      <c r="AO87" s="326">
        <f t="shared" si="35"/>
        <v>0</v>
      </c>
      <c r="AP87" s="331">
        <v>0</v>
      </c>
      <c r="AQ87" s="43"/>
      <c r="AR87" s="358">
        <f t="shared" si="40"/>
        <v>0</v>
      </c>
      <c r="AS87" s="359">
        <f t="shared" si="41"/>
        <v>0</v>
      </c>
      <c r="AT87" s="360">
        <f t="shared" si="42"/>
        <v>0</v>
      </c>
      <c r="AU87" s="43"/>
      <c r="AV87" s="2120">
        <f t="shared" si="36"/>
        <v>0</v>
      </c>
      <c r="AW87" s="119"/>
      <c r="AX87" s="2120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>+A88</f>
        <v>2107</v>
      </c>
      <c r="O88" s="120"/>
      <c r="P88" s="9">
        <v>0</v>
      </c>
      <c r="Q88" s="325"/>
      <c r="R88" s="324"/>
      <c r="S88" s="27">
        <f t="shared" si="34"/>
        <v>0</v>
      </c>
      <c r="T88" s="30">
        <v>0</v>
      </c>
      <c r="U88" s="51"/>
      <c r="V88" s="541">
        <f>+'NF-KSF-TRIAL-BAL-2021'!O88+'RA-TRIAL-BAL-2021'!O88+'DES-TRIAL-BAL-2021'!O88+'DMP-TRIAL-BAL-2021'!O88</f>
        <v>0</v>
      </c>
      <c r="W88" s="529">
        <f>+'NF-KSF-TRIAL-BAL-2021'!P88+'RA-TRIAL-BAL-2021'!P88+'DES-TRIAL-BAL-2021'!P88+'DMP-TRIAL-BAL-2021'!P88</f>
        <v>0</v>
      </c>
      <c r="X88" s="528">
        <f>+'NF-KSF-TRIAL-BAL-2021'!Q88+'RA-TRIAL-BAL-2021'!Q88+'DES-TRIAL-BAL-2021'!Q88+'DMP-TRIAL-BAL-2021'!Q88</f>
        <v>0</v>
      </c>
      <c r="Y88" s="529">
        <f>+'NF-KSF-TRIAL-BAL-2021'!R88+'RA-TRIAL-BAL-2021'!R88+'DES-TRIAL-BAL-2021'!R88+'DMP-TRIAL-BAL-2021'!R88</f>
        <v>0</v>
      </c>
      <c r="Z88" s="528">
        <f>+'NF-KSF-TRIAL-BAL-2021'!S88+'RA-TRIAL-BAL-2021'!S88+'DES-TRIAL-BAL-2021'!S88+'DMP-TRIAL-BAL-2021'!S88</f>
        <v>0</v>
      </c>
      <c r="AA88" s="347">
        <f>+'NF-KSF-TRIAL-BAL-2021'!T88+'RA-TRIAL-BAL-2021'!T88+'DES-TRIAL-BAL-2021'!T88+'DMP-TRIAL-BAL-2021'!T88</f>
        <v>0</v>
      </c>
      <c r="AB88" s="51"/>
      <c r="AC88" s="120"/>
      <c r="AD88" s="9">
        <v>0</v>
      </c>
      <c r="AE88" s="122"/>
      <c r="AF88" s="324"/>
      <c r="AG88" s="27">
        <f t="shared" si="37"/>
        <v>0</v>
      </c>
      <c r="AH88" s="30">
        <v>0</v>
      </c>
      <c r="AI88" s="51"/>
      <c r="AJ88" s="1497">
        <f>+N88</f>
        <v>2107</v>
      </c>
      <c r="AK88" s="951">
        <f>+ROUND(+O88+V88+AC88,2)</f>
        <v>0</v>
      </c>
      <c r="AL88" s="9">
        <v>0</v>
      </c>
      <c r="AM88" s="326">
        <f>+ROUND(+Q88+X88+AE88,2)</f>
        <v>0</v>
      </c>
      <c r="AN88" s="970">
        <f>+ROUND(+R88+Y88+AF88,2)</f>
        <v>0</v>
      </c>
      <c r="AO88" s="326">
        <f t="shared" si="35"/>
        <v>0</v>
      </c>
      <c r="AP88" s="331">
        <v>0</v>
      </c>
      <c r="AQ88" s="43"/>
      <c r="AR88" s="358">
        <f>+ROUND(+SUM(AK88-AL88)-SUM(O88-P88)-SUM(V88-W88)-SUM(AC88-AD88),2)</f>
        <v>0</v>
      </c>
      <c r="AS88" s="359">
        <f>+ROUND(+SUM(AM88-AN88)-SUM(Q88-R88)-SUM(X88-Y88)-SUM(AE88-AF88),2)</f>
        <v>0</v>
      </c>
      <c r="AT88" s="360">
        <f>+ROUND(+SUM(AO88-AP88)-SUM(S88-T88)-SUM(Z88-AA88)-SUM(AG88-AH88),2)</f>
        <v>0</v>
      </c>
      <c r="AU88" s="43"/>
      <c r="AV88" s="2120">
        <f t="shared" si="36"/>
        <v>0</v>
      </c>
      <c r="AW88" s="119"/>
      <c r="AX88" s="2120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44"/>
        <v>2109</v>
      </c>
      <c r="O89" s="120">
        <v>128985.52</v>
      </c>
      <c r="P89" s="9">
        <v>0</v>
      </c>
      <c r="Q89" s="325">
        <v>6968</v>
      </c>
      <c r="R89" s="324"/>
      <c r="S89" s="27">
        <f t="shared" si="34"/>
        <v>135953.52000000002</v>
      </c>
      <c r="T89" s="30">
        <v>0</v>
      </c>
      <c r="U89" s="51"/>
      <c r="V89" s="541">
        <f>+'NF-KSF-TRIAL-BAL-2021'!O89+'RA-TRIAL-BAL-2021'!O89+'DES-TRIAL-BAL-2021'!O89+'DMP-TRIAL-BAL-2021'!O89</f>
        <v>6968</v>
      </c>
      <c r="W89" s="529">
        <f>+'NF-KSF-TRIAL-BAL-2021'!P89+'RA-TRIAL-BAL-2021'!P89+'DES-TRIAL-BAL-2021'!P89+'DMP-TRIAL-BAL-2021'!P89</f>
        <v>0</v>
      </c>
      <c r="X89" s="528">
        <f>+'NF-KSF-TRIAL-BAL-2021'!Q89+'RA-TRIAL-BAL-2021'!Q89+'DES-TRIAL-BAL-2021'!Q89+'DMP-TRIAL-BAL-2021'!Q89</f>
        <v>0</v>
      </c>
      <c r="Y89" s="529">
        <f>+'NF-KSF-TRIAL-BAL-2021'!R89+'RA-TRIAL-BAL-2021'!R89+'DES-TRIAL-BAL-2021'!R89+'DMP-TRIAL-BAL-2021'!R89</f>
        <v>6968</v>
      </c>
      <c r="Z89" s="528">
        <f>+'NF-KSF-TRIAL-BAL-2021'!S89+'RA-TRIAL-BAL-2021'!S89+'DES-TRIAL-BAL-2021'!S89+'DMP-TRIAL-BAL-2021'!S89</f>
        <v>0</v>
      </c>
      <c r="AA89" s="347">
        <f>+'NF-KSF-TRIAL-BAL-2021'!T89+'RA-TRIAL-BAL-2021'!T89+'DES-TRIAL-BAL-2021'!T89+'DMP-TRIAL-BAL-2021'!T89</f>
        <v>0</v>
      </c>
      <c r="AB89" s="51"/>
      <c r="AC89" s="120"/>
      <c r="AD89" s="9">
        <v>0</v>
      </c>
      <c r="AE89" s="122"/>
      <c r="AF89" s="324"/>
      <c r="AG89" s="27">
        <f t="shared" si="37"/>
        <v>0</v>
      </c>
      <c r="AH89" s="30">
        <v>0</v>
      </c>
      <c r="AI89" s="51"/>
      <c r="AJ89" s="1497">
        <f t="shared" si="45"/>
        <v>2109</v>
      </c>
      <c r="AK89" s="951">
        <f t="shared" si="38"/>
        <v>135953.51999999999</v>
      </c>
      <c r="AL89" s="9">
        <v>0</v>
      </c>
      <c r="AM89" s="326">
        <f t="shared" si="39"/>
        <v>6968</v>
      </c>
      <c r="AN89" s="970">
        <f t="shared" si="39"/>
        <v>6968</v>
      </c>
      <c r="AO89" s="326">
        <f t="shared" si="35"/>
        <v>135953.52000000002</v>
      </c>
      <c r="AP89" s="331">
        <v>0</v>
      </c>
      <c r="AQ89" s="43"/>
      <c r="AR89" s="358">
        <f t="shared" si="40"/>
        <v>0</v>
      </c>
      <c r="AS89" s="359">
        <f t="shared" si="41"/>
        <v>0</v>
      </c>
      <c r="AT89" s="360">
        <f t="shared" si="42"/>
        <v>0</v>
      </c>
      <c r="AU89" s="43"/>
      <c r="AV89" s="2120">
        <f t="shared" si="36"/>
        <v>0</v>
      </c>
      <c r="AW89" s="119"/>
      <c r="AX89" s="2120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 t="s">
        <v>265</v>
      </c>
      <c r="N90" s="113">
        <f t="shared" si="44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541">
        <f>+'NF-KSF-TRIAL-BAL-2021'!O90+'RA-TRIAL-BAL-2021'!O90+'DES-TRIAL-BAL-2021'!O90+'DMP-TRIAL-BAL-2021'!O90</f>
        <v>0</v>
      </c>
      <c r="W90" s="529">
        <f>+'NF-KSF-TRIAL-BAL-2021'!P90+'RA-TRIAL-BAL-2021'!P90+'DES-TRIAL-BAL-2021'!P90+'DMP-TRIAL-BAL-2021'!P90</f>
        <v>0</v>
      </c>
      <c r="X90" s="587">
        <f>+'NF-KSF-TRIAL-BAL-2021'!Q90+'RA-TRIAL-BAL-2021'!Q90+'DES-TRIAL-BAL-2021'!Q90+'DMP-TRIAL-BAL-2021'!Q90</f>
        <v>0</v>
      </c>
      <c r="Y90" s="586">
        <f>+'NF-KSF-TRIAL-BAL-2021'!R90+'RA-TRIAL-BAL-2021'!R90+'DES-TRIAL-BAL-2021'!R90+'DMP-TRIAL-BAL-2021'!R90</f>
        <v>0</v>
      </c>
      <c r="Z90" s="587">
        <f>+'NF-KSF-TRIAL-BAL-2021'!S90+'RA-TRIAL-BAL-2021'!S90+'DES-TRIAL-BAL-2021'!S90+'DMP-TRIAL-BAL-2021'!S90</f>
        <v>0</v>
      </c>
      <c r="AA90" s="588">
        <f>+'NF-KSF-TRIAL-BAL-2021'!T90+'RA-TRIAL-BAL-2021'!T90+'DES-TRIAL-BAL-2021'!T90+'DMP-TRIAL-BAL-2021'!T90</f>
        <v>0</v>
      </c>
      <c r="AB90" s="51"/>
      <c r="AC90" s="581">
        <v>30727061.109999999</v>
      </c>
      <c r="AD90" s="582">
        <v>0</v>
      </c>
      <c r="AE90" s="122">
        <v>7734</v>
      </c>
      <c r="AF90" s="324"/>
      <c r="AG90" s="583">
        <f t="shared" si="37"/>
        <v>30734795.109999999</v>
      </c>
      <c r="AH90" s="584">
        <v>0</v>
      </c>
      <c r="AI90" s="51"/>
      <c r="AJ90" s="1497">
        <f t="shared" si="45"/>
        <v>2201</v>
      </c>
      <c r="AK90" s="951">
        <f t="shared" si="38"/>
        <v>30727061.109999999</v>
      </c>
      <c r="AL90" s="9">
        <v>0</v>
      </c>
      <c r="AM90" s="326">
        <f t="shared" ref="AM90:AN93" si="46">+ROUND(+Q90+X90+AE90,2)</f>
        <v>7734</v>
      </c>
      <c r="AN90" s="970">
        <f t="shared" si="46"/>
        <v>0</v>
      </c>
      <c r="AO90" s="326">
        <f t="shared" si="35"/>
        <v>30734795.109999999</v>
      </c>
      <c r="AP90" s="331">
        <v>0</v>
      </c>
      <c r="AQ90" s="43"/>
      <c r="AR90" s="358">
        <f t="shared" si="40"/>
        <v>0</v>
      </c>
      <c r="AS90" s="359">
        <f t="shared" si="41"/>
        <v>0</v>
      </c>
      <c r="AT90" s="360">
        <f t="shared" si="42"/>
        <v>0</v>
      </c>
      <c r="AU90" s="43"/>
      <c r="AV90" s="2125">
        <f>+IF(OR(O90&lt;&gt;0,P90&lt;&gt;0,Q90&lt;&gt;0,R90&lt;&gt;0,S90&lt;&gt;0,T90&lt;&gt;0),+IF(ABS(O90+Q90)-ABS(P90+R90)&lt;&gt;0,ABS(O90+Q90)-ABS(P90+R90),1),0)</f>
        <v>0</v>
      </c>
      <c r="AW90" s="119"/>
      <c r="AX90" s="2120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 t="s">
        <v>265</v>
      </c>
      <c r="N91" s="113">
        <f t="shared" si="44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541">
        <f>+'NF-KSF-TRIAL-BAL-2021'!O91+'RA-TRIAL-BAL-2021'!O91+'DES-TRIAL-BAL-2021'!O91+'DMP-TRIAL-BAL-2021'!O91</f>
        <v>0</v>
      </c>
      <c r="W91" s="529">
        <f>+'NF-KSF-TRIAL-BAL-2021'!P91+'RA-TRIAL-BAL-2021'!P91+'DES-TRIAL-BAL-2021'!P91+'DMP-TRIAL-BAL-2021'!P91</f>
        <v>0</v>
      </c>
      <c r="X91" s="587">
        <f>+'NF-KSF-TRIAL-BAL-2021'!Q91+'RA-TRIAL-BAL-2021'!Q91+'DES-TRIAL-BAL-2021'!Q91+'DMP-TRIAL-BAL-2021'!Q91</f>
        <v>0</v>
      </c>
      <c r="Y91" s="586">
        <f>+'NF-KSF-TRIAL-BAL-2021'!R91+'RA-TRIAL-BAL-2021'!R91+'DES-TRIAL-BAL-2021'!R91+'DMP-TRIAL-BAL-2021'!R91</f>
        <v>0</v>
      </c>
      <c r="Z91" s="587">
        <f>+'NF-KSF-TRIAL-BAL-2021'!S91+'RA-TRIAL-BAL-2021'!S91+'DES-TRIAL-BAL-2021'!S91+'DMP-TRIAL-BAL-2021'!S91</f>
        <v>0</v>
      </c>
      <c r="AA91" s="588">
        <f>+'NF-KSF-TRIAL-BAL-2021'!T91+'RA-TRIAL-BAL-2021'!T91+'DES-TRIAL-BAL-2021'!T91+'DMP-TRIAL-BAL-2021'!T91</f>
        <v>0</v>
      </c>
      <c r="AB91" s="51"/>
      <c r="AC91" s="581">
        <v>30993767.010000002</v>
      </c>
      <c r="AD91" s="582">
        <v>0</v>
      </c>
      <c r="AE91" s="325">
        <v>907063.11</v>
      </c>
      <c r="AF91" s="324">
        <v>6400</v>
      </c>
      <c r="AG91" s="583">
        <f t="shared" si="37"/>
        <v>31894430.120000001</v>
      </c>
      <c r="AH91" s="584">
        <v>0</v>
      </c>
      <c r="AI91" s="51"/>
      <c r="AJ91" s="1497">
        <f t="shared" si="45"/>
        <v>2202</v>
      </c>
      <c r="AK91" s="951">
        <f t="shared" si="38"/>
        <v>30993767.010000002</v>
      </c>
      <c r="AL91" s="9">
        <v>0</v>
      </c>
      <c r="AM91" s="326">
        <f t="shared" si="46"/>
        <v>907063.11</v>
      </c>
      <c r="AN91" s="970">
        <f t="shared" si="46"/>
        <v>6400</v>
      </c>
      <c r="AO91" s="326">
        <f t="shared" si="35"/>
        <v>31894430.120000001</v>
      </c>
      <c r="AP91" s="331">
        <v>0</v>
      </c>
      <c r="AQ91" s="43"/>
      <c r="AR91" s="358">
        <f t="shared" si="40"/>
        <v>0</v>
      </c>
      <c r="AS91" s="359">
        <f t="shared" si="41"/>
        <v>0</v>
      </c>
      <c r="AT91" s="360">
        <f t="shared" si="42"/>
        <v>0</v>
      </c>
      <c r="AU91" s="43"/>
      <c r="AV91" s="2125">
        <f>+IF(OR(O91&lt;&gt;0,P91&lt;&gt;0,Q91&lt;&gt;0,R91&lt;&gt;0,S91&lt;&gt;0,T91&lt;&gt;0),+IF(ABS(O91+Q91)-ABS(P91+R91)&lt;&gt;0,ABS(O91+Q91)-ABS(P91+R91),1),0)</f>
        <v>0</v>
      </c>
      <c r="AW91" s="119"/>
      <c r="AX91" s="2120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 t="s">
        <v>265</v>
      </c>
      <c r="N92" s="113">
        <f t="shared" si="44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541">
        <f>+'NF-KSF-TRIAL-BAL-2021'!O92+'RA-TRIAL-BAL-2021'!O92+'DES-TRIAL-BAL-2021'!O92+'DMP-TRIAL-BAL-2021'!O92</f>
        <v>0</v>
      </c>
      <c r="W92" s="529">
        <f>+'NF-KSF-TRIAL-BAL-2021'!P92+'RA-TRIAL-BAL-2021'!P92+'DES-TRIAL-BAL-2021'!P92+'DMP-TRIAL-BAL-2021'!P92</f>
        <v>0</v>
      </c>
      <c r="X92" s="587">
        <f>+'NF-KSF-TRIAL-BAL-2021'!Q92+'RA-TRIAL-BAL-2021'!Q92+'DES-TRIAL-BAL-2021'!Q92+'DMP-TRIAL-BAL-2021'!Q92</f>
        <v>0</v>
      </c>
      <c r="Y92" s="586">
        <f>+'NF-KSF-TRIAL-BAL-2021'!R92+'RA-TRIAL-BAL-2021'!R92+'DES-TRIAL-BAL-2021'!R92+'DMP-TRIAL-BAL-2021'!R92</f>
        <v>0</v>
      </c>
      <c r="Z92" s="587">
        <f>+'NF-KSF-TRIAL-BAL-2021'!S92+'RA-TRIAL-BAL-2021'!S92+'DES-TRIAL-BAL-2021'!S92+'DMP-TRIAL-BAL-2021'!S92</f>
        <v>0</v>
      </c>
      <c r="AA92" s="588">
        <f>+'NF-KSF-TRIAL-BAL-2021'!T92+'RA-TRIAL-BAL-2021'!T92+'DES-TRIAL-BAL-2021'!T92+'DMP-TRIAL-BAL-2021'!T92</f>
        <v>0</v>
      </c>
      <c r="AB92" s="51"/>
      <c r="AC92" s="581"/>
      <c r="AD92" s="582">
        <v>0</v>
      </c>
      <c r="AE92" s="325"/>
      <c r="AF92" s="324"/>
      <c r="AG92" s="583">
        <f t="shared" si="37"/>
        <v>0</v>
      </c>
      <c r="AH92" s="584">
        <v>0</v>
      </c>
      <c r="AI92" s="51"/>
      <c r="AJ92" s="1497">
        <f>+N92</f>
        <v>2203</v>
      </c>
      <c r="AK92" s="951">
        <f>+ROUND(+O92+V92+AC92,2)</f>
        <v>0</v>
      </c>
      <c r="AL92" s="9">
        <v>0</v>
      </c>
      <c r="AM92" s="326">
        <f t="shared" si="46"/>
        <v>0</v>
      </c>
      <c r="AN92" s="970">
        <f t="shared" si="46"/>
        <v>0</v>
      </c>
      <c r="AO92" s="326">
        <f t="shared" si="35"/>
        <v>0</v>
      </c>
      <c r="AP92" s="331">
        <v>0</v>
      </c>
      <c r="AQ92" s="43"/>
      <c r="AR92" s="358">
        <f>+ROUND(+SUM(AK92-AL92)-SUM(O92-P92)-SUM(V92-W92)-SUM(AC92-AD92),2)</f>
        <v>0</v>
      </c>
      <c r="AS92" s="359">
        <f>+ROUND(+SUM(AM92-AN92)-SUM(Q92-R92)-SUM(X92-Y92)-SUM(AE92-AF92),2)</f>
        <v>0</v>
      </c>
      <c r="AT92" s="360">
        <f>+ROUND(+SUM(AO92-AP92)-SUM(S92-T92)-SUM(Z92-AA92)-SUM(AG92-AH92),2)</f>
        <v>0</v>
      </c>
      <c r="AU92" s="43"/>
      <c r="AV92" s="2125">
        <f>+IF(OR(O92&lt;&gt;0,P92&lt;&gt;0,Q92&lt;&gt;0,R92&lt;&gt;0,S92&lt;&gt;0,T92&lt;&gt;0),+IF(ABS(O92+Q92)-ABS(P92+R92)&lt;&gt;0,ABS(O92+Q92)-ABS(P92+R92),1),0)</f>
        <v>0</v>
      </c>
      <c r="AW92" s="119"/>
      <c r="AX92" s="2120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 t="s">
        <v>265</v>
      </c>
      <c r="N93" s="113">
        <f t="shared" si="44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541">
        <f>+'NF-KSF-TRIAL-BAL-2021'!O93+'RA-TRIAL-BAL-2021'!O93+'DES-TRIAL-BAL-2021'!O93+'DMP-TRIAL-BAL-2021'!O93</f>
        <v>0</v>
      </c>
      <c r="W93" s="529">
        <f>+'NF-KSF-TRIAL-BAL-2021'!P93+'RA-TRIAL-BAL-2021'!P93+'DES-TRIAL-BAL-2021'!P93+'DMP-TRIAL-BAL-2021'!P93</f>
        <v>0</v>
      </c>
      <c r="X93" s="587">
        <f>+'NF-KSF-TRIAL-BAL-2021'!Q93+'RA-TRIAL-BAL-2021'!Q93+'DES-TRIAL-BAL-2021'!Q93+'DMP-TRIAL-BAL-2021'!Q93</f>
        <v>0</v>
      </c>
      <c r="Y93" s="586">
        <f>+'NF-KSF-TRIAL-BAL-2021'!R93+'RA-TRIAL-BAL-2021'!R93+'DES-TRIAL-BAL-2021'!R93+'DMP-TRIAL-BAL-2021'!R93</f>
        <v>0</v>
      </c>
      <c r="Z93" s="587">
        <f>+'NF-KSF-TRIAL-BAL-2021'!S93+'RA-TRIAL-BAL-2021'!S93+'DES-TRIAL-BAL-2021'!S93+'DMP-TRIAL-BAL-2021'!S93</f>
        <v>0</v>
      </c>
      <c r="AA93" s="588">
        <f>+'NF-KSF-TRIAL-BAL-2021'!T93+'RA-TRIAL-BAL-2021'!T93+'DES-TRIAL-BAL-2021'!T93+'DMP-TRIAL-BAL-2021'!T93</f>
        <v>0</v>
      </c>
      <c r="AB93" s="51"/>
      <c r="AC93" s="581"/>
      <c r="AD93" s="582">
        <v>0</v>
      </c>
      <c r="AE93" s="122"/>
      <c r="AF93" s="324"/>
      <c r="AG93" s="583">
        <f t="shared" si="37"/>
        <v>0</v>
      </c>
      <c r="AH93" s="584">
        <v>0</v>
      </c>
      <c r="AI93" s="51"/>
      <c r="AJ93" s="1497">
        <f>+N93</f>
        <v>2204</v>
      </c>
      <c r="AK93" s="951">
        <f>+ROUND(+O93+V93+AC93,2)</f>
        <v>0</v>
      </c>
      <c r="AL93" s="9">
        <v>0</v>
      </c>
      <c r="AM93" s="326">
        <f t="shared" si="46"/>
        <v>0</v>
      </c>
      <c r="AN93" s="970">
        <f t="shared" si="46"/>
        <v>0</v>
      </c>
      <c r="AO93" s="326">
        <f t="shared" si="35"/>
        <v>0</v>
      </c>
      <c r="AP93" s="331">
        <v>0</v>
      </c>
      <c r="AQ93" s="43"/>
      <c r="AR93" s="358">
        <f>+ROUND(+SUM(AK93-AL93)-SUM(O93-P93)-SUM(V93-W93)-SUM(AC93-AD93),2)</f>
        <v>0</v>
      </c>
      <c r="AS93" s="359">
        <f>+ROUND(+SUM(AM93-AN93)-SUM(Q93-R93)-SUM(X93-Y93)-SUM(AE93-AF93),2)</f>
        <v>0</v>
      </c>
      <c r="AT93" s="360">
        <f>+ROUND(+SUM(AO93-AP93)-SUM(S93-T93)-SUM(Z93-AA93)-SUM(AG93-AH93),2)</f>
        <v>0</v>
      </c>
      <c r="AU93" s="43"/>
      <c r="AV93" s="2125">
        <f>+IF(OR(O93&lt;&gt;0,P93&lt;&gt;0,Q93&lt;&gt;0,R93&lt;&gt;0,S93&lt;&gt;0,T93&lt;&gt;0),+IF(ABS(O93+Q93)-ABS(P93+R93)&lt;&gt;0,ABS(O93+Q93)-ABS(P93+R93),1),0)</f>
        <v>0</v>
      </c>
      <c r="AW93" s="119"/>
      <c r="AX93" s="2120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 t="s">
        <v>265</v>
      </c>
      <c r="N94" s="1733">
        <f t="shared" si="44"/>
        <v>2412</v>
      </c>
      <c r="O94" s="575">
        <v>0</v>
      </c>
      <c r="P94" s="576"/>
      <c r="Q94" s="325"/>
      <c r="R94" s="324"/>
      <c r="S94" s="29">
        <v>0</v>
      </c>
      <c r="T94" s="28">
        <f t="shared" ref="T94:T101" si="47">+IF(ABS(+O94+Q94)&lt;=ABS(P94+R94),-O94+P94-Q94+R94,0)</f>
        <v>0</v>
      </c>
      <c r="U94" s="51"/>
      <c r="V94" s="541">
        <f>+'NF-KSF-TRIAL-BAL-2021'!O94+'RA-TRIAL-BAL-2021'!O94+'DES-TRIAL-BAL-2021'!O94+'DMP-TRIAL-BAL-2021'!O94</f>
        <v>0</v>
      </c>
      <c r="W94" s="529">
        <f>+'NF-KSF-TRIAL-BAL-2021'!P94+'RA-TRIAL-BAL-2021'!P94+'DES-TRIAL-BAL-2021'!P94+'DMP-TRIAL-BAL-2021'!P94</f>
        <v>0</v>
      </c>
      <c r="X94" s="587">
        <f>+'NF-KSF-TRIAL-BAL-2021'!Q94+'RA-TRIAL-BAL-2021'!Q94+'DES-TRIAL-BAL-2021'!Q94+'DMP-TRIAL-BAL-2021'!Q94</f>
        <v>0</v>
      </c>
      <c r="Y94" s="586">
        <f>+'NF-KSF-TRIAL-BAL-2021'!R94+'RA-TRIAL-BAL-2021'!R94+'DES-TRIAL-BAL-2021'!R94+'DMP-TRIAL-BAL-2021'!R94</f>
        <v>0</v>
      </c>
      <c r="Z94" s="587">
        <f>+'NF-KSF-TRIAL-BAL-2021'!S94+'RA-TRIAL-BAL-2021'!S94+'DES-TRIAL-BAL-2021'!S94+'DMP-TRIAL-BAL-2021'!S94</f>
        <v>0</v>
      </c>
      <c r="AA94" s="588">
        <f>+'NF-KSF-TRIAL-BAL-2021'!T94+'RA-TRIAL-BAL-2021'!T94+'DES-TRIAL-BAL-2021'!T94+'DMP-TRIAL-BAL-2021'!T94</f>
        <v>0</v>
      </c>
      <c r="AB94" s="51"/>
      <c r="AC94" s="575">
        <v>0</v>
      </c>
      <c r="AD94" s="582">
        <v>0</v>
      </c>
      <c r="AE94" s="579">
        <v>0</v>
      </c>
      <c r="AF94" s="582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33">
        <f t="shared" si="45"/>
        <v>2412</v>
      </c>
      <c r="AK94" s="575">
        <v>0</v>
      </c>
      <c r="AL94" s="2135">
        <f>+ROUND(+P94+W94+AD94,2)</f>
        <v>0</v>
      </c>
      <c r="AM94" s="837">
        <f>+ROUND(+Q94+X94+AE94,2)</f>
        <v>0</v>
      </c>
      <c r="AN94" s="2135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58">
        <f t="shared" si="40"/>
        <v>0</v>
      </c>
      <c r="AS94" s="359">
        <f t="shared" si="41"/>
        <v>0</v>
      </c>
      <c r="AT94" s="360">
        <f t="shared" si="42"/>
        <v>0</v>
      </c>
      <c r="AU94" s="43"/>
      <c r="AV94" s="2119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125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 t="s">
        <v>265</v>
      </c>
      <c r="N95" s="1733">
        <f t="shared" si="44"/>
        <v>2413</v>
      </c>
      <c r="O95" s="575">
        <v>0</v>
      </c>
      <c r="P95" s="576">
        <v>193893.05</v>
      </c>
      <c r="Q95" s="325"/>
      <c r="R95" s="324">
        <v>36637.769999999997</v>
      </c>
      <c r="S95" s="29">
        <v>0</v>
      </c>
      <c r="T95" s="28">
        <f t="shared" si="47"/>
        <v>230530.81999999998</v>
      </c>
      <c r="U95" s="51"/>
      <c r="V95" s="541">
        <f>+'NF-KSF-TRIAL-BAL-2021'!O95+'RA-TRIAL-BAL-2021'!O95+'DES-TRIAL-BAL-2021'!O95+'DMP-TRIAL-BAL-2021'!O95</f>
        <v>0</v>
      </c>
      <c r="W95" s="529">
        <f>+'NF-KSF-TRIAL-BAL-2021'!P95+'RA-TRIAL-BAL-2021'!P95+'DES-TRIAL-BAL-2021'!P95+'DMP-TRIAL-BAL-2021'!P95</f>
        <v>0</v>
      </c>
      <c r="X95" s="587">
        <f>+'NF-KSF-TRIAL-BAL-2021'!Q95+'RA-TRIAL-BAL-2021'!Q95+'DES-TRIAL-BAL-2021'!Q95+'DMP-TRIAL-BAL-2021'!Q95</f>
        <v>0</v>
      </c>
      <c r="Y95" s="586">
        <f>+'NF-KSF-TRIAL-BAL-2021'!R95+'RA-TRIAL-BAL-2021'!R95+'DES-TRIAL-BAL-2021'!R95+'DMP-TRIAL-BAL-2021'!R95</f>
        <v>0</v>
      </c>
      <c r="Z95" s="587">
        <f>+'NF-KSF-TRIAL-BAL-2021'!S95+'RA-TRIAL-BAL-2021'!S95+'DES-TRIAL-BAL-2021'!S95+'DMP-TRIAL-BAL-2021'!S95</f>
        <v>0</v>
      </c>
      <c r="AA95" s="588">
        <f>+'NF-KSF-TRIAL-BAL-2021'!T95+'RA-TRIAL-BAL-2021'!T95+'DES-TRIAL-BAL-2021'!T95+'DMP-TRIAL-BAL-2021'!T95</f>
        <v>0</v>
      </c>
      <c r="AB95" s="51"/>
      <c r="AC95" s="575">
        <v>0</v>
      </c>
      <c r="AD95" s="582">
        <v>0</v>
      </c>
      <c r="AE95" s="579">
        <v>0</v>
      </c>
      <c r="AF95" s="582">
        <v>0</v>
      </c>
      <c r="AG95" s="29">
        <v>0</v>
      </c>
      <c r="AH95" s="28">
        <f t="shared" si="48"/>
        <v>0</v>
      </c>
      <c r="AI95" s="51"/>
      <c r="AJ95" s="1733">
        <f t="shared" si="45"/>
        <v>2413</v>
      </c>
      <c r="AK95" s="575">
        <v>0</v>
      </c>
      <c r="AL95" s="2135">
        <f t="shared" ref="AL95:AL101" si="50">+ROUND(+P95+W95+AD95,2)</f>
        <v>193893.05</v>
      </c>
      <c r="AM95" s="837">
        <f t="shared" ref="AM95:AM101" si="51">+ROUND(+Q95+X95+AE95,2)</f>
        <v>0</v>
      </c>
      <c r="AN95" s="2135">
        <f t="shared" ref="AN95:AN101" si="52">+ROUND(+R95+Y95+AF95,2)</f>
        <v>36637.769999999997</v>
      </c>
      <c r="AO95" s="29">
        <v>0</v>
      </c>
      <c r="AP95" s="28">
        <f t="shared" si="49"/>
        <v>230530.81999999998</v>
      </c>
      <c r="AQ95" s="43"/>
      <c r="AR95" s="358">
        <f t="shared" si="40"/>
        <v>0</v>
      </c>
      <c r="AS95" s="359">
        <f t="shared" si="41"/>
        <v>0</v>
      </c>
      <c r="AT95" s="360">
        <f t="shared" si="42"/>
        <v>0</v>
      </c>
      <c r="AU95" s="43"/>
      <c r="AV95" s="2119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125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 t="s">
        <v>265</v>
      </c>
      <c r="N96" s="1733">
        <f t="shared" si="44"/>
        <v>2414</v>
      </c>
      <c r="O96" s="575">
        <v>0</v>
      </c>
      <c r="P96" s="576">
        <v>2112859.0299999998</v>
      </c>
      <c r="Q96" s="325">
        <v>563</v>
      </c>
      <c r="R96" s="324">
        <v>406999.76</v>
      </c>
      <c r="S96" s="29">
        <v>0</v>
      </c>
      <c r="T96" s="28">
        <f t="shared" si="47"/>
        <v>2519295.79</v>
      </c>
      <c r="U96" s="51"/>
      <c r="V96" s="541">
        <f>+'NF-KSF-TRIAL-BAL-2021'!O96+'RA-TRIAL-BAL-2021'!O96+'DES-TRIAL-BAL-2021'!O96+'DMP-TRIAL-BAL-2021'!O96</f>
        <v>0</v>
      </c>
      <c r="W96" s="529">
        <f>+'NF-KSF-TRIAL-BAL-2021'!P96+'RA-TRIAL-BAL-2021'!P96+'DES-TRIAL-BAL-2021'!P96+'DMP-TRIAL-BAL-2021'!P96</f>
        <v>0</v>
      </c>
      <c r="X96" s="587">
        <f>+'NF-KSF-TRIAL-BAL-2021'!Q96+'RA-TRIAL-BAL-2021'!Q96+'DES-TRIAL-BAL-2021'!Q96+'DMP-TRIAL-BAL-2021'!Q96</f>
        <v>0</v>
      </c>
      <c r="Y96" s="586">
        <f>+'NF-KSF-TRIAL-BAL-2021'!R96+'RA-TRIAL-BAL-2021'!R96+'DES-TRIAL-BAL-2021'!R96+'DMP-TRIAL-BAL-2021'!R96</f>
        <v>0</v>
      </c>
      <c r="Z96" s="587">
        <f>+'NF-KSF-TRIAL-BAL-2021'!S96+'RA-TRIAL-BAL-2021'!S96+'DES-TRIAL-BAL-2021'!S96+'DMP-TRIAL-BAL-2021'!S96</f>
        <v>0</v>
      </c>
      <c r="AA96" s="588">
        <f>+'NF-KSF-TRIAL-BAL-2021'!T96+'RA-TRIAL-BAL-2021'!T96+'DES-TRIAL-BAL-2021'!T96+'DMP-TRIAL-BAL-2021'!T96</f>
        <v>0</v>
      </c>
      <c r="AB96" s="51"/>
      <c r="AC96" s="575">
        <v>0</v>
      </c>
      <c r="AD96" s="582">
        <v>0</v>
      </c>
      <c r="AE96" s="579">
        <v>0</v>
      </c>
      <c r="AF96" s="582">
        <v>0</v>
      </c>
      <c r="AG96" s="29">
        <v>0</v>
      </c>
      <c r="AH96" s="28">
        <f t="shared" si="48"/>
        <v>0</v>
      </c>
      <c r="AI96" s="51"/>
      <c r="AJ96" s="1733">
        <f t="shared" si="45"/>
        <v>2414</v>
      </c>
      <c r="AK96" s="575">
        <v>0</v>
      </c>
      <c r="AL96" s="2135">
        <f t="shared" si="50"/>
        <v>2112859.0299999998</v>
      </c>
      <c r="AM96" s="837">
        <f t="shared" si="51"/>
        <v>563</v>
      </c>
      <c r="AN96" s="2135">
        <f t="shared" si="52"/>
        <v>406999.76</v>
      </c>
      <c r="AO96" s="29">
        <v>0</v>
      </c>
      <c r="AP96" s="28">
        <f t="shared" si="49"/>
        <v>2519295.79</v>
      </c>
      <c r="AQ96" s="43"/>
      <c r="AR96" s="358">
        <f t="shared" si="40"/>
        <v>0</v>
      </c>
      <c r="AS96" s="359">
        <f t="shared" si="41"/>
        <v>0</v>
      </c>
      <c r="AT96" s="360">
        <f t="shared" si="42"/>
        <v>0</v>
      </c>
      <c r="AU96" s="43"/>
      <c r="AV96" s="2119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125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 t="s">
        <v>265</v>
      </c>
      <c r="N97" s="1733">
        <f t="shared" si="44"/>
        <v>2415</v>
      </c>
      <c r="O97" s="575">
        <v>0</v>
      </c>
      <c r="P97" s="576">
        <v>351719.96</v>
      </c>
      <c r="Q97" s="325"/>
      <c r="R97" s="324">
        <v>75804.42</v>
      </c>
      <c r="S97" s="29">
        <v>0</v>
      </c>
      <c r="T97" s="28">
        <f t="shared" si="47"/>
        <v>427524.38</v>
      </c>
      <c r="U97" s="51"/>
      <c r="V97" s="541">
        <f>+'NF-KSF-TRIAL-BAL-2021'!O97+'RA-TRIAL-BAL-2021'!O97+'DES-TRIAL-BAL-2021'!O97+'DMP-TRIAL-BAL-2021'!O97</f>
        <v>0</v>
      </c>
      <c r="W97" s="529">
        <f>+'NF-KSF-TRIAL-BAL-2021'!P97+'RA-TRIAL-BAL-2021'!P97+'DES-TRIAL-BAL-2021'!P97+'DMP-TRIAL-BAL-2021'!P97</f>
        <v>0</v>
      </c>
      <c r="X97" s="587">
        <f>+'NF-KSF-TRIAL-BAL-2021'!Q97+'RA-TRIAL-BAL-2021'!Q97+'DES-TRIAL-BAL-2021'!Q97+'DMP-TRIAL-BAL-2021'!Q97</f>
        <v>0</v>
      </c>
      <c r="Y97" s="586">
        <f>+'NF-KSF-TRIAL-BAL-2021'!R97+'RA-TRIAL-BAL-2021'!R97+'DES-TRIAL-BAL-2021'!R97+'DMP-TRIAL-BAL-2021'!R97</f>
        <v>0</v>
      </c>
      <c r="Z97" s="587">
        <f>+'NF-KSF-TRIAL-BAL-2021'!S97+'RA-TRIAL-BAL-2021'!S97+'DES-TRIAL-BAL-2021'!S97+'DMP-TRIAL-BAL-2021'!S97</f>
        <v>0</v>
      </c>
      <c r="AA97" s="588">
        <f>+'NF-KSF-TRIAL-BAL-2021'!T97+'RA-TRIAL-BAL-2021'!T97+'DES-TRIAL-BAL-2021'!T97+'DMP-TRIAL-BAL-2021'!T97</f>
        <v>0</v>
      </c>
      <c r="AB97" s="51"/>
      <c r="AC97" s="575">
        <v>0</v>
      </c>
      <c r="AD97" s="582">
        <v>0</v>
      </c>
      <c r="AE97" s="579">
        <v>0</v>
      </c>
      <c r="AF97" s="582">
        <v>0</v>
      </c>
      <c r="AG97" s="29">
        <v>0</v>
      </c>
      <c r="AH97" s="28">
        <f t="shared" si="48"/>
        <v>0</v>
      </c>
      <c r="AI97" s="51"/>
      <c r="AJ97" s="1733">
        <f t="shared" si="45"/>
        <v>2415</v>
      </c>
      <c r="AK97" s="575">
        <v>0</v>
      </c>
      <c r="AL97" s="2135">
        <f t="shared" si="50"/>
        <v>351719.96</v>
      </c>
      <c r="AM97" s="837">
        <f t="shared" si="51"/>
        <v>0</v>
      </c>
      <c r="AN97" s="2135">
        <f t="shared" si="52"/>
        <v>75804.42</v>
      </c>
      <c r="AO97" s="29">
        <v>0</v>
      </c>
      <c r="AP97" s="28">
        <f t="shared" si="49"/>
        <v>427524.38</v>
      </c>
      <c r="AQ97" s="43"/>
      <c r="AR97" s="358">
        <f t="shared" si="40"/>
        <v>0</v>
      </c>
      <c r="AS97" s="359">
        <f t="shared" si="41"/>
        <v>0</v>
      </c>
      <c r="AT97" s="360">
        <f t="shared" si="42"/>
        <v>0</v>
      </c>
      <c r="AU97" s="43"/>
      <c r="AV97" s="2119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125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 t="s">
        <v>265</v>
      </c>
      <c r="N98" s="1733">
        <f t="shared" si="44"/>
        <v>2416</v>
      </c>
      <c r="O98" s="575">
        <v>0</v>
      </c>
      <c r="P98" s="576">
        <v>31828.57</v>
      </c>
      <c r="Q98" s="325"/>
      <c r="R98" s="324">
        <v>8534.8700000000008</v>
      </c>
      <c r="S98" s="29">
        <v>0</v>
      </c>
      <c r="T98" s="28">
        <f t="shared" si="47"/>
        <v>40363.440000000002</v>
      </c>
      <c r="U98" s="51"/>
      <c r="V98" s="541">
        <f>+'NF-KSF-TRIAL-BAL-2021'!O98+'RA-TRIAL-BAL-2021'!O98+'DES-TRIAL-BAL-2021'!O98+'DMP-TRIAL-BAL-2021'!O98</f>
        <v>0</v>
      </c>
      <c r="W98" s="529">
        <f>+'NF-KSF-TRIAL-BAL-2021'!P98+'RA-TRIAL-BAL-2021'!P98+'DES-TRIAL-BAL-2021'!P98+'DMP-TRIAL-BAL-2021'!P98</f>
        <v>0</v>
      </c>
      <c r="X98" s="587">
        <f>+'NF-KSF-TRIAL-BAL-2021'!Q98+'RA-TRIAL-BAL-2021'!Q98+'DES-TRIAL-BAL-2021'!Q98+'DMP-TRIAL-BAL-2021'!Q98</f>
        <v>0</v>
      </c>
      <c r="Y98" s="586">
        <f>+'NF-KSF-TRIAL-BAL-2021'!R98+'RA-TRIAL-BAL-2021'!R98+'DES-TRIAL-BAL-2021'!R98+'DMP-TRIAL-BAL-2021'!R98</f>
        <v>0</v>
      </c>
      <c r="Z98" s="587">
        <f>+'NF-KSF-TRIAL-BAL-2021'!S98+'RA-TRIAL-BAL-2021'!S98+'DES-TRIAL-BAL-2021'!S98+'DMP-TRIAL-BAL-2021'!S98</f>
        <v>0</v>
      </c>
      <c r="AA98" s="588">
        <f>+'NF-KSF-TRIAL-BAL-2021'!T98+'RA-TRIAL-BAL-2021'!T98+'DES-TRIAL-BAL-2021'!T98+'DMP-TRIAL-BAL-2021'!T98</f>
        <v>0</v>
      </c>
      <c r="AB98" s="51"/>
      <c r="AC98" s="575">
        <v>0</v>
      </c>
      <c r="AD98" s="582">
        <v>0</v>
      </c>
      <c r="AE98" s="579">
        <v>0</v>
      </c>
      <c r="AF98" s="582">
        <v>0</v>
      </c>
      <c r="AG98" s="29">
        <v>0</v>
      </c>
      <c r="AH98" s="28">
        <f t="shared" si="48"/>
        <v>0</v>
      </c>
      <c r="AI98" s="51"/>
      <c r="AJ98" s="1733">
        <f t="shared" si="45"/>
        <v>2416</v>
      </c>
      <c r="AK98" s="575">
        <v>0</v>
      </c>
      <c r="AL98" s="2135">
        <f t="shared" si="50"/>
        <v>31828.57</v>
      </c>
      <c r="AM98" s="837">
        <f t="shared" si="51"/>
        <v>0</v>
      </c>
      <c r="AN98" s="2135">
        <f t="shared" si="52"/>
        <v>8534.8700000000008</v>
      </c>
      <c r="AO98" s="29">
        <v>0</v>
      </c>
      <c r="AP98" s="28">
        <f t="shared" si="49"/>
        <v>40363.440000000002</v>
      </c>
      <c r="AQ98" s="43"/>
      <c r="AR98" s="358">
        <f t="shared" si="40"/>
        <v>0</v>
      </c>
      <c r="AS98" s="359">
        <f t="shared" si="41"/>
        <v>0</v>
      </c>
      <c r="AT98" s="360">
        <f t="shared" si="42"/>
        <v>0</v>
      </c>
      <c r="AU98" s="43"/>
      <c r="AV98" s="2119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125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 t="s">
        <v>265</v>
      </c>
      <c r="N99" s="1733">
        <f t="shared" si="44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47"/>
        <v>0</v>
      </c>
      <c r="U99" s="51"/>
      <c r="V99" s="585">
        <f>+'NF-KSF-TRIAL-BAL-2021'!O99+'RA-TRIAL-BAL-2021'!O99+'DES-TRIAL-BAL-2021'!O99+'DMP-TRIAL-BAL-2021'!O99</f>
        <v>0</v>
      </c>
      <c r="W99" s="586">
        <f>+'NF-KSF-TRIAL-BAL-2021'!P99+'RA-TRIAL-BAL-2021'!P99+'DES-TRIAL-BAL-2021'!P99+'DMP-TRIAL-BAL-2021'!P99</f>
        <v>0</v>
      </c>
      <c r="X99" s="587">
        <f>+'NF-KSF-TRIAL-BAL-2021'!Q99+'RA-TRIAL-BAL-2021'!Q99+'DES-TRIAL-BAL-2021'!Q99+'DMP-TRIAL-BAL-2021'!Q99</f>
        <v>0</v>
      </c>
      <c r="Y99" s="586">
        <f>+'NF-KSF-TRIAL-BAL-2021'!R99+'RA-TRIAL-BAL-2021'!R99+'DES-TRIAL-BAL-2021'!R99+'DMP-TRIAL-BAL-2021'!R99</f>
        <v>0</v>
      </c>
      <c r="Z99" s="587">
        <f>+'NF-KSF-TRIAL-BAL-2021'!S99+'RA-TRIAL-BAL-2021'!S99+'DES-TRIAL-BAL-2021'!S99+'DMP-TRIAL-BAL-2021'!S99</f>
        <v>0</v>
      </c>
      <c r="AA99" s="588">
        <f>+'NF-KSF-TRIAL-BAL-2021'!T99+'RA-TRIAL-BAL-2021'!T99+'DES-TRIAL-BAL-2021'!T99+'DMP-TRIAL-BAL-2021'!T99</f>
        <v>0</v>
      </c>
      <c r="AB99" s="51"/>
      <c r="AC99" s="8">
        <v>0</v>
      </c>
      <c r="AD99" s="121">
        <v>6315630.2400000002</v>
      </c>
      <c r="AE99" s="325"/>
      <c r="AF99" s="324">
        <v>1642835.96</v>
      </c>
      <c r="AG99" s="29">
        <v>0</v>
      </c>
      <c r="AH99" s="28">
        <f>+IF(ABS(+AC99+AE99)&lt;=ABS(AD99+AF99),-AC99+AD99-AE99+AF99,0)</f>
        <v>7958466.2000000002</v>
      </c>
      <c r="AI99" s="51"/>
      <c r="AJ99" s="1733">
        <f>+N99</f>
        <v>2417</v>
      </c>
      <c r="AK99" s="575">
        <v>0</v>
      </c>
      <c r="AL99" s="2135">
        <f t="shared" si="50"/>
        <v>6315630.2400000002</v>
      </c>
      <c r="AM99" s="837">
        <f t="shared" si="51"/>
        <v>0</v>
      </c>
      <c r="AN99" s="2135">
        <f t="shared" si="52"/>
        <v>1642835.96</v>
      </c>
      <c r="AO99" s="29">
        <v>0</v>
      </c>
      <c r="AP99" s="28">
        <f t="shared" si="49"/>
        <v>7958466.2000000002</v>
      </c>
      <c r="AQ99" s="43"/>
      <c r="AR99" s="358">
        <f>+ROUND(+SUM(AK99-AL99)-SUM(O99-P99)-SUM(V99-W99)-SUM(AC99-AD99),2)</f>
        <v>0</v>
      </c>
      <c r="AS99" s="359">
        <f>+ROUND(+SUM(AM99-AN99)-SUM(Q99-R99)-SUM(X99-Y99)-SUM(AE99-AF99),2)</f>
        <v>0</v>
      </c>
      <c r="AT99" s="360">
        <f>+ROUND(+SUM(AO99-AP99)-SUM(S99-T99)-SUM(Z99-AA99)-SUM(AG99-AH99),2)</f>
        <v>0</v>
      </c>
      <c r="AU99" s="43"/>
      <c r="AV99" s="2125">
        <f>+IF(OR(O99&lt;&gt;0,P99&lt;&gt;0,Q99&lt;&gt;0,R99&lt;&gt;0,S99&lt;&gt;0,T99&lt;&gt;0),+IF(ABS(O99+Q99)-ABS(P99+R99)&lt;&gt;0,ABS(O99+Q99)-ABS(P99+R99),1),0)</f>
        <v>0</v>
      </c>
      <c r="AW99" s="119"/>
      <c r="AX99" s="2119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 t="s">
        <v>265</v>
      </c>
      <c r="N100" s="1733">
        <f t="shared" si="44"/>
        <v>2419</v>
      </c>
      <c r="O100" s="575">
        <v>0</v>
      </c>
      <c r="P100" s="576">
        <v>584.48</v>
      </c>
      <c r="Q100" s="122"/>
      <c r="R100" s="121">
        <v>142.19999999999999</v>
      </c>
      <c r="S100" s="29">
        <v>0</v>
      </c>
      <c r="T100" s="28">
        <f t="shared" si="47"/>
        <v>726.68000000000006</v>
      </c>
      <c r="U100" s="51"/>
      <c r="V100" s="541">
        <f>+'NF-KSF-TRIAL-BAL-2021'!O100+'RA-TRIAL-BAL-2021'!O100+'DES-TRIAL-BAL-2021'!O100+'DMP-TRIAL-BAL-2021'!O100</f>
        <v>0</v>
      </c>
      <c r="W100" s="529">
        <f>+'NF-KSF-TRIAL-BAL-2021'!P100+'RA-TRIAL-BAL-2021'!P100+'DES-TRIAL-BAL-2021'!P100+'DMP-TRIAL-BAL-2021'!P100</f>
        <v>0</v>
      </c>
      <c r="X100" s="587">
        <f>+'NF-KSF-TRIAL-BAL-2021'!Q100+'RA-TRIAL-BAL-2021'!Q100+'DES-TRIAL-BAL-2021'!Q100+'DMP-TRIAL-BAL-2021'!Q100</f>
        <v>0</v>
      </c>
      <c r="Y100" s="586">
        <f>+'NF-KSF-TRIAL-BAL-2021'!R100+'RA-TRIAL-BAL-2021'!R100+'DES-TRIAL-BAL-2021'!R100+'DMP-TRIAL-BAL-2021'!R100</f>
        <v>0</v>
      </c>
      <c r="Z100" s="587">
        <f>+'NF-KSF-TRIAL-BAL-2021'!S100+'RA-TRIAL-BAL-2021'!S100+'DES-TRIAL-BAL-2021'!S100+'DMP-TRIAL-BAL-2021'!S100</f>
        <v>0</v>
      </c>
      <c r="AA100" s="588">
        <f>+'NF-KSF-TRIAL-BAL-2021'!T100+'RA-TRIAL-BAL-2021'!T100+'DES-TRIAL-BAL-2021'!T100+'DMP-TRIAL-BAL-2021'!T100</f>
        <v>0</v>
      </c>
      <c r="AB100" s="51"/>
      <c r="AC100" s="8">
        <v>0</v>
      </c>
      <c r="AD100" s="121"/>
      <c r="AE100" s="325"/>
      <c r="AF100" s="324"/>
      <c r="AG100" s="29">
        <v>0</v>
      </c>
      <c r="AH100" s="28">
        <f>+IF(ABS(+AC100+AE100)&lt;=ABS(AD100+AF100),-AC100+AD100-AE100+AF100,0)</f>
        <v>0</v>
      </c>
      <c r="AI100" s="51"/>
      <c r="AJ100" s="1733">
        <f t="shared" si="45"/>
        <v>2419</v>
      </c>
      <c r="AK100" s="575">
        <v>0</v>
      </c>
      <c r="AL100" s="2135">
        <f t="shared" si="50"/>
        <v>584.48</v>
      </c>
      <c r="AM100" s="837">
        <f t="shared" si="51"/>
        <v>0</v>
      </c>
      <c r="AN100" s="2135">
        <f t="shared" si="52"/>
        <v>142.19999999999999</v>
      </c>
      <c r="AO100" s="29">
        <v>0</v>
      </c>
      <c r="AP100" s="28">
        <f t="shared" si="49"/>
        <v>726.68000000000006</v>
      </c>
      <c r="AQ100" s="43"/>
      <c r="AR100" s="358">
        <f t="shared" si="40"/>
        <v>0</v>
      </c>
      <c r="AS100" s="359">
        <f t="shared" si="41"/>
        <v>0</v>
      </c>
      <c r="AT100" s="360">
        <f t="shared" si="42"/>
        <v>0</v>
      </c>
      <c r="AU100" s="43"/>
      <c r="AV100" s="2119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119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 t="s">
        <v>265</v>
      </c>
      <c r="N101" s="2134">
        <f t="shared" si="44"/>
        <v>2420</v>
      </c>
      <c r="O101" s="856">
        <v>0</v>
      </c>
      <c r="P101" s="597">
        <v>59194.25</v>
      </c>
      <c r="Q101" s="126"/>
      <c r="R101" s="127">
        <v>16892.7</v>
      </c>
      <c r="S101" s="382">
        <v>0</v>
      </c>
      <c r="T101" s="57">
        <f t="shared" si="47"/>
        <v>76086.95</v>
      </c>
      <c r="U101" s="51"/>
      <c r="V101" s="544">
        <f>+'NF-KSF-TRIAL-BAL-2021'!O101+'RA-TRIAL-BAL-2021'!O101+'DES-TRIAL-BAL-2021'!O101+'DMP-TRIAL-BAL-2021'!O101</f>
        <v>0</v>
      </c>
      <c r="W101" s="542">
        <f>+'NF-KSF-TRIAL-BAL-2021'!P101+'RA-TRIAL-BAL-2021'!P101+'DES-TRIAL-BAL-2021'!P101+'DMP-TRIAL-BAL-2021'!P101</f>
        <v>0</v>
      </c>
      <c r="X101" s="602">
        <f>+'NF-KSF-TRIAL-BAL-2021'!Q101+'RA-TRIAL-BAL-2021'!Q101+'DES-TRIAL-BAL-2021'!Q101+'DMP-TRIAL-BAL-2021'!Q101</f>
        <v>0</v>
      </c>
      <c r="Y101" s="601">
        <f>+'NF-KSF-TRIAL-BAL-2021'!R101+'RA-TRIAL-BAL-2021'!R101+'DES-TRIAL-BAL-2021'!R101+'DMP-TRIAL-BAL-2021'!R101</f>
        <v>0</v>
      </c>
      <c r="Z101" s="602">
        <f>+'NF-KSF-TRIAL-BAL-2021'!S101+'RA-TRIAL-BAL-2021'!S101+'DES-TRIAL-BAL-2021'!S101+'DMP-TRIAL-BAL-2021'!S101</f>
        <v>0</v>
      </c>
      <c r="AA101" s="603">
        <f>+'NF-KSF-TRIAL-BAL-2021'!T101+'RA-TRIAL-BAL-2021'!T101+'DES-TRIAL-BAL-2021'!T101+'DMP-TRIAL-BAL-2021'!T101</f>
        <v>0</v>
      </c>
      <c r="AB101" s="51"/>
      <c r="AC101" s="856">
        <v>0</v>
      </c>
      <c r="AD101" s="839">
        <v>0</v>
      </c>
      <c r="AE101" s="857">
        <v>0</v>
      </c>
      <c r="AF101" s="839">
        <v>0</v>
      </c>
      <c r="AG101" s="29">
        <v>0</v>
      </c>
      <c r="AH101" s="28">
        <f t="shared" si="48"/>
        <v>0</v>
      </c>
      <c r="AI101" s="51"/>
      <c r="AJ101" s="2134">
        <f t="shared" si="45"/>
        <v>2420</v>
      </c>
      <c r="AK101" s="575">
        <v>0</v>
      </c>
      <c r="AL101" s="2135">
        <f t="shared" si="50"/>
        <v>59194.25</v>
      </c>
      <c r="AM101" s="837">
        <f t="shared" si="51"/>
        <v>0</v>
      </c>
      <c r="AN101" s="2135">
        <f t="shared" si="52"/>
        <v>16892.7</v>
      </c>
      <c r="AO101" s="29">
        <v>0</v>
      </c>
      <c r="AP101" s="28">
        <f t="shared" si="49"/>
        <v>76086.95</v>
      </c>
      <c r="AQ101" s="43"/>
      <c r="AR101" s="389">
        <f t="shared" si="40"/>
        <v>0</v>
      </c>
      <c r="AS101" s="390">
        <f t="shared" si="41"/>
        <v>0</v>
      </c>
      <c r="AT101" s="391">
        <f t="shared" si="42"/>
        <v>0</v>
      </c>
      <c r="AU101" s="43"/>
      <c r="AV101" s="2119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125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 t="s">
        <v>265</v>
      </c>
      <c r="N102" s="383">
        <v>3</v>
      </c>
      <c r="O102" s="384"/>
      <c r="P102" s="385"/>
      <c r="Q102" s="386"/>
      <c r="R102" s="385"/>
      <c r="S102" s="386"/>
      <c r="T102" s="387"/>
      <c r="U102" s="51"/>
      <c r="V102" s="545"/>
      <c r="W102" s="533"/>
      <c r="X102" s="532"/>
      <c r="Y102" s="533"/>
      <c r="Z102" s="532"/>
      <c r="AA102" s="534"/>
      <c r="AB102" s="51"/>
      <c r="AC102" s="384"/>
      <c r="AD102" s="385"/>
      <c r="AE102" s="386"/>
      <c r="AF102" s="385"/>
      <c r="AG102" s="386"/>
      <c r="AH102" s="387"/>
      <c r="AI102" s="51"/>
      <c r="AJ102" s="388">
        <f t="shared" si="45"/>
        <v>3</v>
      </c>
      <c r="AK102" s="384"/>
      <c r="AL102" s="385"/>
      <c r="AM102" s="386"/>
      <c r="AN102" s="385"/>
      <c r="AO102" s="386"/>
      <c r="AP102" s="387"/>
      <c r="AQ102" s="43"/>
      <c r="AR102" s="392"/>
      <c r="AS102" s="393"/>
      <c r="AT102" s="394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23"/>
      <c r="P103" s="329">
        <v>0</v>
      </c>
      <c r="Q103" s="325"/>
      <c r="R103" s="324"/>
      <c r="S103" s="326">
        <f t="shared" ref="S103:S112" si="54">+IF(ABS(+O103+Q103)&gt;=ABS(P103+R103),+O103-P103+Q103-R103,0)</f>
        <v>0</v>
      </c>
      <c r="T103" s="331">
        <v>0</v>
      </c>
      <c r="U103" s="51"/>
      <c r="V103" s="543">
        <f>+'NF-KSF-TRIAL-BAL-2021'!O103+'RA-TRIAL-BAL-2021'!O103+'DES-TRIAL-BAL-2021'!O103+'DMP-TRIAL-BAL-2021'!O103</f>
        <v>0</v>
      </c>
      <c r="W103" s="526">
        <f>+'NF-KSF-TRIAL-BAL-2021'!P103+'RA-TRIAL-BAL-2021'!P103+'DES-TRIAL-BAL-2021'!P103+'DMP-TRIAL-BAL-2021'!P103</f>
        <v>0</v>
      </c>
      <c r="X103" s="525">
        <f>+'NF-KSF-TRIAL-BAL-2021'!Q103+'RA-TRIAL-BAL-2021'!Q103+'DES-TRIAL-BAL-2021'!Q103+'DMP-TRIAL-BAL-2021'!Q103</f>
        <v>0</v>
      </c>
      <c r="Y103" s="526">
        <f>+'NF-KSF-TRIAL-BAL-2021'!R103+'RA-TRIAL-BAL-2021'!R103+'DES-TRIAL-BAL-2021'!R103+'DMP-TRIAL-BAL-2021'!R103</f>
        <v>0</v>
      </c>
      <c r="Z103" s="525">
        <f>+'NF-KSF-TRIAL-BAL-2021'!S103+'RA-TRIAL-BAL-2021'!S103+'DES-TRIAL-BAL-2021'!S103+'DMP-TRIAL-BAL-2021'!S103</f>
        <v>0</v>
      </c>
      <c r="AA103" s="527">
        <f>+'NF-KSF-TRIAL-BAL-2021'!T103+'RA-TRIAL-BAL-2021'!T103+'DES-TRIAL-BAL-2021'!T103+'DMP-TRIAL-BAL-2021'!T103</f>
        <v>0</v>
      </c>
      <c r="AB103" s="51"/>
      <c r="AC103" s="323"/>
      <c r="AD103" s="329">
        <v>0</v>
      </c>
      <c r="AE103" s="325"/>
      <c r="AF103" s="324"/>
      <c r="AG103" s="326">
        <f t="shared" ref="AG103:AG112" si="55">+IF(ABS(+AC103+AE103)&gt;=ABS(AD103+AF103),+AC103-AD103+AE103-AF103,0)</f>
        <v>0</v>
      </c>
      <c r="AH103" s="331">
        <v>0</v>
      </c>
      <c r="AI103" s="51"/>
      <c r="AJ103" s="1496">
        <f t="shared" si="45"/>
        <v>3010</v>
      </c>
      <c r="AK103" s="951">
        <f t="shared" ref="AK103:AK112" si="56">+ROUND(+O103+V103+AC103,2)</f>
        <v>0</v>
      </c>
      <c r="AL103" s="329">
        <v>0</v>
      </c>
      <c r="AM103" s="326">
        <f t="shared" ref="AM103:AN112" si="57">+ROUND(+Q103+X103+AE103,2)</f>
        <v>0</v>
      </c>
      <c r="AN103" s="970">
        <f t="shared" si="57"/>
        <v>0</v>
      </c>
      <c r="AO103" s="326">
        <f t="shared" ref="AO103:AO112" si="58">+S103+Z103+AG103</f>
        <v>0</v>
      </c>
      <c r="AP103" s="331">
        <v>0</v>
      </c>
      <c r="AQ103" s="43"/>
      <c r="AR103" s="358">
        <f t="shared" ref="AR103:AR112" si="59">+ROUND(+SUM(AK103-AL103)-SUM(O103-P103)-SUM(V103-W103)-SUM(AC103-AD103),2)</f>
        <v>0</v>
      </c>
      <c r="AS103" s="359">
        <f t="shared" ref="AS103:AS112" si="60">+ROUND(+SUM(AM103-AN103)-SUM(Q103-R103)-SUM(X103-Y103)-SUM(AE103-AF103),2)</f>
        <v>0</v>
      </c>
      <c r="AT103" s="360">
        <f t="shared" ref="AT103:AT112" si="61">+ROUND(+SUM(AO103-AP103)-SUM(S103-T103)-SUM(Z103-AA103)-SUM(AG103-AH103),2)</f>
        <v>0</v>
      </c>
      <c r="AU103" s="43"/>
      <c r="AV103" s="2120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120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53"/>
        <v>3020</v>
      </c>
      <c r="O104" s="120">
        <v>346227.96</v>
      </c>
      <c r="P104" s="9">
        <v>0</v>
      </c>
      <c r="Q104" s="325">
        <v>555045.57999999996</v>
      </c>
      <c r="R104" s="324">
        <v>529863.34</v>
      </c>
      <c r="S104" s="27">
        <f t="shared" si="54"/>
        <v>371410.20000000007</v>
      </c>
      <c r="T104" s="30">
        <v>0</v>
      </c>
      <c r="U104" s="51"/>
      <c r="V104" s="541">
        <f>+'NF-KSF-TRIAL-BAL-2021'!O104+'RA-TRIAL-BAL-2021'!O104+'DES-TRIAL-BAL-2021'!O104+'DMP-TRIAL-BAL-2021'!O104</f>
        <v>126808.22</v>
      </c>
      <c r="W104" s="529">
        <f>+'NF-KSF-TRIAL-BAL-2021'!P104+'RA-TRIAL-BAL-2021'!P104+'DES-TRIAL-BAL-2021'!P104+'DMP-TRIAL-BAL-2021'!P104</f>
        <v>0</v>
      </c>
      <c r="X104" s="528">
        <f>+'NF-KSF-TRIAL-BAL-2021'!Q104+'RA-TRIAL-BAL-2021'!Q104+'DES-TRIAL-BAL-2021'!Q104+'DMP-TRIAL-BAL-2021'!Q104</f>
        <v>22321</v>
      </c>
      <c r="Y104" s="529">
        <f>+'NF-KSF-TRIAL-BAL-2021'!R104+'RA-TRIAL-BAL-2021'!R104+'DES-TRIAL-BAL-2021'!R104+'DMP-TRIAL-BAL-2021'!R104</f>
        <v>14532.01</v>
      </c>
      <c r="Z104" s="528">
        <f>+'NF-KSF-TRIAL-BAL-2021'!S104+'RA-TRIAL-BAL-2021'!S104+'DES-TRIAL-BAL-2021'!S104+'DMP-TRIAL-BAL-2021'!S104</f>
        <v>134597.21</v>
      </c>
      <c r="AA104" s="347">
        <f>+'NF-KSF-TRIAL-BAL-2021'!T104+'RA-TRIAL-BAL-2021'!T104+'DES-TRIAL-BAL-2021'!T104+'DMP-TRIAL-BAL-2021'!T104</f>
        <v>0</v>
      </c>
      <c r="AB104" s="51"/>
      <c r="AC104" s="120"/>
      <c r="AD104" s="9">
        <v>0</v>
      </c>
      <c r="AE104" s="325"/>
      <c r="AF104" s="324"/>
      <c r="AG104" s="27">
        <f t="shared" si="55"/>
        <v>0</v>
      </c>
      <c r="AH104" s="30">
        <v>0</v>
      </c>
      <c r="AI104" s="51"/>
      <c r="AJ104" s="1497">
        <f t="shared" si="45"/>
        <v>3020</v>
      </c>
      <c r="AK104" s="951">
        <f t="shared" si="56"/>
        <v>473036.18</v>
      </c>
      <c r="AL104" s="9">
        <v>0</v>
      </c>
      <c r="AM104" s="326">
        <f t="shared" si="57"/>
        <v>577366.57999999996</v>
      </c>
      <c r="AN104" s="970">
        <f t="shared" si="57"/>
        <v>544395.35</v>
      </c>
      <c r="AO104" s="326">
        <f t="shared" si="58"/>
        <v>506007.41000000003</v>
      </c>
      <c r="AP104" s="30">
        <v>0</v>
      </c>
      <c r="AQ104" s="43"/>
      <c r="AR104" s="358">
        <f t="shared" si="59"/>
        <v>0</v>
      </c>
      <c r="AS104" s="359">
        <f t="shared" si="60"/>
        <v>0</v>
      </c>
      <c r="AT104" s="360">
        <f t="shared" si="61"/>
        <v>0</v>
      </c>
      <c r="AU104" s="43"/>
      <c r="AV104" s="2120">
        <f t="shared" si="62"/>
        <v>0</v>
      </c>
      <c r="AW104" s="119"/>
      <c r="AX104" s="2120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53"/>
        <v>3030</v>
      </c>
      <c r="O105" s="120"/>
      <c r="P105" s="9">
        <v>0</v>
      </c>
      <c r="Q105" s="325">
        <v>4106.72</v>
      </c>
      <c r="R105" s="324">
        <v>4106.72</v>
      </c>
      <c r="S105" s="27">
        <f t="shared" si="54"/>
        <v>0</v>
      </c>
      <c r="T105" s="30">
        <v>0</v>
      </c>
      <c r="U105" s="51"/>
      <c r="V105" s="541">
        <f>+'NF-KSF-TRIAL-BAL-2021'!O105+'RA-TRIAL-BAL-2021'!O105+'DES-TRIAL-BAL-2021'!O105+'DMP-TRIAL-BAL-2021'!O105</f>
        <v>0</v>
      </c>
      <c r="W105" s="529">
        <f>+'NF-KSF-TRIAL-BAL-2021'!P105+'RA-TRIAL-BAL-2021'!P105+'DES-TRIAL-BAL-2021'!P105+'DMP-TRIAL-BAL-2021'!P105</f>
        <v>0</v>
      </c>
      <c r="X105" s="528">
        <f>+'NF-KSF-TRIAL-BAL-2021'!Q105+'RA-TRIAL-BAL-2021'!Q105+'DES-TRIAL-BAL-2021'!Q105+'DMP-TRIAL-BAL-2021'!Q105</f>
        <v>0</v>
      </c>
      <c r="Y105" s="529">
        <f>+'NF-KSF-TRIAL-BAL-2021'!R105+'RA-TRIAL-BAL-2021'!R105+'DES-TRIAL-BAL-2021'!R105+'DMP-TRIAL-BAL-2021'!R105</f>
        <v>0</v>
      </c>
      <c r="Z105" s="528">
        <f>+'NF-KSF-TRIAL-BAL-2021'!S105+'RA-TRIAL-BAL-2021'!S105+'DES-TRIAL-BAL-2021'!S105+'DMP-TRIAL-BAL-2021'!S105</f>
        <v>0</v>
      </c>
      <c r="AA105" s="347">
        <f>+'NF-KSF-TRIAL-BAL-2021'!T105+'RA-TRIAL-BAL-2021'!T105+'DES-TRIAL-BAL-2021'!T105+'DMP-TRIAL-BAL-2021'!T105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97">
        <f t="shared" si="45"/>
        <v>3030</v>
      </c>
      <c r="AK105" s="951">
        <f t="shared" si="56"/>
        <v>0</v>
      </c>
      <c r="AL105" s="9">
        <v>0</v>
      </c>
      <c r="AM105" s="326">
        <f t="shared" si="57"/>
        <v>4106.72</v>
      </c>
      <c r="AN105" s="970">
        <f t="shared" si="57"/>
        <v>4106.72</v>
      </c>
      <c r="AO105" s="326">
        <f t="shared" si="58"/>
        <v>0</v>
      </c>
      <c r="AP105" s="30">
        <v>0</v>
      </c>
      <c r="AQ105" s="43"/>
      <c r="AR105" s="358">
        <f t="shared" si="59"/>
        <v>0</v>
      </c>
      <c r="AS105" s="359">
        <f t="shared" si="60"/>
        <v>0</v>
      </c>
      <c r="AT105" s="360">
        <f t="shared" si="61"/>
        <v>0</v>
      </c>
      <c r="AU105" s="43"/>
      <c r="AV105" s="2120">
        <f t="shared" si="62"/>
        <v>0</v>
      </c>
      <c r="AW105" s="119"/>
      <c r="AX105" s="2120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25"/>
      <c r="R106" s="324"/>
      <c r="S106" s="27">
        <f t="shared" si="54"/>
        <v>0</v>
      </c>
      <c r="T106" s="30">
        <v>0</v>
      </c>
      <c r="U106" s="51"/>
      <c r="V106" s="541">
        <f>+'NF-KSF-TRIAL-BAL-2021'!O106+'RA-TRIAL-BAL-2021'!O106+'DES-TRIAL-BAL-2021'!O106+'DMP-TRIAL-BAL-2021'!O106</f>
        <v>0</v>
      </c>
      <c r="W106" s="529">
        <f>+'NF-KSF-TRIAL-BAL-2021'!P106+'RA-TRIAL-BAL-2021'!P106+'DES-TRIAL-BAL-2021'!P106+'DMP-TRIAL-BAL-2021'!P106</f>
        <v>0</v>
      </c>
      <c r="X106" s="528">
        <f>+'NF-KSF-TRIAL-BAL-2021'!Q106+'RA-TRIAL-BAL-2021'!Q106+'DES-TRIAL-BAL-2021'!Q106+'DMP-TRIAL-BAL-2021'!Q106</f>
        <v>0</v>
      </c>
      <c r="Y106" s="529">
        <f>+'NF-KSF-TRIAL-BAL-2021'!R106+'RA-TRIAL-BAL-2021'!R106+'DES-TRIAL-BAL-2021'!R106+'DMP-TRIAL-BAL-2021'!R106</f>
        <v>0</v>
      </c>
      <c r="Z106" s="528">
        <f>+'NF-KSF-TRIAL-BAL-2021'!S106+'RA-TRIAL-BAL-2021'!S106+'DES-TRIAL-BAL-2021'!S106+'DMP-TRIAL-BAL-2021'!S106</f>
        <v>0</v>
      </c>
      <c r="AA106" s="347">
        <f>+'NF-KSF-TRIAL-BAL-2021'!T106+'RA-TRIAL-BAL-2021'!T106+'DES-TRIAL-BAL-2021'!T106+'DMP-TRIAL-BAL-2021'!T106</f>
        <v>0</v>
      </c>
      <c r="AB106" s="51"/>
      <c r="AC106" s="120"/>
      <c r="AD106" s="9">
        <v>0</v>
      </c>
      <c r="AE106" s="325"/>
      <c r="AF106" s="324"/>
      <c r="AG106" s="27">
        <f t="shared" si="55"/>
        <v>0</v>
      </c>
      <c r="AH106" s="30">
        <v>0</v>
      </c>
      <c r="AI106" s="51"/>
      <c r="AJ106" s="1497">
        <f t="shared" si="45"/>
        <v>3040</v>
      </c>
      <c r="AK106" s="951">
        <f t="shared" si="56"/>
        <v>0</v>
      </c>
      <c r="AL106" s="9">
        <v>0</v>
      </c>
      <c r="AM106" s="326">
        <f t="shared" si="57"/>
        <v>0</v>
      </c>
      <c r="AN106" s="970">
        <f t="shared" si="57"/>
        <v>0</v>
      </c>
      <c r="AO106" s="326">
        <f t="shared" si="58"/>
        <v>0</v>
      </c>
      <c r="AP106" s="30">
        <v>0</v>
      </c>
      <c r="AQ106" s="43"/>
      <c r="AR106" s="358">
        <f t="shared" si="59"/>
        <v>0</v>
      </c>
      <c r="AS106" s="359">
        <f t="shared" si="60"/>
        <v>0</v>
      </c>
      <c r="AT106" s="360">
        <f t="shared" si="61"/>
        <v>0</v>
      </c>
      <c r="AU106" s="43"/>
      <c r="AV106" s="2120">
        <f t="shared" si="62"/>
        <v>0</v>
      </c>
      <c r="AW106" s="119"/>
      <c r="AX106" s="2120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25"/>
      <c r="R107" s="324"/>
      <c r="S107" s="27">
        <f t="shared" si="54"/>
        <v>0</v>
      </c>
      <c r="T107" s="30">
        <v>0</v>
      </c>
      <c r="U107" s="51"/>
      <c r="V107" s="541">
        <f>+'NF-KSF-TRIAL-BAL-2021'!O107+'RA-TRIAL-BAL-2021'!O107+'DES-TRIAL-BAL-2021'!O107+'DMP-TRIAL-BAL-2021'!O107</f>
        <v>0</v>
      </c>
      <c r="W107" s="529">
        <f>+'NF-KSF-TRIAL-BAL-2021'!P107+'RA-TRIAL-BAL-2021'!P107+'DES-TRIAL-BAL-2021'!P107+'DMP-TRIAL-BAL-2021'!P107</f>
        <v>0</v>
      </c>
      <c r="X107" s="528">
        <f>+'NF-KSF-TRIAL-BAL-2021'!Q107+'RA-TRIAL-BAL-2021'!Q107+'DES-TRIAL-BAL-2021'!Q107+'DMP-TRIAL-BAL-2021'!Q107</f>
        <v>0</v>
      </c>
      <c r="Y107" s="529">
        <f>+'NF-KSF-TRIAL-BAL-2021'!R107+'RA-TRIAL-BAL-2021'!R107+'DES-TRIAL-BAL-2021'!R107+'DMP-TRIAL-BAL-2021'!R107</f>
        <v>0</v>
      </c>
      <c r="Z107" s="528">
        <f>+'NF-KSF-TRIAL-BAL-2021'!S107+'RA-TRIAL-BAL-2021'!S107+'DES-TRIAL-BAL-2021'!S107+'DMP-TRIAL-BAL-2021'!S107</f>
        <v>0</v>
      </c>
      <c r="AA107" s="347">
        <f>+'NF-KSF-TRIAL-BAL-2021'!T107+'RA-TRIAL-BAL-2021'!T107+'DES-TRIAL-BAL-2021'!T107+'DMP-TRIAL-BAL-2021'!T107</f>
        <v>0</v>
      </c>
      <c r="AB107" s="51"/>
      <c r="AC107" s="120"/>
      <c r="AD107" s="9">
        <v>0</v>
      </c>
      <c r="AE107" s="325"/>
      <c r="AF107" s="324"/>
      <c r="AG107" s="27">
        <f t="shared" si="55"/>
        <v>0</v>
      </c>
      <c r="AH107" s="30">
        <v>0</v>
      </c>
      <c r="AI107" s="51"/>
      <c r="AJ107" s="1497">
        <f t="shared" si="45"/>
        <v>3100</v>
      </c>
      <c r="AK107" s="951">
        <f t="shared" si="56"/>
        <v>0</v>
      </c>
      <c r="AL107" s="9">
        <v>0</v>
      </c>
      <c r="AM107" s="326">
        <f t="shared" si="57"/>
        <v>0</v>
      </c>
      <c r="AN107" s="970">
        <f t="shared" si="57"/>
        <v>0</v>
      </c>
      <c r="AO107" s="326">
        <f t="shared" si="58"/>
        <v>0</v>
      </c>
      <c r="AP107" s="30">
        <v>0</v>
      </c>
      <c r="AQ107" s="43"/>
      <c r="AR107" s="358">
        <f t="shared" si="59"/>
        <v>0</v>
      </c>
      <c r="AS107" s="359">
        <f t="shared" si="60"/>
        <v>0</v>
      </c>
      <c r="AT107" s="360">
        <f t="shared" si="61"/>
        <v>0</v>
      </c>
      <c r="AU107" s="43"/>
      <c r="AV107" s="2120">
        <f t="shared" si="62"/>
        <v>0</v>
      </c>
      <c r="AW107" s="119"/>
      <c r="AX107" s="2120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25"/>
      <c r="R108" s="324"/>
      <c r="S108" s="27">
        <f t="shared" si="54"/>
        <v>0</v>
      </c>
      <c r="T108" s="30">
        <v>0</v>
      </c>
      <c r="U108" s="51"/>
      <c r="V108" s="541">
        <f>+'NF-KSF-TRIAL-BAL-2021'!O108+'RA-TRIAL-BAL-2021'!O108+'DES-TRIAL-BAL-2021'!O108+'DMP-TRIAL-BAL-2021'!O108</f>
        <v>0</v>
      </c>
      <c r="W108" s="529">
        <f>+'NF-KSF-TRIAL-BAL-2021'!P108+'RA-TRIAL-BAL-2021'!P108+'DES-TRIAL-BAL-2021'!P108+'DMP-TRIAL-BAL-2021'!P108</f>
        <v>0</v>
      </c>
      <c r="X108" s="528">
        <f>+'NF-KSF-TRIAL-BAL-2021'!Q108+'RA-TRIAL-BAL-2021'!Q108+'DES-TRIAL-BAL-2021'!Q108+'DMP-TRIAL-BAL-2021'!Q108</f>
        <v>0</v>
      </c>
      <c r="Y108" s="529">
        <f>+'NF-KSF-TRIAL-BAL-2021'!R108+'RA-TRIAL-BAL-2021'!R108+'DES-TRIAL-BAL-2021'!R108+'DMP-TRIAL-BAL-2021'!R108</f>
        <v>0</v>
      </c>
      <c r="Z108" s="528">
        <f>+'NF-KSF-TRIAL-BAL-2021'!S108+'RA-TRIAL-BAL-2021'!S108+'DES-TRIAL-BAL-2021'!S108+'DMP-TRIAL-BAL-2021'!S108</f>
        <v>0</v>
      </c>
      <c r="AA108" s="347">
        <f>+'NF-KSF-TRIAL-BAL-2021'!T108+'RA-TRIAL-BAL-2021'!T108+'DES-TRIAL-BAL-2021'!T108+'DMP-TRIAL-BAL-2021'!T108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97">
        <f t="shared" si="45"/>
        <v>3210</v>
      </c>
      <c r="AK108" s="951">
        <f t="shared" si="56"/>
        <v>0</v>
      </c>
      <c r="AL108" s="9">
        <v>0</v>
      </c>
      <c r="AM108" s="326">
        <f t="shared" si="57"/>
        <v>0</v>
      </c>
      <c r="AN108" s="970">
        <f t="shared" si="57"/>
        <v>0</v>
      </c>
      <c r="AO108" s="326">
        <f t="shared" si="58"/>
        <v>0</v>
      </c>
      <c r="AP108" s="30">
        <v>0</v>
      </c>
      <c r="AQ108" s="43"/>
      <c r="AR108" s="358">
        <f t="shared" si="59"/>
        <v>0</v>
      </c>
      <c r="AS108" s="359">
        <f t="shared" si="60"/>
        <v>0</v>
      </c>
      <c r="AT108" s="360">
        <f t="shared" si="61"/>
        <v>0</v>
      </c>
      <c r="AU108" s="43"/>
      <c r="AV108" s="2120">
        <f t="shared" si="62"/>
        <v>0</v>
      </c>
      <c r="AW108" s="119"/>
      <c r="AX108" s="2120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25"/>
      <c r="R109" s="324"/>
      <c r="S109" s="27">
        <f t="shared" si="54"/>
        <v>0</v>
      </c>
      <c r="T109" s="30">
        <v>0</v>
      </c>
      <c r="U109" s="51"/>
      <c r="V109" s="541">
        <f>+'NF-KSF-TRIAL-BAL-2021'!O109+'RA-TRIAL-BAL-2021'!O109+'DES-TRIAL-BAL-2021'!O109+'DMP-TRIAL-BAL-2021'!O109</f>
        <v>0</v>
      </c>
      <c r="W109" s="529">
        <f>+'NF-KSF-TRIAL-BAL-2021'!P109+'RA-TRIAL-BAL-2021'!P109+'DES-TRIAL-BAL-2021'!P109+'DMP-TRIAL-BAL-2021'!P109</f>
        <v>0</v>
      </c>
      <c r="X109" s="528">
        <f>+'NF-KSF-TRIAL-BAL-2021'!Q109+'RA-TRIAL-BAL-2021'!Q109+'DES-TRIAL-BAL-2021'!Q109+'DMP-TRIAL-BAL-2021'!Q109</f>
        <v>0</v>
      </c>
      <c r="Y109" s="529">
        <f>+'NF-KSF-TRIAL-BAL-2021'!R109+'RA-TRIAL-BAL-2021'!R109+'DES-TRIAL-BAL-2021'!R109+'DMP-TRIAL-BAL-2021'!R109</f>
        <v>0</v>
      </c>
      <c r="Z109" s="528">
        <f>+'NF-KSF-TRIAL-BAL-2021'!S109+'RA-TRIAL-BAL-2021'!S109+'DES-TRIAL-BAL-2021'!S109+'DMP-TRIAL-BAL-2021'!S109</f>
        <v>0</v>
      </c>
      <c r="AA109" s="347">
        <f>+'NF-KSF-TRIAL-BAL-2021'!T109+'RA-TRIAL-BAL-2021'!T109+'DES-TRIAL-BAL-2021'!T109+'DMP-TRIAL-BAL-2021'!T109</f>
        <v>0</v>
      </c>
      <c r="AB109" s="51"/>
      <c r="AC109" s="120"/>
      <c r="AD109" s="9">
        <v>0</v>
      </c>
      <c r="AE109" s="325"/>
      <c r="AF109" s="324"/>
      <c r="AG109" s="27">
        <f t="shared" si="55"/>
        <v>0</v>
      </c>
      <c r="AH109" s="30">
        <v>0</v>
      </c>
      <c r="AI109" s="51"/>
      <c r="AJ109" s="1497">
        <f t="shared" si="45"/>
        <v>3220</v>
      </c>
      <c r="AK109" s="951">
        <f t="shared" si="56"/>
        <v>0</v>
      </c>
      <c r="AL109" s="9">
        <v>0</v>
      </c>
      <c r="AM109" s="326">
        <f t="shared" si="57"/>
        <v>0</v>
      </c>
      <c r="AN109" s="970">
        <f t="shared" si="57"/>
        <v>0</v>
      </c>
      <c r="AO109" s="326">
        <f t="shared" si="58"/>
        <v>0</v>
      </c>
      <c r="AP109" s="30">
        <v>0</v>
      </c>
      <c r="AQ109" s="43"/>
      <c r="AR109" s="358">
        <f t="shared" si="59"/>
        <v>0</v>
      </c>
      <c r="AS109" s="359">
        <f t="shared" si="60"/>
        <v>0</v>
      </c>
      <c r="AT109" s="360">
        <f t="shared" si="61"/>
        <v>0</v>
      </c>
      <c r="AU109" s="43"/>
      <c r="AV109" s="2120">
        <f t="shared" si="62"/>
        <v>0</v>
      </c>
      <c r="AW109" s="119"/>
      <c r="AX109" s="2120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25"/>
      <c r="R110" s="324"/>
      <c r="S110" s="27">
        <f t="shared" si="54"/>
        <v>0</v>
      </c>
      <c r="T110" s="30">
        <v>0</v>
      </c>
      <c r="U110" s="51"/>
      <c r="V110" s="541">
        <f>+'NF-KSF-TRIAL-BAL-2021'!O110+'RA-TRIAL-BAL-2021'!O110+'DES-TRIAL-BAL-2021'!O110+'DMP-TRIAL-BAL-2021'!O110</f>
        <v>0</v>
      </c>
      <c r="W110" s="529">
        <f>+'NF-KSF-TRIAL-BAL-2021'!P110+'RA-TRIAL-BAL-2021'!P110+'DES-TRIAL-BAL-2021'!P110+'DMP-TRIAL-BAL-2021'!P110</f>
        <v>0</v>
      </c>
      <c r="X110" s="528">
        <f>+'NF-KSF-TRIAL-BAL-2021'!Q110+'RA-TRIAL-BAL-2021'!Q110+'DES-TRIAL-BAL-2021'!Q110+'DMP-TRIAL-BAL-2021'!Q110</f>
        <v>0</v>
      </c>
      <c r="Y110" s="529">
        <f>+'NF-KSF-TRIAL-BAL-2021'!R110+'RA-TRIAL-BAL-2021'!R110+'DES-TRIAL-BAL-2021'!R110+'DMP-TRIAL-BAL-2021'!R110</f>
        <v>0</v>
      </c>
      <c r="Z110" s="528">
        <f>+'NF-KSF-TRIAL-BAL-2021'!S110+'RA-TRIAL-BAL-2021'!S110+'DES-TRIAL-BAL-2021'!S110+'DMP-TRIAL-BAL-2021'!S110</f>
        <v>0</v>
      </c>
      <c r="AA110" s="347">
        <f>+'NF-KSF-TRIAL-BAL-2021'!T110+'RA-TRIAL-BAL-2021'!T110+'DES-TRIAL-BAL-2021'!T110+'DMP-TRIAL-BAL-2021'!T110</f>
        <v>0</v>
      </c>
      <c r="AB110" s="51"/>
      <c r="AC110" s="120"/>
      <c r="AD110" s="9">
        <v>0</v>
      </c>
      <c r="AE110" s="325"/>
      <c r="AF110" s="324"/>
      <c r="AG110" s="27">
        <f t="shared" si="55"/>
        <v>0</v>
      </c>
      <c r="AH110" s="30">
        <v>0</v>
      </c>
      <c r="AI110" s="51"/>
      <c r="AJ110" s="1497">
        <f t="shared" si="45"/>
        <v>3310</v>
      </c>
      <c r="AK110" s="951">
        <f t="shared" si="56"/>
        <v>0</v>
      </c>
      <c r="AL110" s="9">
        <v>0</v>
      </c>
      <c r="AM110" s="326">
        <f t="shared" si="57"/>
        <v>0</v>
      </c>
      <c r="AN110" s="970">
        <f t="shared" si="57"/>
        <v>0</v>
      </c>
      <c r="AO110" s="326">
        <f t="shared" si="58"/>
        <v>0</v>
      </c>
      <c r="AP110" s="30">
        <v>0</v>
      </c>
      <c r="AQ110" s="43"/>
      <c r="AR110" s="358">
        <f t="shared" si="59"/>
        <v>0</v>
      </c>
      <c r="AS110" s="359">
        <f t="shared" si="60"/>
        <v>0</v>
      </c>
      <c r="AT110" s="360">
        <f t="shared" si="61"/>
        <v>0</v>
      </c>
      <c r="AU110" s="43"/>
      <c r="AV110" s="2120">
        <f t="shared" si="62"/>
        <v>0</v>
      </c>
      <c r="AW110" s="119"/>
      <c r="AX110" s="2120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25"/>
      <c r="R111" s="324"/>
      <c r="S111" s="27">
        <f t="shared" si="54"/>
        <v>0</v>
      </c>
      <c r="T111" s="30">
        <v>0</v>
      </c>
      <c r="U111" s="51"/>
      <c r="V111" s="541">
        <f>+'NF-KSF-TRIAL-BAL-2021'!O111+'RA-TRIAL-BAL-2021'!O111+'DES-TRIAL-BAL-2021'!O111+'DMP-TRIAL-BAL-2021'!O111</f>
        <v>0</v>
      </c>
      <c r="W111" s="529">
        <f>+'NF-KSF-TRIAL-BAL-2021'!P111+'RA-TRIAL-BAL-2021'!P111+'DES-TRIAL-BAL-2021'!P111+'DMP-TRIAL-BAL-2021'!P111</f>
        <v>0</v>
      </c>
      <c r="X111" s="528">
        <f>+'NF-KSF-TRIAL-BAL-2021'!Q111+'RA-TRIAL-BAL-2021'!Q111+'DES-TRIAL-BAL-2021'!Q111+'DMP-TRIAL-BAL-2021'!Q111</f>
        <v>0</v>
      </c>
      <c r="Y111" s="529">
        <f>+'NF-KSF-TRIAL-BAL-2021'!R111+'RA-TRIAL-BAL-2021'!R111+'DES-TRIAL-BAL-2021'!R111+'DMP-TRIAL-BAL-2021'!R111</f>
        <v>0</v>
      </c>
      <c r="Z111" s="528">
        <f>+'NF-KSF-TRIAL-BAL-2021'!S111+'RA-TRIAL-BAL-2021'!S111+'DES-TRIAL-BAL-2021'!S111+'DMP-TRIAL-BAL-2021'!S111</f>
        <v>0</v>
      </c>
      <c r="AA111" s="347">
        <f>+'NF-KSF-TRIAL-BAL-2021'!T111+'RA-TRIAL-BAL-2021'!T111+'DES-TRIAL-BAL-2021'!T111+'DMP-TRIAL-BAL-2021'!T111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97">
        <f t="shared" si="45"/>
        <v>3320</v>
      </c>
      <c r="AK111" s="951">
        <f t="shared" si="56"/>
        <v>0</v>
      </c>
      <c r="AL111" s="9">
        <v>0</v>
      </c>
      <c r="AM111" s="326">
        <f t="shared" si="57"/>
        <v>0</v>
      </c>
      <c r="AN111" s="970">
        <f t="shared" si="57"/>
        <v>0</v>
      </c>
      <c r="AO111" s="326">
        <f t="shared" si="58"/>
        <v>0</v>
      </c>
      <c r="AP111" s="30">
        <v>0</v>
      </c>
      <c r="AQ111" s="43"/>
      <c r="AR111" s="358">
        <f t="shared" si="59"/>
        <v>0</v>
      </c>
      <c r="AS111" s="359">
        <f t="shared" si="60"/>
        <v>0</v>
      </c>
      <c r="AT111" s="360">
        <f t="shared" si="61"/>
        <v>0</v>
      </c>
      <c r="AU111" s="43"/>
      <c r="AV111" s="2120">
        <f t="shared" si="62"/>
        <v>0</v>
      </c>
      <c r="AW111" s="119"/>
      <c r="AX111" s="2120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25"/>
      <c r="R112" s="324"/>
      <c r="S112" s="56">
        <f t="shared" si="54"/>
        <v>0</v>
      </c>
      <c r="T112" s="60">
        <v>0</v>
      </c>
      <c r="U112" s="51"/>
      <c r="V112" s="544">
        <f>+'NF-KSF-TRIAL-BAL-2021'!O112+'RA-TRIAL-BAL-2021'!O112+'DES-TRIAL-BAL-2021'!O112+'DMP-TRIAL-BAL-2021'!O112</f>
        <v>0</v>
      </c>
      <c r="W112" s="542">
        <f>+'NF-KSF-TRIAL-BAL-2021'!P112+'RA-TRIAL-BAL-2021'!P112+'DES-TRIAL-BAL-2021'!P112+'DMP-TRIAL-BAL-2021'!P112</f>
        <v>0</v>
      </c>
      <c r="X112" s="530">
        <f>+'NF-KSF-TRIAL-BAL-2021'!Q112+'RA-TRIAL-BAL-2021'!Q112+'DES-TRIAL-BAL-2021'!Q112+'DMP-TRIAL-BAL-2021'!Q112</f>
        <v>0</v>
      </c>
      <c r="Y112" s="542">
        <f>+'NF-KSF-TRIAL-BAL-2021'!R112+'RA-TRIAL-BAL-2021'!R112+'DES-TRIAL-BAL-2021'!R112+'DMP-TRIAL-BAL-2021'!R112</f>
        <v>0</v>
      </c>
      <c r="Z112" s="530">
        <f>+'NF-KSF-TRIAL-BAL-2021'!S112+'RA-TRIAL-BAL-2021'!S112+'DES-TRIAL-BAL-2021'!S112+'DMP-TRIAL-BAL-2021'!S112</f>
        <v>0</v>
      </c>
      <c r="AA112" s="531">
        <f>+'NF-KSF-TRIAL-BAL-2021'!T112+'RA-TRIAL-BAL-2021'!T112+'DES-TRIAL-BAL-2021'!T112+'DMP-TRIAL-BAL-2021'!T112</f>
        <v>0</v>
      </c>
      <c r="AB112" s="51"/>
      <c r="AC112" s="123"/>
      <c r="AD112" s="37">
        <v>0</v>
      </c>
      <c r="AE112" s="325"/>
      <c r="AF112" s="324"/>
      <c r="AG112" s="56">
        <f t="shared" si="55"/>
        <v>0</v>
      </c>
      <c r="AH112" s="60">
        <v>0</v>
      </c>
      <c r="AI112" s="51"/>
      <c r="AJ112" s="1498">
        <f t="shared" si="45"/>
        <v>3330</v>
      </c>
      <c r="AK112" s="1500">
        <f t="shared" si="56"/>
        <v>0</v>
      </c>
      <c r="AL112" s="37">
        <v>0</v>
      </c>
      <c r="AM112" s="1057">
        <f t="shared" si="57"/>
        <v>0</v>
      </c>
      <c r="AN112" s="1499">
        <f t="shared" si="57"/>
        <v>0</v>
      </c>
      <c r="AO112" s="1057">
        <f t="shared" si="58"/>
        <v>0</v>
      </c>
      <c r="AP112" s="60">
        <v>0</v>
      </c>
      <c r="AQ112" s="43"/>
      <c r="AR112" s="389">
        <f t="shared" si="59"/>
        <v>0</v>
      </c>
      <c r="AS112" s="390">
        <f t="shared" si="60"/>
        <v>0</v>
      </c>
      <c r="AT112" s="391">
        <f t="shared" si="61"/>
        <v>0</v>
      </c>
      <c r="AU112" s="43"/>
      <c r="AV112" s="2120">
        <f t="shared" si="62"/>
        <v>0</v>
      </c>
      <c r="AW112" s="119"/>
      <c r="AX112" s="2120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 t="s">
        <v>265</v>
      </c>
      <c r="N113" s="383">
        <v>4</v>
      </c>
      <c r="O113" s="384"/>
      <c r="P113" s="385"/>
      <c r="Q113" s="386"/>
      <c r="R113" s="385"/>
      <c r="S113" s="386"/>
      <c r="T113" s="387"/>
      <c r="U113" s="51"/>
      <c r="V113" s="545"/>
      <c r="W113" s="533"/>
      <c r="X113" s="532"/>
      <c r="Y113" s="533"/>
      <c r="Z113" s="532">
        <f>+'NF-KSF-TRIAL-BAL-2021'!S113+'RA-TRIAL-BAL-2021'!S113+'DES-TRIAL-BAL-2021'!S113+'DMP-TRIAL-BAL-2021'!S113</f>
        <v>0</v>
      </c>
      <c r="AA113" s="534">
        <f>+'NF-KSF-TRIAL-BAL-2021'!T113+'RA-TRIAL-BAL-2021'!T113+'DES-TRIAL-BAL-2021'!T113+'DMP-TRIAL-BAL-2021'!T113</f>
        <v>0</v>
      </c>
      <c r="AB113" s="51"/>
      <c r="AC113" s="384"/>
      <c r="AD113" s="385"/>
      <c r="AE113" s="386"/>
      <c r="AF113" s="385"/>
      <c r="AG113" s="386"/>
      <c r="AH113" s="387"/>
      <c r="AI113" s="51"/>
      <c r="AJ113" s="388">
        <f t="shared" si="45"/>
        <v>4</v>
      </c>
      <c r="AK113" s="384"/>
      <c r="AL113" s="385"/>
      <c r="AM113" s="386"/>
      <c r="AN113" s="385"/>
      <c r="AO113" s="386"/>
      <c r="AP113" s="387"/>
      <c r="AQ113" s="43"/>
      <c r="AR113" s="392"/>
      <c r="AS113" s="393"/>
      <c r="AT113" s="394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28">
        <v>0</v>
      </c>
      <c r="P114" s="324">
        <v>54675.5</v>
      </c>
      <c r="Q114" s="325">
        <v>2215421.7200000002</v>
      </c>
      <c r="R114" s="324">
        <v>2169666.1800000002</v>
      </c>
      <c r="S114" s="330">
        <v>0</v>
      </c>
      <c r="T114" s="327">
        <f>+IF(ABS(+O114+Q114)&lt;=ABS(P114+R114),-O114+P114-Q114+R114,0)</f>
        <v>8919.9599999999627</v>
      </c>
      <c r="U114" s="51"/>
      <c r="V114" s="543">
        <f>+'NF-KSF-TRIAL-BAL-2021'!O114+'RA-TRIAL-BAL-2021'!O114+'DES-TRIAL-BAL-2021'!O114+'DMP-TRIAL-BAL-2021'!O114</f>
        <v>0</v>
      </c>
      <c r="W114" s="526">
        <f>+'NF-KSF-TRIAL-BAL-2021'!P114+'RA-TRIAL-BAL-2021'!P114+'DES-TRIAL-BAL-2021'!P114+'DMP-TRIAL-BAL-2021'!P114</f>
        <v>4330426.8899999997</v>
      </c>
      <c r="X114" s="525">
        <f>+'NF-KSF-TRIAL-BAL-2021'!Q114+'RA-TRIAL-BAL-2021'!Q114+'DES-TRIAL-BAL-2021'!Q114+'DMP-TRIAL-BAL-2021'!Q114</f>
        <v>5182748.29</v>
      </c>
      <c r="Y114" s="526">
        <f>+'NF-KSF-TRIAL-BAL-2021'!R114+'RA-TRIAL-BAL-2021'!R114+'DES-TRIAL-BAL-2021'!R114+'DMP-TRIAL-BAL-2021'!R114</f>
        <v>1293329.3899999999</v>
      </c>
      <c r="Z114" s="525">
        <f>+'NF-KSF-TRIAL-BAL-2021'!S114+'RA-TRIAL-BAL-2021'!S114+'DES-TRIAL-BAL-2021'!S114+'DMP-TRIAL-BAL-2021'!S114</f>
        <v>0</v>
      </c>
      <c r="AA114" s="527">
        <f>+'NF-KSF-TRIAL-BAL-2021'!T114+'RA-TRIAL-BAL-2021'!T114+'DES-TRIAL-BAL-2021'!T114+'DMP-TRIAL-BAL-2021'!T114</f>
        <v>441007.98999999982</v>
      </c>
      <c r="AB114" s="51"/>
      <c r="AC114" s="328">
        <v>0</v>
      </c>
      <c r="AD114" s="324"/>
      <c r="AE114" s="325"/>
      <c r="AF114" s="324"/>
      <c r="AG114" s="330">
        <v>0</v>
      </c>
      <c r="AH114" s="327">
        <f>+IF(ABS(+AC114+AE114)&lt;=ABS(AD114+AF114),-AC114+AD114-AE114+AF114,0)</f>
        <v>0</v>
      </c>
      <c r="AI114" s="51"/>
      <c r="AJ114" s="1496">
        <f t="shared" si="45"/>
        <v>4010</v>
      </c>
      <c r="AK114" s="328">
        <v>0</v>
      </c>
      <c r="AL114" s="970">
        <f t="shared" ref="AL114:AN150" si="65">+ROUND(+P114+W114+AD114,2)</f>
        <v>4385102.3899999997</v>
      </c>
      <c r="AM114" s="326">
        <f t="shared" si="65"/>
        <v>7398170.0099999998</v>
      </c>
      <c r="AN114" s="970">
        <f t="shared" si="65"/>
        <v>3462995.57</v>
      </c>
      <c r="AO114" s="330">
        <v>0</v>
      </c>
      <c r="AP114" s="28">
        <f>+T114+AA114+AH114</f>
        <v>449927.94999999978</v>
      </c>
      <c r="AQ114" s="43"/>
      <c r="AR114" s="358">
        <f t="shared" ref="AR114:AR194" si="66">+ROUND(+SUM(AK114-AL114)-SUM(O114-P114)-SUM(V114-W114)-SUM(AC114-AD114),2)</f>
        <v>0</v>
      </c>
      <c r="AS114" s="359">
        <f t="shared" ref="AS114:AS194" si="67">+ROUND(+SUM(AM114-AN114)-SUM(Q114-R114)-SUM(X114-Y114)-SUM(AE114-AF114),2)</f>
        <v>0</v>
      </c>
      <c r="AT114" s="360">
        <f t="shared" ref="AT114:AT194" si="68">+ROUND(+SUM(AO114-AP114)-SUM(S114-T114)-SUM(Z114-AA114)-SUM(AG114-AH114),2)</f>
        <v>0</v>
      </c>
      <c r="AU114" s="43"/>
      <c r="AV114" s="2119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119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64"/>
        <v>4020</v>
      </c>
      <c r="O115" s="120">
        <v>31513.39</v>
      </c>
      <c r="P115" s="9">
        <v>0</v>
      </c>
      <c r="Q115" s="325">
        <v>685020.76</v>
      </c>
      <c r="R115" s="324">
        <v>563880.95999999996</v>
      </c>
      <c r="S115" s="27">
        <f>+IF(ABS(+O115+Q115)&gt;=ABS(P115+R115),+O115-P115+Q115-R115,0)</f>
        <v>152653.19000000006</v>
      </c>
      <c r="T115" s="2132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41">
        <f>+'NF-KSF-TRIAL-BAL-2021'!O115+'RA-TRIAL-BAL-2021'!O115+'DES-TRIAL-BAL-2021'!O115+'DMP-TRIAL-BAL-2021'!O115</f>
        <v>477044.81</v>
      </c>
      <c r="W115" s="529">
        <f>+'NF-KSF-TRIAL-BAL-2021'!P115+'RA-TRIAL-BAL-2021'!P115+'DES-TRIAL-BAL-2021'!P115+'DMP-TRIAL-BAL-2021'!P115</f>
        <v>0</v>
      </c>
      <c r="X115" s="528">
        <f>+'NF-KSF-TRIAL-BAL-2021'!Q115+'RA-TRIAL-BAL-2021'!Q115+'DES-TRIAL-BAL-2021'!Q115+'DMP-TRIAL-BAL-2021'!Q115</f>
        <v>9820.4599999999991</v>
      </c>
      <c r="Y115" s="529">
        <f>+'NF-KSF-TRIAL-BAL-2021'!R115+'RA-TRIAL-BAL-2021'!R115+'DES-TRIAL-BAL-2021'!R115+'DMP-TRIAL-BAL-2021'!R115</f>
        <v>464637.97</v>
      </c>
      <c r="Z115" s="528">
        <f>+'NF-KSF-TRIAL-BAL-2021'!S115+'RA-TRIAL-BAL-2021'!S115+'DES-TRIAL-BAL-2021'!S115+'DMP-TRIAL-BAL-2021'!S115</f>
        <v>22227.300000000057</v>
      </c>
      <c r="AA115" s="1951">
        <f>+'NF-KSF-TRIAL-BAL-2021'!T115+'RA-TRIAL-BAL-2021'!T115+'DES-TRIAL-BAL-2021'!T115+'DMP-TRIAL-BAL-2021'!T115</f>
        <v>0</v>
      </c>
      <c r="AB115" s="51"/>
      <c r="AC115" s="120"/>
      <c r="AD115" s="9">
        <v>0</v>
      </c>
      <c r="AE115" s="325"/>
      <c r="AF115" s="324"/>
      <c r="AG115" s="27">
        <f>+IF(ABS(+AC115+AE115)&gt;=ABS(AD115+AF115),+AC115-AD115+AE115-AF115,0)</f>
        <v>0</v>
      </c>
      <c r="AH115" s="2133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97">
        <f t="shared" si="45"/>
        <v>4020</v>
      </c>
      <c r="AK115" s="951">
        <f>+ROUND(+O115+V115+AC115,2)</f>
        <v>508558.2</v>
      </c>
      <c r="AL115" s="9">
        <v>0</v>
      </c>
      <c r="AM115" s="326">
        <f t="shared" si="65"/>
        <v>694841.22</v>
      </c>
      <c r="AN115" s="970">
        <f t="shared" si="65"/>
        <v>1028518.93</v>
      </c>
      <c r="AO115" s="326">
        <f>+S115+Z115+AG115</f>
        <v>174880.49000000011</v>
      </c>
      <c r="AP115" s="1952">
        <f>+T115+AA115+AH115</f>
        <v>0</v>
      </c>
      <c r="AQ115" s="43"/>
      <c r="AR115" s="358">
        <f t="shared" si="66"/>
        <v>0</v>
      </c>
      <c r="AS115" s="359">
        <f t="shared" si="67"/>
        <v>0</v>
      </c>
      <c r="AT115" s="360">
        <f t="shared" si="68"/>
        <v>0</v>
      </c>
      <c r="AU115" s="43"/>
      <c r="A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124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25"/>
      <c r="R116" s="324"/>
      <c r="S116" s="29">
        <v>0</v>
      </c>
      <c r="T116" s="28">
        <f>+IF(ABS(+O116+Q116)&lt;=ABS(P116+R116),-O116+P116-Q116+R116,0)</f>
        <v>0</v>
      </c>
      <c r="U116" s="51"/>
      <c r="V116" s="541">
        <f>+'NF-KSF-TRIAL-BAL-2021'!O116+'RA-TRIAL-BAL-2021'!O116+'DES-TRIAL-BAL-2021'!O116+'DMP-TRIAL-BAL-2021'!O116</f>
        <v>0</v>
      </c>
      <c r="W116" s="529">
        <f>+'NF-KSF-TRIAL-BAL-2021'!P116+'RA-TRIAL-BAL-2021'!P116+'DES-TRIAL-BAL-2021'!P116+'DMP-TRIAL-BAL-2021'!P116</f>
        <v>0</v>
      </c>
      <c r="X116" s="528">
        <f>+'NF-KSF-TRIAL-BAL-2021'!Q116+'RA-TRIAL-BAL-2021'!Q116+'DES-TRIAL-BAL-2021'!Q116+'DMP-TRIAL-BAL-2021'!Q116</f>
        <v>0</v>
      </c>
      <c r="Y116" s="529">
        <f>+'NF-KSF-TRIAL-BAL-2021'!R116+'RA-TRIAL-BAL-2021'!R116+'DES-TRIAL-BAL-2021'!R116+'DMP-TRIAL-BAL-2021'!R116</f>
        <v>0</v>
      </c>
      <c r="Z116" s="528">
        <f>+'NF-KSF-TRIAL-BAL-2021'!S116+'RA-TRIAL-BAL-2021'!S116+'DES-TRIAL-BAL-2021'!S116+'DMP-TRIAL-BAL-2021'!S116</f>
        <v>0</v>
      </c>
      <c r="AA116" s="347">
        <f>+'NF-KSF-TRIAL-BAL-2021'!T116+'RA-TRIAL-BAL-2021'!T116+'DES-TRIAL-BAL-2021'!T116+'DMP-TRIAL-BAL-2021'!T116</f>
        <v>0</v>
      </c>
      <c r="AB116" s="51"/>
      <c r="AC116" s="8">
        <v>0</v>
      </c>
      <c r="AD116" s="121"/>
      <c r="AE116" s="122"/>
      <c r="AF116" s="324"/>
      <c r="AG116" s="29">
        <v>0</v>
      </c>
      <c r="AH116" s="28">
        <f>+IF(ABS(+AC116+AE116)&lt;=ABS(AD116+AF116),-AC116+AD116-AE116+AF116,0)</f>
        <v>0</v>
      </c>
      <c r="AI116" s="51"/>
      <c r="AJ116" s="1497">
        <f t="shared" si="45"/>
        <v>4030</v>
      </c>
      <c r="AK116" s="8">
        <v>0</v>
      </c>
      <c r="AL116" s="970">
        <f t="shared" si="65"/>
        <v>0</v>
      </c>
      <c r="AM116" s="326">
        <f t="shared" si="65"/>
        <v>0</v>
      </c>
      <c r="AN116" s="970">
        <f t="shared" si="65"/>
        <v>0</v>
      </c>
      <c r="AO116" s="29">
        <v>0</v>
      </c>
      <c r="AP116" s="28">
        <f>+T116+AA116+AH116</f>
        <v>0</v>
      </c>
      <c r="AQ116" s="43"/>
      <c r="AR116" s="358">
        <f t="shared" si="66"/>
        <v>0</v>
      </c>
      <c r="AS116" s="359">
        <f t="shared" si="67"/>
        <v>0</v>
      </c>
      <c r="AT116" s="360">
        <f t="shared" si="68"/>
        <v>0</v>
      </c>
      <c r="AU116" s="43"/>
      <c r="AV116" s="2119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119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25"/>
      <c r="R117" s="324"/>
      <c r="S117" s="27">
        <f>+IF(ABS(+O117+Q117)&gt;=ABS(P117+R117),+O117-P117+Q117-R117,0)</f>
        <v>0</v>
      </c>
      <c r="T117" s="2132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41">
        <f>+'NF-KSF-TRIAL-BAL-2021'!O117+'RA-TRIAL-BAL-2021'!O117+'DES-TRIAL-BAL-2021'!O117+'DMP-TRIAL-BAL-2021'!O117</f>
        <v>0</v>
      </c>
      <c r="W117" s="529">
        <f>+'NF-KSF-TRIAL-BAL-2021'!P117+'RA-TRIAL-BAL-2021'!P117+'DES-TRIAL-BAL-2021'!P117+'DMP-TRIAL-BAL-2021'!P117</f>
        <v>0</v>
      </c>
      <c r="X117" s="528">
        <f>+'NF-KSF-TRIAL-BAL-2021'!Q117+'RA-TRIAL-BAL-2021'!Q117+'DES-TRIAL-BAL-2021'!Q117+'DMP-TRIAL-BAL-2021'!Q117</f>
        <v>0</v>
      </c>
      <c r="Y117" s="529">
        <f>+'NF-KSF-TRIAL-BAL-2021'!R117+'RA-TRIAL-BAL-2021'!R117+'DES-TRIAL-BAL-2021'!R117+'DMP-TRIAL-BAL-2021'!R117</f>
        <v>0</v>
      </c>
      <c r="Z117" s="528">
        <f>+'NF-KSF-TRIAL-BAL-2021'!S117+'RA-TRIAL-BAL-2021'!S117+'DES-TRIAL-BAL-2021'!S117+'DMP-TRIAL-BAL-2021'!S117</f>
        <v>0</v>
      </c>
      <c r="AA117" s="1951">
        <f>+'NF-KSF-TRIAL-BAL-2021'!T117+'RA-TRIAL-BAL-2021'!T117+'DES-TRIAL-BAL-2021'!T117+'DMP-TRIAL-BAL-2021'!T117</f>
        <v>0</v>
      </c>
      <c r="AB117" s="51"/>
      <c r="AC117" s="120"/>
      <c r="AD117" s="9">
        <v>0</v>
      </c>
      <c r="AE117" s="325"/>
      <c r="AF117" s="324"/>
      <c r="AG117" s="27">
        <f>+IF(ABS(+AC117+AE117)&gt;=ABS(AD117+AF117),+AC117-AD117+AE117-AF117,0)</f>
        <v>0</v>
      </c>
      <c r="AH117" s="2133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97">
        <f t="shared" si="45"/>
        <v>4040</v>
      </c>
      <c r="AK117" s="951">
        <f>+ROUND(+O117+V117+AC117,2)</f>
        <v>0</v>
      </c>
      <c r="AL117" s="9">
        <v>0</v>
      </c>
      <c r="AM117" s="326">
        <f t="shared" si="65"/>
        <v>0</v>
      </c>
      <c r="AN117" s="970">
        <f t="shared" si="65"/>
        <v>0</v>
      </c>
      <c r="AO117" s="326">
        <f>+S117+Z117+AG117</f>
        <v>0</v>
      </c>
      <c r="AP117" s="1952">
        <f>+T117+AA117+AH117</f>
        <v>0</v>
      </c>
      <c r="AQ117" s="43"/>
      <c r="AR117" s="358">
        <f t="shared" si="66"/>
        <v>0</v>
      </c>
      <c r="AS117" s="359">
        <f t="shared" si="67"/>
        <v>0</v>
      </c>
      <c r="AT117" s="360">
        <f t="shared" si="68"/>
        <v>0</v>
      </c>
      <c r="AU117" s="43"/>
      <c r="A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124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25"/>
      <c r="R118" s="324"/>
      <c r="S118" s="29">
        <v>0</v>
      </c>
      <c r="T118" s="28">
        <f>+IF(ABS(+O118+Q118)&lt;=ABS(P118+R118),-O118+P118-Q118+R118,0)</f>
        <v>0</v>
      </c>
      <c r="U118" s="51"/>
      <c r="V118" s="541">
        <f>+'NF-KSF-TRIAL-BAL-2021'!O118+'RA-TRIAL-BAL-2021'!O118+'DES-TRIAL-BAL-2021'!O118+'DMP-TRIAL-BAL-2021'!O118</f>
        <v>0</v>
      </c>
      <c r="W118" s="529">
        <f>+'NF-KSF-TRIAL-BAL-2021'!P118+'RA-TRIAL-BAL-2021'!P118+'DES-TRIAL-BAL-2021'!P118+'DMP-TRIAL-BAL-2021'!P118</f>
        <v>0</v>
      </c>
      <c r="X118" s="528">
        <f>+'NF-KSF-TRIAL-BAL-2021'!Q118+'RA-TRIAL-BAL-2021'!Q118+'DES-TRIAL-BAL-2021'!Q118+'DMP-TRIAL-BAL-2021'!Q118</f>
        <v>0</v>
      </c>
      <c r="Y118" s="529">
        <f>+'NF-KSF-TRIAL-BAL-2021'!R118+'RA-TRIAL-BAL-2021'!R118+'DES-TRIAL-BAL-2021'!R118+'DMP-TRIAL-BAL-2021'!R118</f>
        <v>0</v>
      </c>
      <c r="Z118" s="528">
        <f>+'NF-KSF-TRIAL-BAL-2021'!S118+'RA-TRIAL-BAL-2021'!S118+'DES-TRIAL-BAL-2021'!S118+'DMP-TRIAL-BAL-2021'!S118</f>
        <v>0</v>
      </c>
      <c r="AA118" s="347">
        <f>+'NF-KSF-TRIAL-BAL-2021'!T118+'RA-TRIAL-BAL-2021'!T118+'DES-TRIAL-BAL-2021'!T118+'DMP-TRIAL-BAL-2021'!T118</f>
        <v>0</v>
      </c>
      <c r="AB118" s="51"/>
      <c r="AC118" s="8">
        <v>0</v>
      </c>
      <c r="AD118" s="121"/>
      <c r="AE118" s="325"/>
      <c r="AF118" s="324"/>
      <c r="AG118" s="29">
        <v>0</v>
      </c>
      <c r="AH118" s="28">
        <f>+IF(ABS(+AC118+AE118)&lt;=ABS(AD118+AF118),-AC118+AD118-AE118+AF118,0)</f>
        <v>0</v>
      </c>
      <c r="AI118" s="51"/>
      <c r="AJ118" s="1497">
        <f t="shared" si="45"/>
        <v>4050</v>
      </c>
      <c r="AK118" s="8">
        <v>0</v>
      </c>
      <c r="AL118" s="970">
        <f t="shared" si="65"/>
        <v>0</v>
      </c>
      <c r="AM118" s="326">
        <f t="shared" si="65"/>
        <v>0</v>
      </c>
      <c r="AN118" s="970">
        <f t="shared" si="65"/>
        <v>0</v>
      </c>
      <c r="AO118" s="29">
        <v>0</v>
      </c>
      <c r="AP118" s="327">
        <f>+T118+AA118+AH118</f>
        <v>0</v>
      </c>
      <c r="AQ118" s="43"/>
      <c r="AR118" s="358">
        <f t="shared" si="66"/>
        <v>0</v>
      </c>
      <c r="AS118" s="359">
        <f t="shared" si="67"/>
        <v>0</v>
      </c>
      <c r="AT118" s="360">
        <f t="shared" si="68"/>
        <v>0</v>
      </c>
      <c r="AU118" s="43"/>
      <c r="AV118" s="2119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119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>+A119</f>
        <v>4052</v>
      </c>
      <c r="O119" s="120"/>
      <c r="P119" s="9">
        <v>0</v>
      </c>
      <c r="Q119" s="325"/>
      <c r="R119" s="324"/>
      <c r="S119" s="27">
        <f>+IF(ABS(+O119+Q119)&gt;=ABS(P119+R119),+O119-P119+Q119-R119,0)</f>
        <v>0</v>
      </c>
      <c r="T119" s="30">
        <v>0</v>
      </c>
      <c r="U119" s="51"/>
      <c r="V119" s="541">
        <f>+'NF-KSF-TRIAL-BAL-2021'!O119+'RA-TRIAL-BAL-2021'!O119+'DES-TRIAL-BAL-2021'!O119+'DMP-TRIAL-BAL-2021'!O119</f>
        <v>0</v>
      </c>
      <c r="W119" s="529">
        <f>+'NF-KSF-TRIAL-BAL-2021'!P119+'RA-TRIAL-BAL-2021'!P119+'DES-TRIAL-BAL-2021'!P119+'DMP-TRIAL-BAL-2021'!P119</f>
        <v>0</v>
      </c>
      <c r="X119" s="528">
        <f>+'NF-KSF-TRIAL-BAL-2021'!Q119+'RA-TRIAL-BAL-2021'!Q119+'DES-TRIAL-BAL-2021'!Q119+'DMP-TRIAL-BAL-2021'!Q119</f>
        <v>0</v>
      </c>
      <c r="Y119" s="529">
        <f>+'NF-KSF-TRIAL-BAL-2021'!R119+'RA-TRIAL-BAL-2021'!R119+'DES-TRIAL-BAL-2021'!R119+'DMP-TRIAL-BAL-2021'!R119</f>
        <v>0</v>
      </c>
      <c r="Z119" s="528">
        <f>+'NF-KSF-TRIAL-BAL-2021'!S119+'RA-TRIAL-BAL-2021'!S119+'DES-TRIAL-BAL-2021'!S119+'DMP-TRIAL-BAL-2021'!S119</f>
        <v>0</v>
      </c>
      <c r="AA119" s="347">
        <f>+'NF-KSF-TRIAL-BAL-2021'!T119+'RA-TRIAL-BAL-2021'!T119+'DES-TRIAL-BAL-2021'!T119+'DMP-TRIAL-BAL-2021'!T119</f>
        <v>0</v>
      </c>
      <c r="AB119" s="51"/>
      <c r="AC119" s="120"/>
      <c r="AD119" s="9">
        <v>0</v>
      </c>
      <c r="AE119" s="122"/>
      <c r="AF119" s="324"/>
      <c r="AG119" s="27">
        <f>+IF(ABS(+AC119+AE119)&gt;=ABS(AD119+AF119),+AC119-AD119+AE119-AF119,0)</f>
        <v>0</v>
      </c>
      <c r="AH119" s="30">
        <v>0</v>
      </c>
      <c r="AI119" s="51"/>
      <c r="AJ119" s="1497">
        <f>+N119</f>
        <v>4052</v>
      </c>
      <c r="AK119" s="951">
        <f>+ROUND(+O119+V119+AC119,2)</f>
        <v>0</v>
      </c>
      <c r="AL119" s="9">
        <v>0</v>
      </c>
      <c r="AM119" s="326">
        <f t="shared" ref="AM119:AN123" si="69">+ROUND(+Q119+X119+AE119,2)</f>
        <v>0</v>
      </c>
      <c r="AN119" s="970">
        <f t="shared" si="69"/>
        <v>0</v>
      </c>
      <c r="AO119" s="326">
        <f>+S119+Z119+AG119</f>
        <v>0</v>
      </c>
      <c r="AP119" s="30">
        <v>0</v>
      </c>
      <c r="AQ119" s="43"/>
      <c r="AR119" s="358">
        <f>+ROUND(+SUM(AK119-AL119)-SUM(O119-P119)-SUM(V119-W119)-SUM(AC119-AD119),2)</f>
        <v>0</v>
      </c>
      <c r="AS119" s="359">
        <f>+ROUND(+SUM(AM119-AN119)-SUM(Q119-R119)-SUM(X119-Y119)-SUM(AE119-AF119),2)</f>
        <v>0</v>
      </c>
      <c r="AT119" s="360">
        <f>+ROUND(+SUM(AO119-AP119)-SUM(S119-T119)-SUM(Z119-AA119)-SUM(AG119-AH119),2)</f>
        <v>0</v>
      </c>
      <c r="AU119" s="43"/>
      <c r="AV119" s="2120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120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 t="s">
        <v>265</v>
      </c>
      <c r="N120" s="113">
        <f>+A120</f>
        <v>4057</v>
      </c>
      <c r="O120" s="581"/>
      <c r="P120" s="576"/>
      <c r="Q120" s="325"/>
      <c r="R120" s="324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541">
        <f>+'NF-KSF-TRIAL-BAL-2021'!O120+'RA-TRIAL-BAL-2021'!O120+'DES-TRIAL-BAL-2021'!O120+'DMP-TRIAL-BAL-2021'!O120</f>
        <v>0</v>
      </c>
      <c r="W120" s="529">
        <f>+'NF-KSF-TRIAL-BAL-2021'!P120+'RA-TRIAL-BAL-2021'!P120+'DES-TRIAL-BAL-2021'!P120+'DMP-TRIAL-BAL-2021'!P120</f>
        <v>0</v>
      </c>
      <c r="X120" s="587">
        <f>+'NF-KSF-TRIAL-BAL-2021'!Q120+'RA-TRIAL-BAL-2021'!Q120+'DES-TRIAL-BAL-2021'!Q120+'DMP-TRIAL-BAL-2021'!Q120</f>
        <v>0</v>
      </c>
      <c r="Y120" s="586">
        <f>+'NF-KSF-TRIAL-BAL-2021'!R120+'RA-TRIAL-BAL-2021'!R120+'DES-TRIAL-BAL-2021'!R120+'DMP-TRIAL-BAL-2021'!R120</f>
        <v>0</v>
      </c>
      <c r="Z120" s="587">
        <f>+'NF-KSF-TRIAL-BAL-2021'!S120+'RA-TRIAL-BAL-2021'!S120+'DES-TRIAL-BAL-2021'!S120+'DMP-TRIAL-BAL-2021'!S120</f>
        <v>0</v>
      </c>
      <c r="AA120" s="588">
        <f>+'NF-KSF-TRIAL-BAL-2021'!T120+'RA-TRIAL-BAL-2021'!T120+'DES-TRIAL-BAL-2021'!T120+'DMP-TRIAL-BAL-2021'!T120</f>
        <v>0</v>
      </c>
      <c r="AB120" s="51"/>
      <c r="AC120" s="581"/>
      <c r="AD120" s="576"/>
      <c r="AE120" s="325"/>
      <c r="AF120" s="324"/>
      <c r="AG120" s="583">
        <f>+IF(ABS(+AC120+AE120)&gt;=ABS(AD120+AF120),+AC120-AD120+AE120-AF120,0)</f>
        <v>0</v>
      </c>
      <c r="AH120" s="580">
        <f>+IF(ABS(+AC120+AE120)&lt;=ABS(AD120+AF120),-AC120+AD120-AE120+AF120,0)</f>
        <v>0</v>
      </c>
      <c r="AI120" s="51"/>
      <c r="AJ120" s="1497">
        <f>+N120</f>
        <v>4057</v>
      </c>
      <c r="AK120" s="951">
        <f>+ROUND(+O120+V120+AC120,2)</f>
        <v>0</v>
      </c>
      <c r="AL120" s="970">
        <f>+ROUND(+P120+W120+AD120,2)</f>
        <v>0</v>
      </c>
      <c r="AM120" s="326">
        <f t="shared" si="69"/>
        <v>0</v>
      </c>
      <c r="AN120" s="970">
        <f t="shared" si="69"/>
        <v>0</v>
      </c>
      <c r="AO120" s="326">
        <f>+S120+Z120+AG120</f>
        <v>0</v>
      </c>
      <c r="AP120" s="28">
        <f>+T120+AA120+AH120</f>
        <v>0</v>
      </c>
      <c r="AQ120" s="43"/>
      <c r="AR120" s="358">
        <f>+ROUND(+SUM(AK120-AL120)-SUM(O120-P120)-SUM(V120-W120)-SUM(AC120-AD120),2)</f>
        <v>0</v>
      </c>
      <c r="AS120" s="359">
        <f>+ROUND(+SUM(AM120-AN120)-SUM(Q120-R120)-SUM(X120-Y120)-SUM(AE120-AF120),2)</f>
        <v>0</v>
      </c>
      <c r="AT120" s="360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 t="s">
        <v>265</v>
      </c>
      <c r="N121" s="113">
        <f>+A121</f>
        <v>4058</v>
      </c>
      <c r="O121" s="581"/>
      <c r="P121" s="576"/>
      <c r="Q121" s="325"/>
      <c r="R121" s="324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541">
        <f>+'NF-KSF-TRIAL-BAL-2021'!O121+'RA-TRIAL-BAL-2021'!O121+'DES-TRIAL-BAL-2021'!O121+'DMP-TRIAL-BAL-2021'!O121</f>
        <v>0</v>
      </c>
      <c r="W121" s="529">
        <f>+'NF-KSF-TRIAL-BAL-2021'!P121+'RA-TRIAL-BAL-2021'!P121+'DES-TRIAL-BAL-2021'!P121+'DMP-TRIAL-BAL-2021'!P121</f>
        <v>0</v>
      </c>
      <c r="X121" s="587">
        <f>+'NF-KSF-TRIAL-BAL-2021'!Q121+'RA-TRIAL-BAL-2021'!Q121+'DES-TRIAL-BAL-2021'!Q121+'DMP-TRIAL-BAL-2021'!Q121</f>
        <v>0</v>
      </c>
      <c r="Y121" s="586">
        <f>+'NF-KSF-TRIAL-BAL-2021'!R121+'RA-TRIAL-BAL-2021'!R121+'DES-TRIAL-BAL-2021'!R121+'DMP-TRIAL-BAL-2021'!R121</f>
        <v>0</v>
      </c>
      <c r="Z121" s="587">
        <f>+'NF-KSF-TRIAL-BAL-2021'!S121+'RA-TRIAL-BAL-2021'!S121+'DES-TRIAL-BAL-2021'!S121+'DMP-TRIAL-BAL-2021'!S121</f>
        <v>0</v>
      </c>
      <c r="AA121" s="588">
        <f>+'NF-KSF-TRIAL-BAL-2021'!T121+'RA-TRIAL-BAL-2021'!T121+'DES-TRIAL-BAL-2021'!T121+'DMP-TRIAL-BAL-2021'!T121</f>
        <v>0</v>
      </c>
      <c r="AB121" s="51"/>
      <c r="AC121" s="581"/>
      <c r="AD121" s="576"/>
      <c r="AE121" s="325"/>
      <c r="AF121" s="324"/>
      <c r="AG121" s="583">
        <f>+IF(ABS(+AC121+AE121)&gt;=ABS(AD121+AF121),+AC121-AD121+AE121-AF121,0)</f>
        <v>0</v>
      </c>
      <c r="AH121" s="580">
        <f>+IF(ABS(+AC121+AE121)&lt;=ABS(AD121+AF121),-AC121+AD121-AE121+AF121,0)</f>
        <v>0</v>
      </c>
      <c r="AI121" s="51"/>
      <c r="AJ121" s="1497">
        <f>+N121</f>
        <v>4058</v>
      </c>
      <c r="AK121" s="951">
        <f>+ROUND(+O121+V121+AC121,2)</f>
        <v>0</v>
      </c>
      <c r="AL121" s="970">
        <f>+ROUND(+P121+W121+AD121,2)</f>
        <v>0</v>
      </c>
      <c r="AM121" s="326">
        <f t="shared" si="69"/>
        <v>0</v>
      </c>
      <c r="AN121" s="970">
        <f t="shared" si="69"/>
        <v>0</v>
      </c>
      <c r="AO121" s="326">
        <f>+S121+Z121+AG121</f>
        <v>0</v>
      </c>
      <c r="AP121" s="28">
        <f>+T121+AA121+AH121</f>
        <v>0</v>
      </c>
      <c r="AQ121" s="43"/>
      <c r="AR121" s="358">
        <f>+ROUND(+SUM(AK121-AL121)-SUM(O121-P121)-SUM(V121-W121)-SUM(AC121-AD121),2)</f>
        <v>0</v>
      </c>
      <c r="AS121" s="359">
        <f>+ROUND(+SUM(AM121-AN121)-SUM(Q121-R121)-SUM(X121-Y121)-SUM(AE121-AF121),2)</f>
        <v>0</v>
      </c>
      <c r="AT121" s="360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>+A122</f>
        <v>4071</v>
      </c>
      <c r="O122" s="8">
        <v>0</v>
      </c>
      <c r="P122" s="121"/>
      <c r="Q122" s="325"/>
      <c r="R122" s="324"/>
      <c r="S122" s="29">
        <v>0</v>
      </c>
      <c r="T122" s="28">
        <f>+IF(ABS(+O122+Q122)&lt;=ABS(P122+R122),-O122+P122-Q122+R122,0)</f>
        <v>0</v>
      </c>
      <c r="U122" s="51"/>
      <c r="V122" s="541">
        <f>+'NF-KSF-TRIAL-BAL-2021'!O122+'RA-TRIAL-BAL-2021'!O122+'DES-TRIAL-BAL-2021'!O122+'DMP-TRIAL-BAL-2021'!O122</f>
        <v>0</v>
      </c>
      <c r="W122" s="529">
        <f>+'NF-KSF-TRIAL-BAL-2021'!P122+'RA-TRIAL-BAL-2021'!P122+'DES-TRIAL-BAL-2021'!P122+'DMP-TRIAL-BAL-2021'!P122</f>
        <v>0</v>
      </c>
      <c r="X122" s="528">
        <f>+'NF-KSF-TRIAL-BAL-2021'!Q122+'RA-TRIAL-BAL-2021'!Q122+'DES-TRIAL-BAL-2021'!Q122+'DMP-TRIAL-BAL-2021'!Q122</f>
        <v>0</v>
      </c>
      <c r="Y122" s="529">
        <f>+'NF-KSF-TRIAL-BAL-2021'!R122+'RA-TRIAL-BAL-2021'!R122+'DES-TRIAL-BAL-2021'!R122+'DMP-TRIAL-BAL-2021'!R122</f>
        <v>0</v>
      </c>
      <c r="Z122" s="528">
        <f>+'NF-KSF-TRIAL-BAL-2021'!S122+'RA-TRIAL-BAL-2021'!S122+'DES-TRIAL-BAL-2021'!S122+'DMP-TRIAL-BAL-2021'!S122</f>
        <v>0</v>
      </c>
      <c r="AA122" s="347">
        <f>+'NF-KSF-TRIAL-BAL-2021'!T122+'RA-TRIAL-BAL-2021'!T122+'DES-TRIAL-BAL-2021'!T122+'DMP-TRIAL-BAL-2021'!T122</f>
        <v>0</v>
      </c>
      <c r="AB122" s="51"/>
      <c r="AC122" s="8">
        <v>0</v>
      </c>
      <c r="AD122" s="121"/>
      <c r="AE122" s="122"/>
      <c r="AF122" s="324"/>
      <c r="AG122" s="29">
        <v>0</v>
      </c>
      <c r="AH122" s="28">
        <f>+IF(ABS(+AC122+AE122)&lt;=ABS(AD122+AF122),-AC122+AD122-AE122+AF122,0)</f>
        <v>0</v>
      </c>
      <c r="AI122" s="51"/>
      <c r="AJ122" s="1497">
        <f>+N122</f>
        <v>4071</v>
      </c>
      <c r="AK122" s="8">
        <v>0</v>
      </c>
      <c r="AL122" s="970">
        <f>+ROUND(+P122+W122+AD122,2)</f>
        <v>0</v>
      </c>
      <c r="AM122" s="326">
        <f t="shared" si="69"/>
        <v>0</v>
      </c>
      <c r="AN122" s="970">
        <f t="shared" si="69"/>
        <v>0</v>
      </c>
      <c r="AO122" s="29">
        <v>0</v>
      </c>
      <c r="AP122" s="28">
        <f>+T122+AA122+AH122</f>
        <v>0</v>
      </c>
      <c r="AQ122" s="43"/>
      <c r="AR122" s="358">
        <f>+ROUND(+SUM(AK122-AL122)-SUM(O122-P122)-SUM(V122-W122)-SUM(AC122-AD122),2)</f>
        <v>0</v>
      </c>
      <c r="AS122" s="359">
        <f>+ROUND(+SUM(AM122-AN122)-SUM(Q122-R122)-SUM(X122-Y122)-SUM(AE122-AF122),2)</f>
        <v>0</v>
      </c>
      <c r="AT122" s="360">
        <f>+ROUND(+SUM(AO122-AP122)-SUM(S122-T122)-SUM(Z122-AA122)-SUM(AG122-AH122),2)</f>
        <v>0</v>
      </c>
      <c r="AU122" s="43"/>
      <c r="AV122" s="2119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119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>+A123</f>
        <v>4072</v>
      </c>
      <c r="O123" s="120"/>
      <c r="P123" s="9">
        <v>0</v>
      </c>
      <c r="Q123" s="325"/>
      <c r="R123" s="324"/>
      <c r="S123" s="27">
        <f>+IF(ABS(+O123+Q123)&gt;=ABS(P123+R123),+O123-P123+Q123-R123,0)</f>
        <v>0</v>
      </c>
      <c r="T123" s="30">
        <v>0</v>
      </c>
      <c r="U123" s="51"/>
      <c r="V123" s="541">
        <f>+'NF-KSF-TRIAL-BAL-2021'!O123+'RA-TRIAL-BAL-2021'!O123+'DES-TRIAL-BAL-2021'!O123+'DMP-TRIAL-BAL-2021'!O123</f>
        <v>0</v>
      </c>
      <c r="W123" s="529">
        <f>+'NF-KSF-TRIAL-BAL-2021'!P123+'RA-TRIAL-BAL-2021'!P123+'DES-TRIAL-BAL-2021'!P123+'DMP-TRIAL-BAL-2021'!P123</f>
        <v>0</v>
      </c>
      <c r="X123" s="528">
        <f>+'NF-KSF-TRIAL-BAL-2021'!Q123+'RA-TRIAL-BAL-2021'!Q123+'DES-TRIAL-BAL-2021'!Q123+'DMP-TRIAL-BAL-2021'!Q123</f>
        <v>0</v>
      </c>
      <c r="Y123" s="529">
        <f>+'NF-KSF-TRIAL-BAL-2021'!R123+'RA-TRIAL-BAL-2021'!R123+'DES-TRIAL-BAL-2021'!R123+'DMP-TRIAL-BAL-2021'!R123</f>
        <v>0</v>
      </c>
      <c r="Z123" s="528">
        <f>+'NF-KSF-TRIAL-BAL-2021'!S123+'RA-TRIAL-BAL-2021'!S123+'DES-TRIAL-BAL-2021'!S123+'DMP-TRIAL-BAL-2021'!S123</f>
        <v>0</v>
      </c>
      <c r="AA123" s="347">
        <f>+'NF-KSF-TRIAL-BAL-2021'!T123+'RA-TRIAL-BAL-2021'!T123+'DES-TRIAL-BAL-2021'!T123+'DMP-TRIAL-BAL-2021'!T123</f>
        <v>0</v>
      </c>
      <c r="AB123" s="51"/>
      <c r="AC123" s="120"/>
      <c r="AD123" s="9">
        <v>0</v>
      </c>
      <c r="AE123" s="325"/>
      <c r="AF123" s="324"/>
      <c r="AG123" s="27">
        <f>+IF(ABS(+AC123+AE123)&gt;=ABS(AD123+AF123),+AC123-AD123+AE123-AF123,0)</f>
        <v>0</v>
      </c>
      <c r="AH123" s="30">
        <v>0</v>
      </c>
      <c r="AI123" s="51"/>
      <c r="AJ123" s="1497">
        <f>+N123</f>
        <v>4072</v>
      </c>
      <c r="AK123" s="951">
        <f>+ROUND(+O123+V123+AC123,2)</f>
        <v>0</v>
      </c>
      <c r="AL123" s="9">
        <v>0</v>
      </c>
      <c r="AM123" s="326">
        <f t="shared" si="69"/>
        <v>0</v>
      </c>
      <c r="AN123" s="970">
        <f t="shared" si="69"/>
        <v>0</v>
      </c>
      <c r="AO123" s="326">
        <f>+S123+Z123+AG123</f>
        <v>0</v>
      </c>
      <c r="AP123" s="30">
        <v>0</v>
      </c>
      <c r="AQ123" s="43"/>
      <c r="AR123" s="358">
        <f>+ROUND(+SUM(AK123-AL123)-SUM(O123-P123)-SUM(V123-W123)-SUM(AC123-AD123),2)</f>
        <v>0</v>
      </c>
      <c r="AS123" s="359">
        <f>+ROUND(+SUM(AM123-AN123)-SUM(Q123-R123)-SUM(X123-Y123)-SUM(AE123-AF123),2)</f>
        <v>0</v>
      </c>
      <c r="AT123" s="360">
        <f>+ROUND(+SUM(AO123-AP123)-SUM(S123-T123)-SUM(Z123-AA123)-SUM(AG123-AH123),2)</f>
        <v>0</v>
      </c>
      <c r="AU123" s="43"/>
      <c r="AV123" s="2120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120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64"/>
        <v>4110</v>
      </c>
      <c r="O124" s="120">
        <v>510069.22</v>
      </c>
      <c r="P124" s="9">
        <v>0</v>
      </c>
      <c r="Q124" s="325">
        <v>749714.33</v>
      </c>
      <c r="R124" s="324">
        <v>790669.08</v>
      </c>
      <c r="S124" s="27">
        <f>+IF(ABS(+O124+Q124)&gt;=ABS(P124+R124),+O124-P124+Q124-R124,0)</f>
        <v>469114.46999999986</v>
      </c>
      <c r="T124" s="30">
        <v>0</v>
      </c>
      <c r="U124" s="51"/>
      <c r="V124" s="541">
        <f>+'NF-KSF-TRIAL-BAL-2021'!O124+'RA-TRIAL-BAL-2021'!O124+'DES-TRIAL-BAL-2021'!O124+'DMP-TRIAL-BAL-2021'!O124</f>
        <v>0</v>
      </c>
      <c r="W124" s="529">
        <f>+'NF-KSF-TRIAL-BAL-2021'!P124+'RA-TRIAL-BAL-2021'!P124+'DES-TRIAL-BAL-2021'!P124+'DMP-TRIAL-BAL-2021'!P124</f>
        <v>0</v>
      </c>
      <c r="X124" s="528">
        <f>+'NF-KSF-TRIAL-BAL-2021'!Q124+'RA-TRIAL-BAL-2021'!Q124+'DES-TRIAL-BAL-2021'!Q124+'DMP-TRIAL-BAL-2021'!Q124</f>
        <v>0</v>
      </c>
      <c r="Y124" s="529">
        <f>+'NF-KSF-TRIAL-BAL-2021'!R124+'RA-TRIAL-BAL-2021'!R124+'DES-TRIAL-BAL-2021'!R124+'DMP-TRIAL-BAL-2021'!R124</f>
        <v>0</v>
      </c>
      <c r="Z124" s="528">
        <f>+'NF-KSF-TRIAL-BAL-2021'!S124+'RA-TRIAL-BAL-2021'!S124+'DES-TRIAL-BAL-2021'!S124+'DMP-TRIAL-BAL-2021'!S124</f>
        <v>0</v>
      </c>
      <c r="AA124" s="347">
        <f>+'NF-KSF-TRIAL-BAL-2021'!T124+'RA-TRIAL-BAL-2021'!T124+'DES-TRIAL-BAL-2021'!T124+'DMP-TRIAL-BAL-2021'!T124</f>
        <v>0</v>
      </c>
      <c r="AB124" s="51"/>
      <c r="AC124" s="120"/>
      <c r="AD124" s="9">
        <v>0</v>
      </c>
      <c r="AE124" s="325"/>
      <c r="AF124" s="324"/>
      <c r="AG124" s="27">
        <f>+IF(ABS(+AC124+AE124)&gt;=ABS(AD124+AF124),+AC124-AD124+AE124-AF124,0)</f>
        <v>0</v>
      </c>
      <c r="AH124" s="30">
        <v>0</v>
      </c>
      <c r="AI124" s="51"/>
      <c r="AJ124" s="1497">
        <f t="shared" si="45"/>
        <v>4110</v>
      </c>
      <c r="AK124" s="951">
        <f>+ROUND(+O124+V124+AC124,2)</f>
        <v>510069.22</v>
      </c>
      <c r="AL124" s="9">
        <v>0</v>
      </c>
      <c r="AM124" s="326">
        <f t="shared" si="65"/>
        <v>749714.33</v>
      </c>
      <c r="AN124" s="970">
        <f t="shared" si="65"/>
        <v>790669.08</v>
      </c>
      <c r="AO124" s="326">
        <f>+S124+Z124+AG124</f>
        <v>469114.46999999986</v>
      </c>
      <c r="AP124" s="30">
        <v>0</v>
      </c>
      <c r="AQ124" s="43"/>
      <c r="AR124" s="358">
        <f t="shared" si="66"/>
        <v>0</v>
      </c>
      <c r="AS124" s="359">
        <f t="shared" si="67"/>
        <v>0</v>
      </c>
      <c r="AT124" s="360">
        <f t="shared" si="68"/>
        <v>0</v>
      </c>
      <c r="AU124" s="43"/>
      <c r="AV124" s="2120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120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64"/>
        <v>4120</v>
      </c>
      <c r="O125" s="8">
        <v>0</v>
      </c>
      <c r="P125" s="121"/>
      <c r="Q125" s="325"/>
      <c r="R125" s="324"/>
      <c r="S125" s="29">
        <v>0</v>
      </c>
      <c r="T125" s="28">
        <f>+IF(ABS(+O125+Q125)&lt;=ABS(P125+R125),-O125+P125-Q125+R125,0)</f>
        <v>0</v>
      </c>
      <c r="U125" s="51"/>
      <c r="V125" s="541">
        <f>+'NF-KSF-TRIAL-BAL-2021'!O125+'RA-TRIAL-BAL-2021'!O125+'DES-TRIAL-BAL-2021'!O125+'DMP-TRIAL-BAL-2021'!O125</f>
        <v>0</v>
      </c>
      <c r="W125" s="529">
        <f>+'NF-KSF-TRIAL-BAL-2021'!P125+'RA-TRIAL-BAL-2021'!P125+'DES-TRIAL-BAL-2021'!P125+'DMP-TRIAL-BAL-2021'!P125</f>
        <v>0</v>
      </c>
      <c r="X125" s="528">
        <f>+'NF-KSF-TRIAL-BAL-2021'!Q125+'RA-TRIAL-BAL-2021'!Q125+'DES-TRIAL-BAL-2021'!Q125+'DMP-TRIAL-BAL-2021'!Q125</f>
        <v>0</v>
      </c>
      <c r="Y125" s="529">
        <f>+'NF-KSF-TRIAL-BAL-2021'!R125+'RA-TRIAL-BAL-2021'!R125+'DES-TRIAL-BAL-2021'!R125+'DMP-TRIAL-BAL-2021'!R125</f>
        <v>0</v>
      </c>
      <c r="Z125" s="528">
        <f>+'NF-KSF-TRIAL-BAL-2021'!S125+'RA-TRIAL-BAL-2021'!S125+'DES-TRIAL-BAL-2021'!S125+'DMP-TRIAL-BAL-2021'!S125</f>
        <v>0</v>
      </c>
      <c r="AA125" s="347">
        <f>+'NF-KSF-TRIAL-BAL-2021'!T125+'RA-TRIAL-BAL-2021'!T125+'DES-TRIAL-BAL-2021'!T125+'DMP-TRIAL-BAL-2021'!T125</f>
        <v>0</v>
      </c>
      <c r="AB125" s="51"/>
      <c r="AC125" s="8">
        <v>0</v>
      </c>
      <c r="AD125" s="121"/>
      <c r="AE125" s="325"/>
      <c r="AF125" s="324"/>
      <c r="AG125" s="29">
        <v>0</v>
      </c>
      <c r="AH125" s="28">
        <f>+IF(ABS(+AC125+AE125)&lt;=ABS(AD125+AF125),-AC125+AD125-AE125+AF125,0)</f>
        <v>0</v>
      </c>
      <c r="AI125" s="51"/>
      <c r="AJ125" s="1497">
        <f t="shared" si="45"/>
        <v>4120</v>
      </c>
      <c r="AK125" s="8">
        <v>0</v>
      </c>
      <c r="AL125" s="970">
        <f t="shared" si="65"/>
        <v>0</v>
      </c>
      <c r="AM125" s="326">
        <f t="shared" si="65"/>
        <v>0</v>
      </c>
      <c r="AN125" s="970">
        <f t="shared" si="65"/>
        <v>0</v>
      </c>
      <c r="AO125" s="29">
        <v>0</v>
      </c>
      <c r="AP125" s="28">
        <f>+T125+AA125+AH125</f>
        <v>0</v>
      </c>
      <c r="AQ125" s="43"/>
      <c r="AR125" s="358">
        <f t="shared" si="66"/>
        <v>0</v>
      </c>
      <c r="AS125" s="359">
        <f t="shared" si="67"/>
        <v>0</v>
      </c>
      <c r="AT125" s="360">
        <f t="shared" si="68"/>
        <v>0</v>
      </c>
      <c r="AU125" s="43"/>
      <c r="AV125" s="2119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119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25"/>
      <c r="R126" s="324"/>
      <c r="S126" s="27">
        <f>+IF(ABS(+O126+Q126)&gt;=ABS(P126+R126),+O126-P126+Q126-R126,0)</f>
        <v>0</v>
      </c>
      <c r="T126" s="30">
        <v>0</v>
      </c>
      <c r="U126" s="51"/>
      <c r="V126" s="541">
        <f>+'NF-KSF-TRIAL-BAL-2021'!O126+'RA-TRIAL-BAL-2021'!O126+'DES-TRIAL-BAL-2021'!O126+'DMP-TRIAL-BAL-2021'!O126</f>
        <v>0</v>
      </c>
      <c r="W126" s="529">
        <f>+'NF-KSF-TRIAL-BAL-2021'!P126+'RA-TRIAL-BAL-2021'!P126+'DES-TRIAL-BAL-2021'!P126+'DMP-TRIAL-BAL-2021'!P126</f>
        <v>0</v>
      </c>
      <c r="X126" s="528">
        <f>+'NF-KSF-TRIAL-BAL-2021'!Q126+'RA-TRIAL-BAL-2021'!Q126+'DES-TRIAL-BAL-2021'!Q126+'DMP-TRIAL-BAL-2021'!Q126</f>
        <v>0</v>
      </c>
      <c r="Y126" s="529">
        <f>+'NF-KSF-TRIAL-BAL-2021'!R126+'RA-TRIAL-BAL-2021'!R126+'DES-TRIAL-BAL-2021'!R126+'DMP-TRIAL-BAL-2021'!R126</f>
        <v>0</v>
      </c>
      <c r="Z126" s="528">
        <f>+'NF-KSF-TRIAL-BAL-2021'!S126+'RA-TRIAL-BAL-2021'!S126+'DES-TRIAL-BAL-2021'!S126+'DMP-TRIAL-BAL-2021'!S126</f>
        <v>0</v>
      </c>
      <c r="AA126" s="347">
        <f>+'NF-KSF-TRIAL-BAL-2021'!T126+'RA-TRIAL-BAL-2021'!T126+'DES-TRIAL-BAL-2021'!T126+'DMP-TRIAL-BAL-2021'!T126</f>
        <v>0</v>
      </c>
      <c r="AB126" s="51"/>
      <c r="AC126" s="120"/>
      <c r="AD126" s="9">
        <v>0</v>
      </c>
      <c r="AE126" s="122"/>
      <c r="AF126" s="324"/>
      <c r="AG126" s="27">
        <f>+IF(ABS(+AC126+AE126)&gt;=ABS(AD126+AF126),+AC126-AD126+AE126-AF126,0)</f>
        <v>0</v>
      </c>
      <c r="AH126" s="30">
        <v>0</v>
      </c>
      <c r="AI126" s="51"/>
      <c r="AJ126" s="1497">
        <f t="shared" si="45"/>
        <v>4130</v>
      </c>
      <c r="AK126" s="951">
        <f>+ROUND(+O126+V126+AC126,2)</f>
        <v>0</v>
      </c>
      <c r="AL126" s="9">
        <v>0</v>
      </c>
      <c r="AM126" s="326">
        <f t="shared" si="65"/>
        <v>0</v>
      </c>
      <c r="AN126" s="970">
        <f t="shared" si="65"/>
        <v>0</v>
      </c>
      <c r="AO126" s="326">
        <f>+S126+Z126+AG126</f>
        <v>0</v>
      </c>
      <c r="AP126" s="30">
        <v>0</v>
      </c>
      <c r="AQ126" s="43"/>
      <c r="AR126" s="358">
        <f t="shared" si="66"/>
        <v>0</v>
      </c>
      <c r="AS126" s="359">
        <f t="shared" si="67"/>
        <v>0</v>
      </c>
      <c r="AT126" s="360">
        <f t="shared" si="68"/>
        <v>0</v>
      </c>
      <c r="AU126" s="43"/>
      <c r="AV126" s="2120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120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25"/>
      <c r="R127" s="324"/>
      <c r="S127" s="29">
        <v>0</v>
      </c>
      <c r="T127" s="28">
        <f>+IF(ABS(+O127+Q127)&lt;=ABS(P127+R127),-O127+P127-Q127+R127,0)</f>
        <v>0</v>
      </c>
      <c r="U127" s="51"/>
      <c r="V127" s="541">
        <f>+'NF-KSF-TRIAL-BAL-2021'!O127+'RA-TRIAL-BAL-2021'!O127+'DES-TRIAL-BAL-2021'!O127+'DMP-TRIAL-BAL-2021'!O127</f>
        <v>0</v>
      </c>
      <c r="W127" s="529">
        <f>+'NF-KSF-TRIAL-BAL-2021'!P127+'RA-TRIAL-BAL-2021'!P127+'DES-TRIAL-BAL-2021'!P127+'DMP-TRIAL-BAL-2021'!P127</f>
        <v>0</v>
      </c>
      <c r="X127" s="528">
        <f>+'NF-KSF-TRIAL-BAL-2021'!Q127+'RA-TRIAL-BAL-2021'!Q127+'DES-TRIAL-BAL-2021'!Q127+'DMP-TRIAL-BAL-2021'!Q127</f>
        <v>0</v>
      </c>
      <c r="Y127" s="529">
        <f>+'NF-KSF-TRIAL-BAL-2021'!R127+'RA-TRIAL-BAL-2021'!R127+'DES-TRIAL-BAL-2021'!R127+'DMP-TRIAL-BAL-2021'!R127</f>
        <v>0</v>
      </c>
      <c r="Z127" s="528">
        <f>+'NF-KSF-TRIAL-BAL-2021'!S127+'RA-TRIAL-BAL-2021'!S127+'DES-TRIAL-BAL-2021'!S127+'DMP-TRIAL-BAL-2021'!S127</f>
        <v>0</v>
      </c>
      <c r="AA127" s="347">
        <f>+'NF-KSF-TRIAL-BAL-2021'!T127+'RA-TRIAL-BAL-2021'!T127+'DES-TRIAL-BAL-2021'!T127+'DMP-TRIAL-BAL-2021'!T127</f>
        <v>0</v>
      </c>
      <c r="AB127" s="51"/>
      <c r="AC127" s="8">
        <v>0</v>
      </c>
      <c r="AD127" s="121"/>
      <c r="AE127" s="325"/>
      <c r="AF127" s="324"/>
      <c r="AG127" s="29">
        <v>0</v>
      </c>
      <c r="AH127" s="28">
        <f>+IF(ABS(+AC127+AE127)&lt;=ABS(AD127+AF127),-AC127+AD127-AE127+AF127,0)</f>
        <v>0</v>
      </c>
      <c r="AI127" s="51"/>
      <c r="AJ127" s="1497">
        <f t="shared" si="45"/>
        <v>4140</v>
      </c>
      <c r="AK127" s="8">
        <v>0</v>
      </c>
      <c r="AL127" s="970">
        <f t="shared" si="65"/>
        <v>0</v>
      </c>
      <c r="AM127" s="326">
        <f t="shared" si="65"/>
        <v>0</v>
      </c>
      <c r="AN127" s="970">
        <f t="shared" si="65"/>
        <v>0</v>
      </c>
      <c r="AO127" s="29">
        <v>0</v>
      </c>
      <c r="AP127" s="28">
        <f>+T127+AA127+AH127</f>
        <v>0</v>
      </c>
      <c r="AQ127" s="43"/>
      <c r="AR127" s="358">
        <f t="shared" si="66"/>
        <v>0</v>
      </c>
      <c r="AS127" s="359">
        <f t="shared" si="67"/>
        <v>0</v>
      </c>
      <c r="AT127" s="360">
        <f t="shared" si="68"/>
        <v>0</v>
      </c>
      <c r="AU127" s="43"/>
      <c r="AV127" s="2119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119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64"/>
        <v>4211</v>
      </c>
      <c r="O128" s="8">
        <v>0</v>
      </c>
      <c r="P128" s="121">
        <v>102552.01</v>
      </c>
      <c r="Q128" s="325">
        <v>8754273.9900000002</v>
      </c>
      <c r="R128" s="324">
        <v>8768112.8300000001</v>
      </c>
      <c r="S128" s="29">
        <v>0</v>
      </c>
      <c r="T128" s="28">
        <f>+IF(ABS(+O128+Q128)&lt;=ABS(P128+R128),-O128+P128-Q128+R128,0)</f>
        <v>116390.84999999963</v>
      </c>
      <c r="U128" s="51"/>
      <c r="V128" s="541">
        <f>+'NF-KSF-TRIAL-BAL-2021'!O128+'RA-TRIAL-BAL-2021'!O128+'DES-TRIAL-BAL-2021'!O128+'DMP-TRIAL-BAL-2021'!O128</f>
        <v>0</v>
      </c>
      <c r="W128" s="529">
        <f>+'NF-KSF-TRIAL-BAL-2021'!P128+'RA-TRIAL-BAL-2021'!P128+'DES-TRIAL-BAL-2021'!P128+'DMP-TRIAL-BAL-2021'!P128</f>
        <v>48299.79</v>
      </c>
      <c r="X128" s="528">
        <f>+'NF-KSF-TRIAL-BAL-2021'!Q128+'RA-TRIAL-BAL-2021'!Q128+'DES-TRIAL-BAL-2021'!Q128+'DMP-TRIAL-BAL-2021'!Q128</f>
        <v>501515.26</v>
      </c>
      <c r="Y128" s="529">
        <f>+'NF-KSF-TRIAL-BAL-2021'!R128+'RA-TRIAL-BAL-2021'!R128+'DES-TRIAL-BAL-2021'!R128+'DMP-TRIAL-BAL-2021'!R128</f>
        <v>468579.4</v>
      </c>
      <c r="Z128" s="528">
        <f>+'NF-KSF-TRIAL-BAL-2021'!S128+'RA-TRIAL-BAL-2021'!S128+'DES-TRIAL-BAL-2021'!S128+'DMP-TRIAL-BAL-2021'!S128</f>
        <v>0</v>
      </c>
      <c r="AA128" s="347">
        <f>+'NF-KSF-TRIAL-BAL-2021'!T128+'RA-TRIAL-BAL-2021'!T128+'DES-TRIAL-BAL-2021'!T128+'DMP-TRIAL-BAL-2021'!T128</f>
        <v>15363.929999999993</v>
      </c>
      <c r="AB128" s="51"/>
      <c r="AC128" s="8">
        <v>0</v>
      </c>
      <c r="AD128" s="121"/>
      <c r="AE128" s="325"/>
      <c r="AF128" s="324"/>
      <c r="AG128" s="29">
        <v>0</v>
      </c>
      <c r="AH128" s="28">
        <f>+IF(ABS(+AC128+AE128)&lt;=ABS(AD128+AF128),-AC128+AD128-AE128+AF128,0)</f>
        <v>0</v>
      </c>
      <c r="AI128" s="51"/>
      <c r="AJ128" s="1497">
        <f t="shared" si="45"/>
        <v>4211</v>
      </c>
      <c r="AK128" s="8">
        <v>0</v>
      </c>
      <c r="AL128" s="970">
        <f t="shared" si="65"/>
        <v>150851.79999999999</v>
      </c>
      <c r="AM128" s="326">
        <f t="shared" si="65"/>
        <v>9255789.25</v>
      </c>
      <c r="AN128" s="970">
        <f t="shared" si="65"/>
        <v>9236692.2300000004</v>
      </c>
      <c r="AO128" s="29">
        <v>0</v>
      </c>
      <c r="AP128" s="28">
        <f>+T128+AA128+AH128</f>
        <v>131754.77999999962</v>
      </c>
      <c r="AQ128" s="43"/>
      <c r="AR128" s="358">
        <f t="shared" si="66"/>
        <v>0</v>
      </c>
      <c r="AS128" s="359">
        <f t="shared" si="67"/>
        <v>0</v>
      </c>
      <c r="AT128" s="360">
        <f t="shared" si="68"/>
        <v>0</v>
      </c>
      <c r="AU128" s="43"/>
      <c r="AV128" s="2119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119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64"/>
        <v>4213</v>
      </c>
      <c r="O129" s="120">
        <v>30</v>
      </c>
      <c r="P129" s="9">
        <v>0</v>
      </c>
      <c r="Q129" s="325">
        <v>190230</v>
      </c>
      <c r="R129" s="324">
        <v>169480</v>
      </c>
      <c r="S129" s="27">
        <f>+IF(ABS(+O129+Q129)&gt;=ABS(P129+R129),+O129-P129+Q129-R129,0)</f>
        <v>20780</v>
      </c>
      <c r="T129" s="30">
        <v>0</v>
      </c>
      <c r="U129" s="51"/>
      <c r="V129" s="541">
        <f>+'NF-KSF-TRIAL-BAL-2021'!O129+'RA-TRIAL-BAL-2021'!O129+'DES-TRIAL-BAL-2021'!O129+'DMP-TRIAL-BAL-2021'!O129</f>
        <v>0</v>
      </c>
      <c r="W129" s="529">
        <f>+'NF-KSF-TRIAL-BAL-2021'!P129+'RA-TRIAL-BAL-2021'!P129+'DES-TRIAL-BAL-2021'!P129+'DMP-TRIAL-BAL-2021'!P129</f>
        <v>0</v>
      </c>
      <c r="X129" s="528">
        <f>+'NF-KSF-TRIAL-BAL-2021'!Q129+'RA-TRIAL-BAL-2021'!Q129+'DES-TRIAL-BAL-2021'!Q129+'DMP-TRIAL-BAL-2021'!Q129</f>
        <v>0</v>
      </c>
      <c r="Y129" s="529">
        <f>+'NF-KSF-TRIAL-BAL-2021'!R129+'RA-TRIAL-BAL-2021'!R129+'DES-TRIAL-BAL-2021'!R129+'DMP-TRIAL-BAL-2021'!R129</f>
        <v>0</v>
      </c>
      <c r="Z129" s="528">
        <f>+'NF-KSF-TRIAL-BAL-2021'!S129+'RA-TRIAL-BAL-2021'!S129+'DES-TRIAL-BAL-2021'!S129+'DMP-TRIAL-BAL-2021'!S129</f>
        <v>0</v>
      </c>
      <c r="AA129" s="347">
        <f>+'NF-KSF-TRIAL-BAL-2021'!T129+'RA-TRIAL-BAL-2021'!T129+'DES-TRIAL-BAL-2021'!T129+'DMP-TRIAL-BAL-2021'!T129</f>
        <v>0</v>
      </c>
      <c r="AB129" s="51"/>
      <c r="AC129" s="120"/>
      <c r="AD129" s="9">
        <v>0</v>
      </c>
      <c r="AE129" s="122"/>
      <c r="AF129" s="324"/>
      <c r="AG129" s="27">
        <f>+IF(ABS(+AC129+AE129)&gt;=ABS(AD129+AF129),+AC129-AD129+AE129-AF129,0)</f>
        <v>0</v>
      </c>
      <c r="AH129" s="30">
        <v>0</v>
      </c>
      <c r="AI129" s="51"/>
      <c r="AJ129" s="1497">
        <f t="shared" si="45"/>
        <v>4213</v>
      </c>
      <c r="AK129" s="951">
        <f>+ROUND(+O129+V129+AC129,2)</f>
        <v>30</v>
      </c>
      <c r="AL129" s="9">
        <v>0</v>
      </c>
      <c r="AM129" s="326">
        <f t="shared" si="65"/>
        <v>190230</v>
      </c>
      <c r="AN129" s="970">
        <f t="shared" si="65"/>
        <v>169480</v>
      </c>
      <c r="AO129" s="326">
        <f>+S129+Z129+AG129</f>
        <v>20780</v>
      </c>
      <c r="AP129" s="30">
        <v>0</v>
      </c>
      <c r="AQ129" s="43"/>
      <c r="AR129" s="358">
        <f t="shared" si="66"/>
        <v>0</v>
      </c>
      <c r="AS129" s="359">
        <f t="shared" si="67"/>
        <v>0</v>
      </c>
      <c r="AT129" s="360">
        <f t="shared" si="68"/>
        <v>0</v>
      </c>
      <c r="AU129" s="43"/>
      <c r="AV129" s="2120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120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25"/>
      <c r="R130" s="324"/>
      <c r="S130" s="29">
        <v>0</v>
      </c>
      <c r="T130" s="28">
        <f>+IF(ABS(+O130+Q130)&lt;=ABS(P130+R130),-O130+P130-Q130+R130,0)</f>
        <v>0</v>
      </c>
      <c r="U130" s="51"/>
      <c r="V130" s="541">
        <f>+'NF-KSF-TRIAL-BAL-2021'!O130+'RA-TRIAL-BAL-2021'!O130+'DES-TRIAL-BAL-2021'!O130+'DMP-TRIAL-BAL-2021'!O130</f>
        <v>0</v>
      </c>
      <c r="W130" s="529">
        <f>+'NF-KSF-TRIAL-BAL-2021'!P130+'RA-TRIAL-BAL-2021'!P130+'DES-TRIAL-BAL-2021'!P130+'DMP-TRIAL-BAL-2021'!P130</f>
        <v>0</v>
      </c>
      <c r="X130" s="528">
        <f>+'NF-KSF-TRIAL-BAL-2021'!Q130+'RA-TRIAL-BAL-2021'!Q130+'DES-TRIAL-BAL-2021'!Q130+'DMP-TRIAL-BAL-2021'!Q130</f>
        <v>0</v>
      </c>
      <c r="Y130" s="529">
        <f>+'NF-KSF-TRIAL-BAL-2021'!R130+'RA-TRIAL-BAL-2021'!R130+'DES-TRIAL-BAL-2021'!R130+'DMP-TRIAL-BAL-2021'!R130</f>
        <v>0</v>
      </c>
      <c r="Z130" s="528">
        <f>+'NF-KSF-TRIAL-BAL-2021'!S130+'RA-TRIAL-BAL-2021'!S130+'DES-TRIAL-BAL-2021'!S130+'DMP-TRIAL-BAL-2021'!S130</f>
        <v>0</v>
      </c>
      <c r="AA130" s="347">
        <f>+'NF-KSF-TRIAL-BAL-2021'!T130+'RA-TRIAL-BAL-2021'!T130+'DES-TRIAL-BAL-2021'!T130+'DMP-TRIAL-BAL-2021'!T130</f>
        <v>0</v>
      </c>
      <c r="AB130" s="51"/>
      <c r="AC130" s="8">
        <v>0</v>
      </c>
      <c r="AD130" s="121"/>
      <c r="AE130" s="325"/>
      <c r="AF130" s="324"/>
      <c r="AG130" s="29">
        <v>0</v>
      </c>
      <c r="AH130" s="28">
        <f>+IF(ABS(+AC130+AE130)&lt;=ABS(AD130+AF130),-AC130+AD130-AE130+AF130,0)</f>
        <v>0</v>
      </c>
      <c r="AI130" s="51"/>
      <c r="AJ130" s="1497">
        <f t="shared" si="45"/>
        <v>4222</v>
      </c>
      <c r="AK130" s="8">
        <v>0</v>
      </c>
      <c r="AL130" s="970">
        <f>+ROUND(+P130+W130+AD130,2)</f>
        <v>0</v>
      </c>
      <c r="AM130" s="326">
        <f t="shared" si="65"/>
        <v>0</v>
      </c>
      <c r="AN130" s="970">
        <f t="shared" si="65"/>
        <v>0</v>
      </c>
      <c r="AO130" s="29">
        <v>0</v>
      </c>
      <c r="AP130" s="28">
        <f>+T130+AA130+AH130</f>
        <v>0</v>
      </c>
      <c r="AQ130" s="43"/>
      <c r="AR130" s="358">
        <f t="shared" si="66"/>
        <v>0</v>
      </c>
      <c r="AS130" s="359">
        <f t="shared" si="67"/>
        <v>0</v>
      </c>
      <c r="AT130" s="360">
        <f t="shared" si="68"/>
        <v>0</v>
      </c>
      <c r="AU130" s="43"/>
      <c r="AV130" s="2119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119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25"/>
      <c r="R131" s="324"/>
      <c r="S131" s="27">
        <f>+IF(ABS(+O131+Q131)&gt;=ABS(P131+R131),+O131-P131+Q131-R131,0)</f>
        <v>0</v>
      </c>
      <c r="T131" s="30">
        <v>0</v>
      </c>
      <c r="U131" s="51"/>
      <c r="V131" s="541">
        <f>+'NF-KSF-TRIAL-BAL-2021'!O131+'RA-TRIAL-BAL-2021'!O131+'DES-TRIAL-BAL-2021'!O131+'DMP-TRIAL-BAL-2021'!O131</f>
        <v>0</v>
      </c>
      <c r="W131" s="529">
        <f>+'NF-KSF-TRIAL-BAL-2021'!P131+'RA-TRIAL-BAL-2021'!P131+'DES-TRIAL-BAL-2021'!P131+'DMP-TRIAL-BAL-2021'!P131</f>
        <v>0</v>
      </c>
      <c r="X131" s="528">
        <f>+'NF-KSF-TRIAL-BAL-2021'!Q131+'RA-TRIAL-BAL-2021'!Q131+'DES-TRIAL-BAL-2021'!Q131+'DMP-TRIAL-BAL-2021'!Q131</f>
        <v>0</v>
      </c>
      <c r="Y131" s="529">
        <f>+'NF-KSF-TRIAL-BAL-2021'!R131+'RA-TRIAL-BAL-2021'!R131+'DES-TRIAL-BAL-2021'!R131+'DMP-TRIAL-BAL-2021'!R131</f>
        <v>0</v>
      </c>
      <c r="Z131" s="528">
        <f>+'NF-KSF-TRIAL-BAL-2021'!S131+'RA-TRIAL-BAL-2021'!S131+'DES-TRIAL-BAL-2021'!S131+'DMP-TRIAL-BAL-2021'!S131</f>
        <v>0</v>
      </c>
      <c r="AA131" s="347">
        <f>+'NF-KSF-TRIAL-BAL-2021'!T131+'RA-TRIAL-BAL-2021'!T131+'DES-TRIAL-BAL-2021'!T131+'DMP-TRIAL-BAL-2021'!T131</f>
        <v>0</v>
      </c>
      <c r="AB131" s="51"/>
      <c r="AC131" s="120"/>
      <c r="AD131" s="9">
        <v>0</v>
      </c>
      <c r="AE131" s="325"/>
      <c r="AF131" s="324"/>
      <c r="AG131" s="27">
        <f>+IF(ABS(+AC131+AE131)&gt;=ABS(AD131+AF131),+AC131-AD131+AE131-AF131,0)</f>
        <v>0</v>
      </c>
      <c r="AH131" s="30">
        <v>0</v>
      </c>
      <c r="AI131" s="51"/>
      <c r="AJ131" s="1497">
        <f t="shared" si="45"/>
        <v>4224</v>
      </c>
      <c r="AK131" s="951">
        <f>+ROUND(+O131+V131+AC131,2)</f>
        <v>0</v>
      </c>
      <c r="AL131" s="9">
        <v>0</v>
      </c>
      <c r="AM131" s="326">
        <f t="shared" si="65"/>
        <v>0</v>
      </c>
      <c r="AN131" s="970">
        <f t="shared" si="65"/>
        <v>0</v>
      </c>
      <c r="AO131" s="326">
        <f>+S131+Z131+AG131</f>
        <v>0</v>
      </c>
      <c r="AP131" s="30">
        <v>0</v>
      </c>
      <c r="AQ131" s="43"/>
      <c r="AR131" s="358">
        <f t="shared" si="66"/>
        <v>0</v>
      </c>
      <c r="AS131" s="359">
        <f t="shared" si="67"/>
        <v>0</v>
      </c>
      <c r="AT131" s="360">
        <f t="shared" si="68"/>
        <v>0</v>
      </c>
      <c r="AU131" s="43"/>
      <c r="AV131" s="2120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120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64"/>
        <v>4230</v>
      </c>
      <c r="O132" s="8">
        <v>0</v>
      </c>
      <c r="P132" s="369">
        <v>262761.02</v>
      </c>
      <c r="Q132" s="325">
        <v>262761.02</v>
      </c>
      <c r="R132" s="324"/>
      <c r="S132" s="29">
        <v>0</v>
      </c>
      <c r="T132" s="28">
        <f>+IF(ABS(+O132+Q132)&lt;=ABS(P132+R132),-O132+P132-Q132+R132,0)</f>
        <v>0</v>
      </c>
      <c r="U132" s="51"/>
      <c r="V132" s="541">
        <f>+'NF-KSF-TRIAL-BAL-2021'!O132+'RA-TRIAL-BAL-2021'!O132+'DES-TRIAL-BAL-2021'!O132+'DMP-TRIAL-BAL-2021'!O132</f>
        <v>0</v>
      </c>
      <c r="W132" s="529">
        <f>+'NF-KSF-TRIAL-BAL-2021'!P132+'RA-TRIAL-BAL-2021'!P132+'DES-TRIAL-BAL-2021'!P132+'DMP-TRIAL-BAL-2021'!P132</f>
        <v>0</v>
      </c>
      <c r="X132" s="528">
        <f>+'NF-KSF-TRIAL-BAL-2021'!Q132+'RA-TRIAL-BAL-2021'!Q132+'DES-TRIAL-BAL-2021'!Q132+'DMP-TRIAL-BAL-2021'!Q132</f>
        <v>0</v>
      </c>
      <c r="Y132" s="529">
        <f>+'NF-KSF-TRIAL-BAL-2021'!R132+'RA-TRIAL-BAL-2021'!R132+'DES-TRIAL-BAL-2021'!R132+'DMP-TRIAL-BAL-2021'!R132</f>
        <v>0</v>
      </c>
      <c r="Z132" s="528">
        <f>+'NF-KSF-TRIAL-BAL-2021'!S132+'RA-TRIAL-BAL-2021'!S132+'DES-TRIAL-BAL-2021'!S132+'DMP-TRIAL-BAL-2021'!S132</f>
        <v>0</v>
      </c>
      <c r="AA132" s="347">
        <f>+'NF-KSF-TRIAL-BAL-2021'!T132+'RA-TRIAL-BAL-2021'!T132+'DES-TRIAL-BAL-2021'!T132+'DMP-TRIAL-BAL-2021'!T132</f>
        <v>0</v>
      </c>
      <c r="AB132" s="51"/>
      <c r="AC132" s="8">
        <v>0</v>
      </c>
      <c r="AD132" s="121"/>
      <c r="AE132" s="122"/>
      <c r="AF132" s="324"/>
      <c r="AG132" s="29">
        <v>0</v>
      </c>
      <c r="AH132" s="28">
        <f>+IF(ABS(+AC132+AE132)&lt;=ABS(AD132+AF132),-AC132+AD132-AE132+AF132,0)</f>
        <v>0</v>
      </c>
      <c r="AI132" s="51"/>
      <c r="AJ132" s="1497">
        <f t="shared" si="45"/>
        <v>4230</v>
      </c>
      <c r="AK132" s="8">
        <v>0</v>
      </c>
      <c r="AL132" s="970">
        <f t="shared" si="65"/>
        <v>262761.02</v>
      </c>
      <c r="AM132" s="326">
        <f t="shared" si="65"/>
        <v>262761.02</v>
      </c>
      <c r="AN132" s="970">
        <f t="shared" si="65"/>
        <v>0</v>
      </c>
      <c r="AO132" s="29">
        <v>0</v>
      </c>
      <c r="AP132" s="28">
        <f>+T132+AA132+AH132</f>
        <v>0</v>
      </c>
      <c r="AQ132" s="43"/>
      <c r="AR132" s="358">
        <f t="shared" si="66"/>
        <v>0</v>
      </c>
      <c r="AS132" s="359">
        <f t="shared" si="67"/>
        <v>0</v>
      </c>
      <c r="AT132" s="360">
        <f t="shared" si="68"/>
        <v>0</v>
      </c>
      <c r="AU132" s="43"/>
      <c r="AV132" s="2119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119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64"/>
        <v>4241</v>
      </c>
      <c r="O133" s="8">
        <v>0</v>
      </c>
      <c r="P133" s="121"/>
      <c r="Q133" s="325">
        <v>14500</v>
      </c>
      <c r="R133" s="324">
        <v>14500</v>
      </c>
      <c r="S133" s="29">
        <v>0</v>
      </c>
      <c r="T133" s="28">
        <f>+IF(ABS(+O133+Q133)&lt;=ABS(P133+R133),-O133+P133-Q133+R133,0)</f>
        <v>0</v>
      </c>
      <c r="U133" s="51"/>
      <c r="V133" s="541">
        <f>+'NF-KSF-TRIAL-BAL-2021'!O133+'RA-TRIAL-BAL-2021'!O133+'DES-TRIAL-BAL-2021'!O133+'DMP-TRIAL-BAL-2021'!O133</f>
        <v>0</v>
      </c>
      <c r="W133" s="529">
        <f>+'NF-KSF-TRIAL-BAL-2021'!P133+'RA-TRIAL-BAL-2021'!P133+'DES-TRIAL-BAL-2021'!P133+'DMP-TRIAL-BAL-2021'!P133</f>
        <v>0</v>
      </c>
      <c r="X133" s="528">
        <f>+'NF-KSF-TRIAL-BAL-2021'!Q133+'RA-TRIAL-BAL-2021'!Q133+'DES-TRIAL-BAL-2021'!Q133+'DMP-TRIAL-BAL-2021'!Q133</f>
        <v>0</v>
      </c>
      <c r="Y133" s="529">
        <f>+'NF-KSF-TRIAL-BAL-2021'!R133+'RA-TRIAL-BAL-2021'!R133+'DES-TRIAL-BAL-2021'!R133+'DMP-TRIAL-BAL-2021'!R133</f>
        <v>0</v>
      </c>
      <c r="Z133" s="528">
        <f>+'NF-KSF-TRIAL-BAL-2021'!S133+'RA-TRIAL-BAL-2021'!S133+'DES-TRIAL-BAL-2021'!S133+'DMP-TRIAL-BAL-2021'!S133</f>
        <v>0</v>
      </c>
      <c r="AA133" s="347">
        <f>+'NF-KSF-TRIAL-BAL-2021'!T133+'RA-TRIAL-BAL-2021'!T133+'DES-TRIAL-BAL-2021'!T133+'DMP-TRIAL-BAL-2021'!T133</f>
        <v>0</v>
      </c>
      <c r="AB133" s="51"/>
      <c r="AC133" s="8">
        <v>0</v>
      </c>
      <c r="AD133" s="121"/>
      <c r="AE133" s="325"/>
      <c r="AF133" s="324"/>
      <c r="AG133" s="29">
        <v>0</v>
      </c>
      <c r="AH133" s="28">
        <f>+IF(ABS(+AC133+AE133)&lt;=ABS(AD133+AF133),-AC133+AD133-AE133+AF133,0)</f>
        <v>0</v>
      </c>
      <c r="AI133" s="51"/>
      <c r="AJ133" s="1497">
        <f t="shared" si="45"/>
        <v>4241</v>
      </c>
      <c r="AK133" s="8">
        <v>0</v>
      </c>
      <c r="AL133" s="970">
        <f t="shared" si="65"/>
        <v>0</v>
      </c>
      <c r="AM133" s="326">
        <f t="shared" si="65"/>
        <v>14500</v>
      </c>
      <c r="AN133" s="970">
        <f t="shared" si="65"/>
        <v>14500</v>
      </c>
      <c r="AO133" s="29">
        <v>0</v>
      </c>
      <c r="AP133" s="28">
        <f>+T133+AA133+AH133</f>
        <v>0</v>
      </c>
      <c r="AQ133" s="43"/>
      <c r="AR133" s="358">
        <f t="shared" si="66"/>
        <v>0</v>
      </c>
      <c r="AS133" s="359">
        <f t="shared" si="67"/>
        <v>0</v>
      </c>
      <c r="AT133" s="360">
        <f t="shared" si="68"/>
        <v>0</v>
      </c>
      <c r="AU133" s="43"/>
      <c r="AV133" s="2119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119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64"/>
        <v>4243</v>
      </c>
      <c r="O134" s="120"/>
      <c r="P134" s="9">
        <v>0</v>
      </c>
      <c r="Q134" s="325"/>
      <c r="R134" s="324"/>
      <c r="S134" s="27">
        <f>+IF(ABS(+O134+Q134)&gt;=ABS(P134+R134),+O134-P134+Q134-R134,0)</f>
        <v>0</v>
      </c>
      <c r="T134" s="30">
        <v>0</v>
      </c>
      <c r="U134" s="51"/>
      <c r="V134" s="541">
        <f>+'NF-KSF-TRIAL-BAL-2021'!O134+'RA-TRIAL-BAL-2021'!O134+'DES-TRIAL-BAL-2021'!O134+'DMP-TRIAL-BAL-2021'!O134</f>
        <v>0</v>
      </c>
      <c r="W134" s="529">
        <f>+'NF-KSF-TRIAL-BAL-2021'!P134+'RA-TRIAL-BAL-2021'!P134+'DES-TRIAL-BAL-2021'!P134+'DMP-TRIAL-BAL-2021'!P134</f>
        <v>0</v>
      </c>
      <c r="X134" s="528">
        <f>+'NF-KSF-TRIAL-BAL-2021'!Q134+'RA-TRIAL-BAL-2021'!Q134+'DES-TRIAL-BAL-2021'!Q134+'DMP-TRIAL-BAL-2021'!Q134</f>
        <v>0</v>
      </c>
      <c r="Y134" s="529">
        <f>+'NF-KSF-TRIAL-BAL-2021'!R134+'RA-TRIAL-BAL-2021'!R134+'DES-TRIAL-BAL-2021'!R134+'DMP-TRIAL-BAL-2021'!R134</f>
        <v>0</v>
      </c>
      <c r="Z134" s="528">
        <f>+'NF-KSF-TRIAL-BAL-2021'!S134+'RA-TRIAL-BAL-2021'!S134+'DES-TRIAL-BAL-2021'!S134+'DMP-TRIAL-BAL-2021'!S134</f>
        <v>0</v>
      </c>
      <c r="AA134" s="347">
        <f>+'NF-KSF-TRIAL-BAL-2021'!T134+'RA-TRIAL-BAL-2021'!T134+'DES-TRIAL-BAL-2021'!T134+'DMP-TRIAL-BAL-2021'!T134</f>
        <v>0</v>
      </c>
      <c r="AB134" s="51"/>
      <c r="AC134" s="120"/>
      <c r="AD134" s="9">
        <v>0</v>
      </c>
      <c r="AE134" s="325"/>
      <c r="AF134" s="324"/>
      <c r="AG134" s="27">
        <f>+IF(ABS(+AC134+AE134)&gt;=ABS(AD134+AF134),+AC134-AD134+AE134-AF134,0)</f>
        <v>0</v>
      </c>
      <c r="AH134" s="30">
        <v>0</v>
      </c>
      <c r="AI134" s="51"/>
      <c r="AJ134" s="1497">
        <f t="shared" si="45"/>
        <v>4243</v>
      </c>
      <c r="AK134" s="951">
        <f>+ROUND(+O134+V134+AC134,2)</f>
        <v>0</v>
      </c>
      <c r="AL134" s="9">
        <v>0</v>
      </c>
      <c r="AM134" s="326">
        <f t="shared" si="65"/>
        <v>0</v>
      </c>
      <c r="AN134" s="970">
        <f t="shared" si="65"/>
        <v>0</v>
      </c>
      <c r="AO134" s="326">
        <f>+S134+Z134+AG134</f>
        <v>0</v>
      </c>
      <c r="AP134" s="30">
        <v>0</v>
      </c>
      <c r="AQ134" s="43"/>
      <c r="AR134" s="358">
        <f t="shared" si="66"/>
        <v>0</v>
      </c>
      <c r="AS134" s="359">
        <f t="shared" si="67"/>
        <v>0</v>
      </c>
      <c r="AT134" s="360">
        <f t="shared" si="68"/>
        <v>0</v>
      </c>
      <c r="AU134" s="43"/>
      <c r="AV134" s="2120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120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25"/>
      <c r="R135" s="324"/>
      <c r="S135" s="29">
        <v>0</v>
      </c>
      <c r="T135" s="28">
        <f>+IF(ABS(+O135+Q135)&lt;=ABS(P135+R135),-O135+P135-Q135+R135,0)</f>
        <v>0</v>
      </c>
      <c r="U135" s="51"/>
      <c r="V135" s="541">
        <f>+'NF-KSF-TRIAL-BAL-2021'!O135+'RA-TRIAL-BAL-2021'!O135+'DES-TRIAL-BAL-2021'!O135+'DMP-TRIAL-BAL-2021'!O135</f>
        <v>0</v>
      </c>
      <c r="W135" s="529">
        <f>+'NF-KSF-TRIAL-BAL-2021'!P135+'RA-TRIAL-BAL-2021'!P135+'DES-TRIAL-BAL-2021'!P135+'DMP-TRIAL-BAL-2021'!P135</f>
        <v>0</v>
      </c>
      <c r="X135" s="528">
        <f>+'NF-KSF-TRIAL-BAL-2021'!Q135+'RA-TRIAL-BAL-2021'!Q135+'DES-TRIAL-BAL-2021'!Q135+'DMP-TRIAL-BAL-2021'!Q135</f>
        <v>0</v>
      </c>
      <c r="Y135" s="529">
        <f>+'NF-KSF-TRIAL-BAL-2021'!R135+'RA-TRIAL-BAL-2021'!R135+'DES-TRIAL-BAL-2021'!R135+'DMP-TRIAL-BAL-2021'!R135</f>
        <v>0</v>
      </c>
      <c r="Z135" s="528">
        <f>+'NF-KSF-TRIAL-BAL-2021'!S135+'RA-TRIAL-BAL-2021'!S135+'DES-TRIAL-BAL-2021'!S135+'DMP-TRIAL-BAL-2021'!S135</f>
        <v>0</v>
      </c>
      <c r="AA135" s="347">
        <f>+'NF-KSF-TRIAL-BAL-2021'!T135+'RA-TRIAL-BAL-2021'!T135+'DES-TRIAL-BAL-2021'!T135+'DMP-TRIAL-BAL-2021'!T135</f>
        <v>0</v>
      </c>
      <c r="AB135" s="51"/>
      <c r="AC135" s="8">
        <v>0</v>
      </c>
      <c r="AD135" s="121"/>
      <c r="AE135" s="325"/>
      <c r="AF135" s="324"/>
      <c r="AG135" s="29">
        <v>0</v>
      </c>
      <c r="AH135" s="28">
        <f>+IF(ABS(+AC135+AE135)&lt;=ABS(AD135+AF135),-AC135+AD135-AE135+AF135,0)</f>
        <v>0</v>
      </c>
      <c r="AI135" s="51"/>
      <c r="AJ135" s="1497">
        <f t="shared" si="45"/>
        <v>4252</v>
      </c>
      <c r="AK135" s="8">
        <v>0</v>
      </c>
      <c r="AL135" s="970">
        <f>+ROUND(+P135+W135+AD135,2)</f>
        <v>0</v>
      </c>
      <c r="AM135" s="326">
        <f t="shared" si="65"/>
        <v>0</v>
      </c>
      <c r="AN135" s="970">
        <f t="shared" si="65"/>
        <v>0</v>
      </c>
      <c r="AO135" s="29">
        <v>0</v>
      </c>
      <c r="AP135" s="28">
        <f>+T135+AA135+AH135</f>
        <v>0</v>
      </c>
      <c r="AQ135" s="43"/>
      <c r="AR135" s="358">
        <f t="shared" si="66"/>
        <v>0</v>
      </c>
      <c r="AS135" s="359">
        <f t="shared" si="67"/>
        <v>0</v>
      </c>
      <c r="AT135" s="360">
        <f t="shared" si="68"/>
        <v>0</v>
      </c>
      <c r="AU135" s="43"/>
      <c r="AV135" s="2119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119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25"/>
      <c r="R136" s="324"/>
      <c r="S136" s="27">
        <f>+IF(ABS(+O136+Q136)&gt;=ABS(P136+R136),+O136-P136+Q136-R136,0)</f>
        <v>0</v>
      </c>
      <c r="T136" s="30">
        <v>0</v>
      </c>
      <c r="U136" s="51"/>
      <c r="V136" s="541">
        <f>+'NF-KSF-TRIAL-BAL-2021'!O136+'RA-TRIAL-BAL-2021'!O136+'DES-TRIAL-BAL-2021'!O136+'DMP-TRIAL-BAL-2021'!O136</f>
        <v>0</v>
      </c>
      <c r="W136" s="529">
        <f>+'NF-KSF-TRIAL-BAL-2021'!P136+'RA-TRIAL-BAL-2021'!P136+'DES-TRIAL-BAL-2021'!P136+'DMP-TRIAL-BAL-2021'!P136</f>
        <v>0</v>
      </c>
      <c r="X136" s="528">
        <f>+'NF-KSF-TRIAL-BAL-2021'!Q136+'RA-TRIAL-BAL-2021'!Q136+'DES-TRIAL-BAL-2021'!Q136+'DMP-TRIAL-BAL-2021'!Q136</f>
        <v>0</v>
      </c>
      <c r="Y136" s="529">
        <f>+'NF-KSF-TRIAL-BAL-2021'!R136+'RA-TRIAL-BAL-2021'!R136+'DES-TRIAL-BAL-2021'!R136+'DMP-TRIAL-BAL-2021'!R136</f>
        <v>0</v>
      </c>
      <c r="Z136" s="528">
        <f>+'NF-KSF-TRIAL-BAL-2021'!S136+'RA-TRIAL-BAL-2021'!S136+'DES-TRIAL-BAL-2021'!S136+'DMP-TRIAL-BAL-2021'!S136</f>
        <v>0</v>
      </c>
      <c r="AA136" s="347">
        <f>+'NF-KSF-TRIAL-BAL-2021'!T136+'RA-TRIAL-BAL-2021'!T136+'DES-TRIAL-BAL-2021'!T136+'DMP-TRIAL-BAL-2021'!T136</f>
        <v>0</v>
      </c>
      <c r="AB136" s="51"/>
      <c r="AC136" s="120"/>
      <c r="AD136" s="9">
        <v>0</v>
      </c>
      <c r="AE136" s="122"/>
      <c r="AF136" s="324"/>
      <c r="AG136" s="27">
        <f>+IF(ABS(+AC136+AE136)&gt;=ABS(AD136+AF136),+AC136-AD136+AE136-AF136,0)</f>
        <v>0</v>
      </c>
      <c r="AH136" s="30">
        <v>0</v>
      </c>
      <c r="AI136" s="51"/>
      <c r="AJ136" s="1497">
        <f t="shared" si="45"/>
        <v>4254</v>
      </c>
      <c r="AK136" s="951">
        <f>+ROUND(+O136+V136+AC136,2)</f>
        <v>0</v>
      </c>
      <c r="AL136" s="9">
        <v>0</v>
      </c>
      <c r="AM136" s="326">
        <f t="shared" si="65"/>
        <v>0</v>
      </c>
      <c r="AN136" s="970">
        <f t="shared" si="65"/>
        <v>0</v>
      </c>
      <c r="AO136" s="326">
        <f>+S136+Z136+AG136</f>
        <v>0</v>
      </c>
      <c r="AP136" s="30">
        <v>0</v>
      </c>
      <c r="AQ136" s="43"/>
      <c r="AR136" s="358">
        <f t="shared" si="66"/>
        <v>0</v>
      </c>
      <c r="AS136" s="359">
        <f t="shared" si="67"/>
        <v>0</v>
      </c>
      <c r="AT136" s="360">
        <f t="shared" si="68"/>
        <v>0</v>
      </c>
      <c r="AU136" s="43"/>
      <c r="AV136" s="2120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120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64"/>
        <v>4261</v>
      </c>
      <c r="O137" s="120">
        <v>2021</v>
      </c>
      <c r="P137" s="9">
        <v>0</v>
      </c>
      <c r="Q137" s="325"/>
      <c r="R137" s="324"/>
      <c r="S137" s="27">
        <f>+IF(ABS(+O137+Q137)&gt;=ABS(P137+R137),+O137-P137+Q137-R137,0)</f>
        <v>2021</v>
      </c>
      <c r="T137" s="30">
        <v>0</v>
      </c>
      <c r="U137" s="51"/>
      <c r="V137" s="541">
        <f>+'NF-KSF-TRIAL-BAL-2021'!O137+'RA-TRIAL-BAL-2021'!O137+'DES-TRIAL-BAL-2021'!O137+'DMP-TRIAL-BAL-2021'!O137</f>
        <v>0</v>
      </c>
      <c r="W137" s="529">
        <f>+'NF-KSF-TRIAL-BAL-2021'!P137+'RA-TRIAL-BAL-2021'!P137+'DES-TRIAL-BAL-2021'!P137+'DMP-TRIAL-BAL-2021'!P137</f>
        <v>0</v>
      </c>
      <c r="X137" s="528">
        <f>+'NF-KSF-TRIAL-BAL-2021'!Q137+'RA-TRIAL-BAL-2021'!Q137+'DES-TRIAL-BAL-2021'!Q137+'DMP-TRIAL-BAL-2021'!Q137</f>
        <v>0</v>
      </c>
      <c r="Y137" s="529">
        <f>+'NF-KSF-TRIAL-BAL-2021'!R137+'RA-TRIAL-BAL-2021'!R137+'DES-TRIAL-BAL-2021'!R137+'DMP-TRIAL-BAL-2021'!R137</f>
        <v>0</v>
      </c>
      <c r="Z137" s="528">
        <f>+'NF-KSF-TRIAL-BAL-2021'!S137+'RA-TRIAL-BAL-2021'!S137+'DES-TRIAL-BAL-2021'!S137+'DMP-TRIAL-BAL-2021'!S137</f>
        <v>0</v>
      </c>
      <c r="AA137" s="347">
        <f>+'NF-KSF-TRIAL-BAL-2021'!T137+'RA-TRIAL-BAL-2021'!T137+'DES-TRIAL-BAL-2021'!T137+'DMP-TRIAL-BAL-2021'!T137</f>
        <v>0</v>
      </c>
      <c r="AB137" s="51"/>
      <c r="AC137" s="120"/>
      <c r="AD137" s="9">
        <v>0</v>
      </c>
      <c r="AE137" s="325"/>
      <c r="AF137" s="324"/>
      <c r="AG137" s="27">
        <f>+IF(ABS(+AC137+AE137)&gt;=ABS(AD137+AF137),+AC137-AD137+AE137-AF137,0)</f>
        <v>0</v>
      </c>
      <c r="AH137" s="30">
        <v>0</v>
      </c>
      <c r="AI137" s="51"/>
      <c r="AJ137" s="1497">
        <f t="shared" si="45"/>
        <v>4261</v>
      </c>
      <c r="AK137" s="951">
        <f>+ROUND(+O137+V137+AC137,2)</f>
        <v>2021</v>
      </c>
      <c r="AL137" s="9">
        <v>0</v>
      </c>
      <c r="AM137" s="326">
        <f t="shared" si="65"/>
        <v>0</v>
      </c>
      <c r="AN137" s="970">
        <f t="shared" si="65"/>
        <v>0</v>
      </c>
      <c r="AO137" s="326">
        <f>+S137+Z137+AG137</f>
        <v>2021</v>
      </c>
      <c r="AP137" s="30">
        <v>0</v>
      </c>
      <c r="AQ137" s="43"/>
      <c r="AR137" s="358">
        <f t="shared" si="66"/>
        <v>0</v>
      </c>
      <c r="AS137" s="359">
        <f t="shared" si="67"/>
        <v>0</v>
      </c>
      <c r="AT137" s="360">
        <f t="shared" si="68"/>
        <v>0</v>
      </c>
      <c r="AU137" s="43"/>
      <c r="AV137" s="2120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120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25"/>
      <c r="R138" s="324"/>
      <c r="S138" s="27">
        <f>+IF(ABS(+O138+Q138)&gt;=ABS(P138+R138),+O138-P138+Q138-R138,0)</f>
        <v>0</v>
      </c>
      <c r="T138" s="30">
        <v>0</v>
      </c>
      <c r="U138" s="51"/>
      <c r="V138" s="541">
        <f>+'NF-KSF-TRIAL-BAL-2021'!O138+'RA-TRIAL-BAL-2021'!O138+'DES-TRIAL-BAL-2021'!O138+'DMP-TRIAL-BAL-2021'!O138</f>
        <v>0</v>
      </c>
      <c r="W138" s="529">
        <f>+'NF-KSF-TRIAL-BAL-2021'!P138+'RA-TRIAL-BAL-2021'!P138+'DES-TRIAL-BAL-2021'!P138+'DMP-TRIAL-BAL-2021'!P138</f>
        <v>0</v>
      </c>
      <c r="X138" s="528">
        <f>+'NF-KSF-TRIAL-BAL-2021'!Q138+'RA-TRIAL-BAL-2021'!Q138+'DES-TRIAL-BAL-2021'!Q138+'DMP-TRIAL-BAL-2021'!Q138</f>
        <v>0</v>
      </c>
      <c r="Y138" s="529">
        <f>+'NF-KSF-TRIAL-BAL-2021'!R138+'RA-TRIAL-BAL-2021'!R138+'DES-TRIAL-BAL-2021'!R138+'DMP-TRIAL-BAL-2021'!R138</f>
        <v>0</v>
      </c>
      <c r="Z138" s="528">
        <f>+'NF-KSF-TRIAL-BAL-2021'!S138+'RA-TRIAL-BAL-2021'!S138+'DES-TRIAL-BAL-2021'!S138+'DMP-TRIAL-BAL-2021'!S138</f>
        <v>0</v>
      </c>
      <c r="AA138" s="347">
        <f>+'NF-KSF-TRIAL-BAL-2021'!T138+'RA-TRIAL-BAL-2021'!T138+'DES-TRIAL-BAL-2021'!T138+'DMP-TRIAL-BAL-2021'!T138</f>
        <v>0</v>
      </c>
      <c r="AB138" s="51"/>
      <c r="AC138" s="120"/>
      <c r="AD138" s="9">
        <v>0</v>
      </c>
      <c r="AE138" s="325"/>
      <c r="AF138" s="324"/>
      <c r="AG138" s="27">
        <f>+IF(ABS(+AC138+AE138)&gt;=ABS(AD138+AF138),+AC138-AD138+AE138-AF138,0)</f>
        <v>0</v>
      </c>
      <c r="AH138" s="30">
        <v>0</v>
      </c>
      <c r="AI138" s="51"/>
      <c r="AJ138" s="1497">
        <f t="shared" si="45"/>
        <v>4262</v>
      </c>
      <c r="AK138" s="951">
        <f>+ROUND(+O138+V138+AC138,2)</f>
        <v>0</v>
      </c>
      <c r="AL138" s="9">
        <v>0</v>
      </c>
      <c r="AM138" s="326">
        <f t="shared" si="65"/>
        <v>0</v>
      </c>
      <c r="AN138" s="970">
        <f t="shared" si="65"/>
        <v>0</v>
      </c>
      <c r="AO138" s="326">
        <f>+S138+Z138+AG138</f>
        <v>0</v>
      </c>
      <c r="AP138" s="30">
        <v>0</v>
      </c>
      <c r="AQ138" s="43"/>
      <c r="AR138" s="358">
        <f t="shared" si="66"/>
        <v>0</v>
      </c>
      <c r="AS138" s="359">
        <f t="shared" si="67"/>
        <v>0</v>
      </c>
      <c r="AT138" s="360">
        <f t="shared" si="68"/>
        <v>0</v>
      </c>
      <c r="AU138" s="43"/>
      <c r="AV138" s="2120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120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25"/>
      <c r="R139" s="324"/>
      <c r="S139" s="29">
        <v>0</v>
      </c>
      <c r="T139" s="28">
        <f>+IF(ABS(+O139+Q139)&lt;=ABS(P139+R139),-O139+P139-Q139+R139,0)</f>
        <v>0</v>
      </c>
      <c r="U139" s="51"/>
      <c r="V139" s="541">
        <f>+'NF-KSF-TRIAL-BAL-2021'!O139+'RA-TRIAL-BAL-2021'!O139+'DES-TRIAL-BAL-2021'!O139+'DMP-TRIAL-BAL-2021'!O139</f>
        <v>0</v>
      </c>
      <c r="W139" s="529">
        <f>+'NF-KSF-TRIAL-BAL-2021'!P139+'RA-TRIAL-BAL-2021'!P139+'DES-TRIAL-BAL-2021'!P139+'DMP-TRIAL-BAL-2021'!P139</f>
        <v>0</v>
      </c>
      <c r="X139" s="528">
        <f>+'NF-KSF-TRIAL-BAL-2021'!Q139+'RA-TRIAL-BAL-2021'!Q139+'DES-TRIAL-BAL-2021'!Q139+'DMP-TRIAL-BAL-2021'!Q139</f>
        <v>0</v>
      </c>
      <c r="Y139" s="529">
        <f>+'NF-KSF-TRIAL-BAL-2021'!R139+'RA-TRIAL-BAL-2021'!R139+'DES-TRIAL-BAL-2021'!R139+'DMP-TRIAL-BAL-2021'!R139</f>
        <v>0</v>
      </c>
      <c r="Z139" s="528">
        <f>+'NF-KSF-TRIAL-BAL-2021'!S139+'RA-TRIAL-BAL-2021'!S139+'DES-TRIAL-BAL-2021'!S139+'DMP-TRIAL-BAL-2021'!S139</f>
        <v>0</v>
      </c>
      <c r="AA139" s="347">
        <f>+'NF-KSF-TRIAL-BAL-2021'!T139+'RA-TRIAL-BAL-2021'!T139+'DES-TRIAL-BAL-2021'!T139+'DMP-TRIAL-BAL-2021'!T139</f>
        <v>0</v>
      </c>
      <c r="AB139" s="51"/>
      <c r="AC139" s="8">
        <v>0</v>
      </c>
      <c r="AD139" s="121"/>
      <c r="AE139" s="122"/>
      <c r="AF139" s="324"/>
      <c r="AG139" s="29">
        <v>0</v>
      </c>
      <c r="AH139" s="28">
        <f>+IF(ABS(+AC139+AE139)&lt;=ABS(AD139+AF139),-AC139+AD139-AE139+AF139,0)</f>
        <v>0</v>
      </c>
      <c r="AI139" s="51"/>
      <c r="AJ139" s="1497">
        <f t="shared" si="45"/>
        <v>4271</v>
      </c>
      <c r="AK139" s="8">
        <v>0</v>
      </c>
      <c r="AL139" s="970">
        <f t="shared" si="65"/>
        <v>0</v>
      </c>
      <c r="AM139" s="326">
        <f t="shared" si="65"/>
        <v>0</v>
      </c>
      <c r="AN139" s="970">
        <f t="shared" si="65"/>
        <v>0</v>
      </c>
      <c r="AO139" s="29">
        <v>0</v>
      </c>
      <c r="AP139" s="28">
        <f>+T139+AA139+AH139</f>
        <v>0</v>
      </c>
      <c r="AQ139" s="43"/>
      <c r="AR139" s="358">
        <f t="shared" si="66"/>
        <v>0</v>
      </c>
      <c r="AS139" s="359">
        <f t="shared" si="67"/>
        <v>0</v>
      </c>
      <c r="AT139" s="360">
        <f t="shared" si="68"/>
        <v>0</v>
      </c>
      <c r="AU139" s="43"/>
      <c r="AV139" s="2119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119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25"/>
      <c r="R140" s="324"/>
      <c r="S140" s="29">
        <v>0</v>
      </c>
      <c r="T140" s="28">
        <f>+IF(ABS(+O140+Q140)&lt;=ABS(P140+R140),-O140+P140-Q140+R140,0)</f>
        <v>0</v>
      </c>
      <c r="U140" s="51"/>
      <c r="V140" s="541">
        <f>+'NF-KSF-TRIAL-BAL-2021'!O140+'RA-TRIAL-BAL-2021'!O140+'DES-TRIAL-BAL-2021'!O140+'DMP-TRIAL-BAL-2021'!O140</f>
        <v>0</v>
      </c>
      <c r="W140" s="529">
        <f>+'NF-KSF-TRIAL-BAL-2021'!P140+'RA-TRIAL-BAL-2021'!P140+'DES-TRIAL-BAL-2021'!P140+'DMP-TRIAL-BAL-2021'!P140</f>
        <v>0</v>
      </c>
      <c r="X140" s="528">
        <f>+'NF-KSF-TRIAL-BAL-2021'!Q140+'RA-TRIAL-BAL-2021'!Q140+'DES-TRIAL-BAL-2021'!Q140+'DMP-TRIAL-BAL-2021'!Q140</f>
        <v>0</v>
      </c>
      <c r="Y140" s="529">
        <f>+'NF-KSF-TRIAL-BAL-2021'!R140+'RA-TRIAL-BAL-2021'!R140+'DES-TRIAL-BAL-2021'!R140+'DMP-TRIAL-BAL-2021'!R140</f>
        <v>0</v>
      </c>
      <c r="Z140" s="528">
        <f>+'NF-KSF-TRIAL-BAL-2021'!S140+'RA-TRIAL-BAL-2021'!S140+'DES-TRIAL-BAL-2021'!S140+'DMP-TRIAL-BAL-2021'!S140</f>
        <v>0</v>
      </c>
      <c r="AA140" s="347">
        <f>+'NF-KSF-TRIAL-BAL-2021'!T140+'RA-TRIAL-BAL-2021'!T140+'DES-TRIAL-BAL-2021'!T140+'DMP-TRIAL-BAL-2021'!T140</f>
        <v>0</v>
      </c>
      <c r="AB140" s="51"/>
      <c r="AC140" s="8">
        <v>0</v>
      </c>
      <c r="AD140" s="121"/>
      <c r="AE140" s="325"/>
      <c r="AF140" s="324"/>
      <c r="AG140" s="29">
        <v>0</v>
      </c>
      <c r="AH140" s="28">
        <f>+IF(ABS(+AC140+AE140)&lt;=ABS(AD140+AF140),-AC140+AD140-AE140+AF140,0)</f>
        <v>0</v>
      </c>
      <c r="AI140" s="51"/>
      <c r="AJ140" s="1497">
        <f t="shared" si="45"/>
        <v>4272</v>
      </c>
      <c r="AK140" s="8">
        <v>0</v>
      </c>
      <c r="AL140" s="970">
        <f t="shared" si="65"/>
        <v>0</v>
      </c>
      <c r="AM140" s="326">
        <f t="shared" si="65"/>
        <v>0</v>
      </c>
      <c r="AN140" s="970">
        <f t="shared" si="65"/>
        <v>0</v>
      </c>
      <c r="AO140" s="29">
        <v>0</v>
      </c>
      <c r="AP140" s="28">
        <f>+T140+AA140+AH140</f>
        <v>0</v>
      </c>
      <c r="AQ140" s="43"/>
      <c r="AR140" s="358">
        <f t="shared" si="66"/>
        <v>0</v>
      </c>
      <c r="AS140" s="359">
        <f t="shared" si="67"/>
        <v>0</v>
      </c>
      <c r="AT140" s="360">
        <f t="shared" si="68"/>
        <v>0</v>
      </c>
      <c r="AU140" s="43"/>
      <c r="AV140" s="2119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119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25"/>
      <c r="R141" s="324"/>
      <c r="S141" s="27">
        <f>+IF(ABS(+O141+Q141)&gt;=ABS(P141+R141),+O141-P141+Q141-R141,0)</f>
        <v>0</v>
      </c>
      <c r="T141" s="30">
        <v>0</v>
      </c>
      <c r="U141" s="51"/>
      <c r="V141" s="541">
        <f>+'NF-KSF-TRIAL-BAL-2021'!O141+'RA-TRIAL-BAL-2021'!O141+'DES-TRIAL-BAL-2021'!O141+'DMP-TRIAL-BAL-2021'!O141</f>
        <v>0</v>
      </c>
      <c r="W141" s="529">
        <f>+'NF-KSF-TRIAL-BAL-2021'!P141+'RA-TRIAL-BAL-2021'!P141+'DES-TRIAL-BAL-2021'!P141+'DMP-TRIAL-BAL-2021'!P141</f>
        <v>0</v>
      </c>
      <c r="X141" s="528">
        <f>+'NF-KSF-TRIAL-BAL-2021'!Q141+'RA-TRIAL-BAL-2021'!Q141+'DES-TRIAL-BAL-2021'!Q141+'DMP-TRIAL-BAL-2021'!Q141</f>
        <v>0</v>
      </c>
      <c r="Y141" s="529">
        <f>+'NF-KSF-TRIAL-BAL-2021'!R141+'RA-TRIAL-BAL-2021'!R141+'DES-TRIAL-BAL-2021'!R141+'DMP-TRIAL-BAL-2021'!R141</f>
        <v>0</v>
      </c>
      <c r="Z141" s="528">
        <f>+'NF-KSF-TRIAL-BAL-2021'!S141+'RA-TRIAL-BAL-2021'!S141+'DES-TRIAL-BAL-2021'!S141+'DMP-TRIAL-BAL-2021'!S141</f>
        <v>0</v>
      </c>
      <c r="AA141" s="347">
        <f>+'NF-KSF-TRIAL-BAL-2021'!T141+'RA-TRIAL-BAL-2021'!T141+'DES-TRIAL-BAL-2021'!T141+'DMP-TRIAL-BAL-2021'!T141</f>
        <v>0</v>
      </c>
      <c r="AB141" s="51"/>
      <c r="AC141" s="120"/>
      <c r="AD141" s="9">
        <v>0</v>
      </c>
      <c r="AE141" s="325"/>
      <c r="AF141" s="324"/>
      <c r="AG141" s="27">
        <f>+IF(ABS(+AC141+AE141)&gt;=ABS(AD141+AF141),+AC141-AD141+AE141-AF141,0)</f>
        <v>0</v>
      </c>
      <c r="AH141" s="30">
        <v>0</v>
      </c>
      <c r="AI141" s="51"/>
      <c r="AJ141" s="1497">
        <f t="shared" si="45"/>
        <v>4279</v>
      </c>
      <c r="AK141" s="951">
        <f>+ROUND(+O141+V141+AC141,2)</f>
        <v>0</v>
      </c>
      <c r="AL141" s="9">
        <v>0</v>
      </c>
      <c r="AM141" s="326">
        <f t="shared" si="65"/>
        <v>0</v>
      </c>
      <c r="AN141" s="970">
        <f t="shared" si="65"/>
        <v>0</v>
      </c>
      <c r="AO141" s="326">
        <f>+S141+Z141+AG141</f>
        <v>0</v>
      </c>
      <c r="AP141" s="30">
        <v>0</v>
      </c>
      <c r="AQ141" s="43"/>
      <c r="AR141" s="358">
        <f t="shared" si="66"/>
        <v>0</v>
      </c>
      <c r="AS141" s="359">
        <f t="shared" si="67"/>
        <v>0</v>
      </c>
      <c r="AT141" s="360">
        <f t="shared" si="68"/>
        <v>0</v>
      </c>
      <c r="AU141" s="43"/>
      <c r="AV141" s="2120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120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64"/>
        <v>4281</v>
      </c>
      <c r="O142" s="8">
        <v>0</v>
      </c>
      <c r="P142" s="121"/>
      <c r="Q142" s="325">
        <v>32465.33</v>
      </c>
      <c r="R142" s="324">
        <v>32465.33</v>
      </c>
      <c r="S142" s="29">
        <v>0</v>
      </c>
      <c r="T142" s="28">
        <f>+IF(ABS(+O142+Q142)&lt;=ABS(P142+R142),-O142+P142-Q142+R142,0)</f>
        <v>0</v>
      </c>
      <c r="U142" s="51"/>
      <c r="V142" s="541">
        <f>+'NF-KSF-TRIAL-BAL-2021'!O142+'RA-TRIAL-BAL-2021'!O142+'DES-TRIAL-BAL-2021'!O142+'DMP-TRIAL-BAL-2021'!O142</f>
        <v>0</v>
      </c>
      <c r="W142" s="529">
        <f>+'NF-KSF-TRIAL-BAL-2021'!P142+'RA-TRIAL-BAL-2021'!P142+'DES-TRIAL-BAL-2021'!P142+'DMP-TRIAL-BAL-2021'!P142</f>
        <v>0</v>
      </c>
      <c r="X142" s="528">
        <f>+'NF-KSF-TRIAL-BAL-2021'!Q142+'RA-TRIAL-BAL-2021'!Q142+'DES-TRIAL-BAL-2021'!Q142+'DMP-TRIAL-BAL-2021'!Q142</f>
        <v>0</v>
      </c>
      <c r="Y142" s="529">
        <f>+'NF-KSF-TRIAL-BAL-2021'!R142+'RA-TRIAL-BAL-2021'!R142+'DES-TRIAL-BAL-2021'!R142+'DMP-TRIAL-BAL-2021'!R142</f>
        <v>0</v>
      </c>
      <c r="Z142" s="528">
        <f>+'NF-KSF-TRIAL-BAL-2021'!S142+'RA-TRIAL-BAL-2021'!S142+'DES-TRIAL-BAL-2021'!S142+'DMP-TRIAL-BAL-2021'!S142</f>
        <v>0</v>
      </c>
      <c r="AA142" s="347">
        <f>+'NF-KSF-TRIAL-BAL-2021'!T142+'RA-TRIAL-BAL-2021'!T142+'DES-TRIAL-BAL-2021'!T142+'DMP-TRIAL-BAL-2021'!T142</f>
        <v>0</v>
      </c>
      <c r="AB142" s="51"/>
      <c r="AC142" s="8">
        <v>0</v>
      </c>
      <c r="AD142" s="121"/>
      <c r="AE142" s="122"/>
      <c r="AF142" s="324"/>
      <c r="AG142" s="29">
        <v>0</v>
      </c>
      <c r="AH142" s="28">
        <f>+IF(ABS(+AC142+AE142)&lt;=ABS(AD142+AF142),-AC142+AD142-AE142+AF142,0)</f>
        <v>0</v>
      </c>
      <c r="AI142" s="51"/>
      <c r="AJ142" s="1497">
        <f t="shared" si="45"/>
        <v>4281</v>
      </c>
      <c r="AK142" s="8">
        <v>0</v>
      </c>
      <c r="AL142" s="970">
        <f t="shared" si="65"/>
        <v>0</v>
      </c>
      <c r="AM142" s="326">
        <f t="shared" si="65"/>
        <v>32465.33</v>
      </c>
      <c r="AN142" s="970">
        <f t="shared" si="65"/>
        <v>32465.33</v>
      </c>
      <c r="AO142" s="29">
        <v>0</v>
      </c>
      <c r="AP142" s="28">
        <f>+T142+AA142+AH142</f>
        <v>0</v>
      </c>
      <c r="AQ142" s="43"/>
      <c r="AR142" s="358">
        <f t="shared" si="66"/>
        <v>0</v>
      </c>
      <c r="AS142" s="359">
        <f t="shared" si="67"/>
        <v>0</v>
      </c>
      <c r="AT142" s="360">
        <f t="shared" si="68"/>
        <v>0</v>
      </c>
      <c r="AU142" s="43"/>
      <c r="AV142" s="2119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119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25"/>
      <c r="R143" s="324"/>
      <c r="S143" s="29">
        <v>0</v>
      </c>
      <c r="T143" s="28">
        <f>+IF(ABS(+O143+Q143)&lt;=ABS(P143+R143),-O143+P143-Q143+R143,0)</f>
        <v>0</v>
      </c>
      <c r="U143" s="51"/>
      <c r="V143" s="541">
        <f>+'NF-KSF-TRIAL-BAL-2021'!O143+'RA-TRIAL-BAL-2021'!O143+'DES-TRIAL-BAL-2021'!O143+'DMP-TRIAL-BAL-2021'!O143</f>
        <v>0</v>
      </c>
      <c r="W143" s="529">
        <f>+'NF-KSF-TRIAL-BAL-2021'!P143+'RA-TRIAL-BAL-2021'!P143+'DES-TRIAL-BAL-2021'!P143+'DMP-TRIAL-BAL-2021'!P143</f>
        <v>0</v>
      </c>
      <c r="X143" s="528">
        <f>+'NF-KSF-TRIAL-BAL-2021'!Q143+'RA-TRIAL-BAL-2021'!Q143+'DES-TRIAL-BAL-2021'!Q143+'DMP-TRIAL-BAL-2021'!Q143</f>
        <v>0</v>
      </c>
      <c r="Y143" s="529">
        <f>+'NF-KSF-TRIAL-BAL-2021'!R143+'RA-TRIAL-BAL-2021'!R143+'DES-TRIAL-BAL-2021'!R143+'DMP-TRIAL-BAL-2021'!R143</f>
        <v>0</v>
      </c>
      <c r="Z143" s="528">
        <f>+'NF-KSF-TRIAL-BAL-2021'!S143+'RA-TRIAL-BAL-2021'!S143+'DES-TRIAL-BAL-2021'!S143+'DMP-TRIAL-BAL-2021'!S143</f>
        <v>0</v>
      </c>
      <c r="AA143" s="347">
        <f>+'NF-KSF-TRIAL-BAL-2021'!T143+'RA-TRIAL-BAL-2021'!T143+'DES-TRIAL-BAL-2021'!T143+'DMP-TRIAL-BAL-2021'!T143</f>
        <v>0</v>
      </c>
      <c r="AB143" s="51"/>
      <c r="AC143" s="8">
        <v>0</v>
      </c>
      <c r="AD143" s="121"/>
      <c r="AE143" s="325"/>
      <c r="AF143" s="324"/>
      <c r="AG143" s="29">
        <v>0</v>
      </c>
      <c r="AH143" s="28">
        <f>+IF(ABS(+AC143+AE143)&lt;=ABS(AD143+AF143),-AC143+AD143-AE143+AF143,0)</f>
        <v>0</v>
      </c>
      <c r="AI143" s="51"/>
      <c r="AJ143" s="1497">
        <f t="shared" si="45"/>
        <v>4282</v>
      </c>
      <c r="AK143" s="8">
        <v>0</v>
      </c>
      <c r="AL143" s="970">
        <f t="shared" si="65"/>
        <v>0</v>
      </c>
      <c r="AM143" s="326">
        <f t="shared" si="65"/>
        <v>0</v>
      </c>
      <c r="AN143" s="970">
        <f t="shared" si="65"/>
        <v>0</v>
      </c>
      <c r="AO143" s="29">
        <v>0</v>
      </c>
      <c r="AP143" s="28">
        <f>+T143+AA143+AH143</f>
        <v>0</v>
      </c>
      <c r="AQ143" s="43"/>
      <c r="AR143" s="358">
        <f t="shared" si="66"/>
        <v>0</v>
      </c>
      <c r="AS143" s="359">
        <f t="shared" si="67"/>
        <v>0</v>
      </c>
      <c r="AT143" s="360">
        <f t="shared" si="68"/>
        <v>0</v>
      </c>
      <c r="AU143" s="43"/>
      <c r="AV143" s="2119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119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25"/>
      <c r="R144" s="324"/>
      <c r="S144" s="27">
        <f>+IF(ABS(+O144+Q144)&gt;=ABS(P144+R144),+O144-P144+Q144-R144,0)</f>
        <v>0</v>
      </c>
      <c r="T144" s="30">
        <v>0</v>
      </c>
      <c r="U144" s="51"/>
      <c r="V144" s="541">
        <f>+'NF-KSF-TRIAL-BAL-2021'!O144+'RA-TRIAL-BAL-2021'!O144+'DES-TRIAL-BAL-2021'!O144+'DMP-TRIAL-BAL-2021'!O144</f>
        <v>0</v>
      </c>
      <c r="W144" s="529">
        <f>+'NF-KSF-TRIAL-BAL-2021'!P144+'RA-TRIAL-BAL-2021'!P144+'DES-TRIAL-BAL-2021'!P144+'DMP-TRIAL-BAL-2021'!P144</f>
        <v>0</v>
      </c>
      <c r="X144" s="528">
        <f>+'NF-KSF-TRIAL-BAL-2021'!Q144+'RA-TRIAL-BAL-2021'!Q144+'DES-TRIAL-BAL-2021'!Q144+'DMP-TRIAL-BAL-2021'!Q144</f>
        <v>0</v>
      </c>
      <c r="Y144" s="529">
        <f>+'NF-KSF-TRIAL-BAL-2021'!R144+'RA-TRIAL-BAL-2021'!R144+'DES-TRIAL-BAL-2021'!R144+'DMP-TRIAL-BAL-2021'!R144</f>
        <v>0</v>
      </c>
      <c r="Z144" s="528">
        <f>+'NF-KSF-TRIAL-BAL-2021'!S144+'RA-TRIAL-BAL-2021'!S144+'DES-TRIAL-BAL-2021'!S144+'DMP-TRIAL-BAL-2021'!S144</f>
        <v>0</v>
      </c>
      <c r="AA144" s="347">
        <f>+'NF-KSF-TRIAL-BAL-2021'!T144+'RA-TRIAL-BAL-2021'!T144+'DES-TRIAL-BAL-2021'!T144+'DMP-TRIAL-BAL-2021'!T144</f>
        <v>0</v>
      </c>
      <c r="AB144" s="51"/>
      <c r="AC144" s="120"/>
      <c r="AD144" s="9">
        <v>0</v>
      </c>
      <c r="AE144" s="325"/>
      <c r="AF144" s="324"/>
      <c r="AG144" s="27">
        <f>+IF(ABS(+AC144+AE144)&gt;=ABS(AD144+AF144),+AC144-AD144+AE144-AF144,0)</f>
        <v>0</v>
      </c>
      <c r="AH144" s="30">
        <v>0</v>
      </c>
      <c r="AI144" s="51"/>
      <c r="AJ144" s="1497">
        <f t="shared" si="45"/>
        <v>4287</v>
      </c>
      <c r="AK144" s="951">
        <f>+ROUND(+O144+V144+AC144,2)</f>
        <v>0</v>
      </c>
      <c r="AL144" s="9">
        <v>0</v>
      </c>
      <c r="AM144" s="326">
        <f t="shared" si="65"/>
        <v>0</v>
      </c>
      <c r="AN144" s="970">
        <f t="shared" si="65"/>
        <v>0</v>
      </c>
      <c r="AO144" s="326">
        <f>+S144+Z144+AG144</f>
        <v>0</v>
      </c>
      <c r="AP144" s="30">
        <v>0</v>
      </c>
      <c r="AQ144" s="43"/>
      <c r="AR144" s="358">
        <f t="shared" si="66"/>
        <v>0</v>
      </c>
      <c r="AS144" s="359">
        <f t="shared" si="67"/>
        <v>0</v>
      </c>
      <c r="AT144" s="360">
        <f t="shared" si="68"/>
        <v>0</v>
      </c>
      <c r="AU144" s="43"/>
      <c r="AV144" s="2120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120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25"/>
      <c r="R145" s="324"/>
      <c r="S145" s="27">
        <f>+IF(ABS(+O145+Q145)&gt;=ABS(P145+R145),+O145-P145+Q145-R145,0)</f>
        <v>0</v>
      </c>
      <c r="T145" s="30">
        <v>0</v>
      </c>
      <c r="U145" s="51"/>
      <c r="V145" s="541">
        <f>+'NF-KSF-TRIAL-BAL-2021'!O145+'RA-TRIAL-BAL-2021'!O145+'DES-TRIAL-BAL-2021'!O145+'DMP-TRIAL-BAL-2021'!O145</f>
        <v>0</v>
      </c>
      <c r="W145" s="529">
        <f>+'NF-KSF-TRIAL-BAL-2021'!P145+'RA-TRIAL-BAL-2021'!P145+'DES-TRIAL-BAL-2021'!P145+'DMP-TRIAL-BAL-2021'!P145</f>
        <v>0</v>
      </c>
      <c r="X145" s="528">
        <f>+'NF-KSF-TRIAL-BAL-2021'!Q145+'RA-TRIAL-BAL-2021'!Q145+'DES-TRIAL-BAL-2021'!Q145+'DMP-TRIAL-BAL-2021'!Q145</f>
        <v>0</v>
      </c>
      <c r="Y145" s="529">
        <f>+'NF-KSF-TRIAL-BAL-2021'!R145+'RA-TRIAL-BAL-2021'!R145+'DES-TRIAL-BAL-2021'!R145+'DMP-TRIAL-BAL-2021'!R145</f>
        <v>0</v>
      </c>
      <c r="Z145" s="528">
        <f>+'NF-KSF-TRIAL-BAL-2021'!S145+'RA-TRIAL-BAL-2021'!S145+'DES-TRIAL-BAL-2021'!S145+'DMP-TRIAL-BAL-2021'!S145</f>
        <v>0</v>
      </c>
      <c r="AA145" s="347">
        <f>+'NF-KSF-TRIAL-BAL-2021'!T145+'RA-TRIAL-BAL-2021'!T145+'DES-TRIAL-BAL-2021'!T145+'DMP-TRIAL-BAL-2021'!T145</f>
        <v>0</v>
      </c>
      <c r="AB145" s="51"/>
      <c r="AC145" s="120"/>
      <c r="AD145" s="9">
        <v>0</v>
      </c>
      <c r="AE145" s="325"/>
      <c r="AF145" s="324"/>
      <c r="AG145" s="27">
        <f>+IF(ABS(+AC145+AE145)&gt;=ABS(AD145+AF145),+AC145-AD145+AE145-AF145,0)</f>
        <v>0</v>
      </c>
      <c r="AH145" s="30">
        <v>0</v>
      </c>
      <c r="AI145" s="51"/>
      <c r="AJ145" s="1497">
        <f t="shared" si="45"/>
        <v>4288</v>
      </c>
      <c r="AK145" s="951">
        <f>+ROUND(+O145+V145+AC145,2)</f>
        <v>0</v>
      </c>
      <c r="AL145" s="9">
        <v>0</v>
      </c>
      <c r="AM145" s="326">
        <f t="shared" si="65"/>
        <v>0</v>
      </c>
      <c r="AN145" s="970">
        <f t="shared" si="65"/>
        <v>0</v>
      </c>
      <c r="AO145" s="326">
        <f>+S145+Z145+AG145</f>
        <v>0</v>
      </c>
      <c r="AP145" s="30">
        <v>0</v>
      </c>
      <c r="AQ145" s="43"/>
      <c r="AR145" s="358">
        <f t="shared" si="66"/>
        <v>0</v>
      </c>
      <c r="AS145" s="359">
        <f t="shared" si="67"/>
        <v>0</v>
      </c>
      <c r="AT145" s="360">
        <f t="shared" si="68"/>
        <v>0</v>
      </c>
      <c r="AU145" s="43"/>
      <c r="AV145" s="2120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120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64"/>
        <v>4291</v>
      </c>
      <c r="O146" s="8">
        <v>0</v>
      </c>
      <c r="P146" s="121"/>
      <c r="Q146" s="325">
        <v>251211</v>
      </c>
      <c r="R146" s="324">
        <v>251211</v>
      </c>
      <c r="S146" s="29">
        <v>0</v>
      </c>
      <c r="T146" s="28">
        <f>+IF(ABS(+O146+Q146)&lt;=ABS(P146+R146),-O146+P146-Q146+R146,0)</f>
        <v>0</v>
      </c>
      <c r="U146" s="51"/>
      <c r="V146" s="541">
        <f>+'NF-KSF-TRIAL-BAL-2021'!O146+'RA-TRIAL-BAL-2021'!O146+'DES-TRIAL-BAL-2021'!O146+'DMP-TRIAL-BAL-2021'!O146</f>
        <v>0</v>
      </c>
      <c r="W146" s="529">
        <f>+'NF-KSF-TRIAL-BAL-2021'!P146+'RA-TRIAL-BAL-2021'!P146+'DES-TRIAL-BAL-2021'!P146+'DMP-TRIAL-BAL-2021'!P146</f>
        <v>0</v>
      </c>
      <c r="X146" s="528">
        <f>+'NF-KSF-TRIAL-BAL-2021'!Q146+'RA-TRIAL-BAL-2021'!Q146+'DES-TRIAL-BAL-2021'!Q146+'DMP-TRIAL-BAL-2021'!Q146</f>
        <v>30682.89</v>
      </c>
      <c r="Y146" s="529">
        <f>+'NF-KSF-TRIAL-BAL-2021'!R146+'RA-TRIAL-BAL-2021'!R146+'DES-TRIAL-BAL-2021'!R146+'DMP-TRIAL-BAL-2021'!R146</f>
        <v>30682.89</v>
      </c>
      <c r="Z146" s="528">
        <f>+'NF-KSF-TRIAL-BAL-2021'!S146+'RA-TRIAL-BAL-2021'!S146+'DES-TRIAL-BAL-2021'!S146+'DMP-TRIAL-BAL-2021'!S146</f>
        <v>0</v>
      </c>
      <c r="AA146" s="347">
        <f>+'NF-KSF-TRIAL-BAL-2021'!T146+'RA-TRIAL-BAL-2021'!T146+'DES-TRIAL-BAL-2021'!T146+'DMP-TRIAL-BAL-2021'!T146</f>
        <v>0</v>
      </c>
      <c r="AB146" s="51"/>
      <c r="AC146" s="8">
        <v>0</v>
      </c>
      <c r="AD146" s="121"/>
      <c r="AE146" s="122"/>
      <c r="AF146" s="324"/>
      <c r="AG146" s="29">
        <v>0</v>
      </c>
      <c r="AH146" s="28">
        <f>+IF(ABS(+AC146+AE146)&lt;=ABS(AD146+AF146),-AC146+AD146-AE146+AF146,0)</f>
        <v>0</v>
      </c>
      <c r="AI146" s="51"/>
      <c r="AJ146" s="1497">
        <f t="shared" ref="AJ146:AJ218" si="70">+N146</f>
        <v>4291</v>
      </c>
      <c r="AK146" s="8">
        <v>0</v>
      </c>
      <c r="AL146" s="970">
        <f>+ROUND(+P146+W146+AD146,2)</f>
        <v>0</v>
      </c>
      <c r="AM146" s="326">
        <f t="shared" si="65"/>
        <v>281893.89</v>
      </c>
      <c r="AN146" s="970">
        <f t="shared" si="65"/>
        <v>281893.89</v>
      </c>
      <c r="AO146" s="29">
        <v>0</v>
      </c>
      <c r="AP146" s="28">
        <f>+T146+AA146+AH146</f>
        <v>0</v>
      </c>
      <c r="AQ146" s="43"/>
      <c r="AR146" s="358">
        <f t="shared" si="66"/>
        <v>0</v>
      </c>
      <c r="AS146" s="359">
        <f t="shared" si="67"/>
        <v>0</v>
      </c>
      <c r="AT146" s="360">
        <f t="shared" si="68"/>
        <v>0</v>
      </c>
      <c r="AU146" s="43"/>
      <c r="AV146" s="2119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119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25"/>
      <c r="R147" s="324"/>
      <c r="S147" s="27">
        <f>+IF(ABS(+O147+Q147)&gt;=ABS(P147+R147),+O147-P147+Q147-R147,0)</f>
        <v>0</v>
      </c>
      <c r="T147" s="30">
        <v>0</v>
      </c>
      <c r="U147" s="51"/>
      <c r="V147" s="541">
        <f>+'NF-KSF-TRIAL-BAL-2021'!O147+'RA-TRIAL-BAL-2021'!O147+'DES-TRIAL-BAL-2021'!O147+'DMP-TRIAL-BAL-2021'!O147</f>
        <v>0</v>
      </c>
      <c r="W147" s="529">
        <f>+'NF-KSF-TRIAL-BAL-2021'!P147+'RA-TRIAL-BAL-2021'!P147+'DES-TRIAL-BAL-2021'!P147+'DMP-TRIAL-BAL-2021'!P147</f>
        <v>0</v>
      </c>
      <c r="X147" s="528">
        <f>+'NF-KSF-TRIAL-BAL-2021'!Q147+'RA-TRIAL-BAL-2021'!Q147+'DES-TRIAL-BAL-2021'!Q147+'DMP-TRIAL-BAL-2021'!Q147</f>
        <v>0</v>
      </c>
      <c r="Y147" s="529">
        <f>+'NF-KSF-TRIAL-BAL-2021'!R147+'RA-TRIAL-BAL-2021'!R147+'DES-TRIAL-BAL-2021'!R147+'DMP-TRIAL-BAL-2021'!R147</f>
        <v>0</v>
      </c>
      <c r="Z147" s="528">
        <f>+'NF-KSF-TRIAL-BAL-2021'!S147+'RA-TRIAL-BAL-2021'!S147+'DES-TRIAL-BAL-2021'!S147+'DMP-TRIAL-BAL-2021'!S147</f>
        <v>0</v>
      </c>
      <c r="AA147" s="347">
        <f>+'NF-KSF-TRIAL-BAL-2021'!T147+'RA-TRIAL-BAL-2021'!T147+'DES-TRIAL-BAL-2021'!T147+'DMP-TRIAL-BAL-2021'!T147</f>
        <v>0</v>
      </c>
      <c r="AB147" s="51"/>
      <c r="AC147" s="120"/>
      <c r="AD147" s="9">
        <v>0</v>
      </c>
      <c r="AE147" s="325"/>
      <c r="AF147" s="324"/>
      <c r="AG147" s="27">
        <f>+IF(ABS(+AC147+AE147)&gt;=ABS(AD147+AF147),+AC147-AD147+AE147-AF147,0)</f>
        <v>0</v>
      </c>
      <c r="AH147" s="30">
        <v>0</v>
      </c>
      <c r="AI147" s="51"/>
      <c r="AJ147" s="1497">
        <f t="shared" si="70"/>
        <v>4299</v>
      </c>
      <c r="AK147" s="951">
        <f>+ROUND(+O147+V147+AC147,2)</f>
        <v>0</v>
      </c>
      <c r="AL147" s="9">
        <v>0</v>
      </c>
      <c r="AM147" s="326">
        <f t="shared" si="65"/>
        <v>0</v>
      </c>
      <c r="AN147" s="970">
        <f t="shared" si="65"/>
        <v>0</v>
      </c>
      <c r="AO147" s="326">
        <f>+S147+Z147+AG147</f>
        <v>0</v>
      </c>
      <c r="AP147" s="30">
        <v>0</v>
      </c>
      <c r="AQ147" s="43"/>
      <c r="AR147" s="358">
        <f t="shared" si="66"/>
        <v>0</v>
      </c>
      <c r="AS147" s="359">
        <f t="shared" si="67"/>
        <v>0</v>
      </c>
      <c r="AT147" s="360">
        <f t="shared" si="68"/>
        <v>0</v>
      </c>
      <c r="AU147" s="43"/>
      <c r="AV147" s="2120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120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64"/>
        <v>4301</v>
      </c>
      <c r="O148" s="200"/>
      <c r="P148" s="9">
        <v>0</v>
      </c>
      <c r="Q148" s="325"/>
      <c r="R148" s="324"/>
      <c r="S148" s="27">
        <f>+IF(ABS(+O148+Q148)&gt;=ABS(P148+R148),+O148-P148+Q148-R148,0)</f>
        <v>0</v>
      </c>
      <c r="T148" s="30">
        <v>0</v>
      </c>
      <c r="U148" s="51"/>
      <c r="V148" s="541">
        <f>+'NF-KSF-TRIAL-BAL-2021'!O148+'RA-TRIAL-BAL-2021'!O148+'DES-TRIAL-BAL-2021'!O148+'DMP-TRIAL-BAL-2021'!O148</f>
        <v>0</v>
      </c>
      <c r="W148" s="529">
        <f>+'NF-KSF-TRIAL-BAL-2021'!P148+'RA-TRIAL-BAL-2021'!P148+'DES-TRIAL-BAL-2021'!P148+'DMP-TRIAL-BAL-2021'!P148</f>
        <v>0</v>
      </c>
      <c r="X148" s="528">
        <f>+'NF-KSF-TRIAL-BAL-2021'!Q148+'RA-TRIAL-BAL-2021'!Q148+'DES-TRIAL-BAL-2021'!Q148+'DMP-TRIAL-BAL-2021'!Q148</f>
        <v>0</v>
      </c>
      <c r="Y148" s="529">
        <f>+'NF-KSF-TRIAL-BAL-2021'!R148+'RA-TRIAL-BAL-2021'!R148+'DES-TRIAL-BAL-2021'!R148+'DMP-TRIAL-BAL-2021'!R148</f>
        <v>0</v>
      </c>
      <c r="Z148" s="528">
        <f>+'NF-KSF-TRIAL-BAL-2021'!S148+'RA-TRIAL-BAL-2021'!S148+'DES-TRIAL-BAL-2021'!S148+'DMP-TRIAL-BAL-2021'!S148</f>
        <v>0</v>
      </c>
      <c r="AA148" s="347">
        <f>+'NF-KSF-TRIAL-BAL-2021'!T148+'RA-TRIAL-BAL-2021'!T148+'DES-TRIAL-BAL-2021'!T148+'DMP-TRIAL-BAL-2021'!T148</f>
        <v>0</v>
      </c>
      <c r="AB148" s="51"/>
      <c r="AC148" s="200"/>
      <c r="AD148" s="9">
        <v>0</v>
      </c>
      <c r="AE148" s="325"/>
      <c r="AF148" s="324"/>
      <c r="AG148" s="27">
        <f>+IF(ABS(+AC148+AE148)&gt;=ABS(AD148+AF148),+AC148-AD148+AE148-AF148,0)</f>
        <v>0</v>
      </c>
      <c r="AH148" s="30">
        <v>0</v>
      </c>
      <c r="AI148" s="51"/>
      <c r="AJ148" s="1497">
        <f t="shared" si="70"/>
        <v>4301</v>
      </c>
      <c r="AK148" s="951">
        <f>+ROUND(+O148+V148+AC148,2)</f>
        <v>0</v>
      </c>
      <c r="AL148" s="9">
        <v>0</v>
      </c>
      <c r="AM148" s="326">
        <f t="shared" si="65"/>
        <v>0</v>
      </c>
      <c r="AN148" s="970">
        <f t="shared" si="65"/>
        <v>0</v>
      </c>
      <c r="AO148" s="326">
        <f>+S148+Z148+AG148</f>
        <v>0</v>
      </c>
      <c r="AP148" s="30">
        <v>0</v>
      </c>
      <c r="AQ148" s="43"/>
      <c r="AR148" s="358">
        <f t="shared" si="66"/>
        <v>0</v>
      </c>
      <c r="AS148" s="359">
        <f t="shared" si="67"/>
        <v>0</v>
      </c>
      <c r="AT148" s="360">
        <f t="shared" si="68"/>
        <v>0</v>
      </c>
      <c r="AU148" s="43"/>
      <c r="AV148" s="2120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120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>+A149</f>
        <v>4303</v>
      </c>
      <c r="O149" s="200"/>
      <c r="P149" s="9">
        <v>0</v>
      </c>
      <c r="Q149" s="325"/>
      <c r="R149" s="324"/>
      <c r="S149" s="27">
        <f>+IF(ABS(+O149+Q149)&gt;=ABS(P149+R149),+O149-P149+Q149-R149,0)</f>
        <v>0</v>
      </c>
      <c r="T149" s="30">
        <v>0</v>
      </c>
      <c r="U149" s="51"/>
      <c r="V149" s="541">
        <f>+'NF-KSF-TRIAL-BAL-2021'!O149+'RA-TRIAL-BAL-2021'!O149+'DES-TRIAL-BAL-2021'!O149+'DMP-TRIAL-BAL-2021'!O149</f>
        <v>0</v>
      </c>
      <c r="W149" s="529">
        <f>+'NF-KSF-TRIAL-BAL-2021'!P149+'RA-TRIAL-BAL-2021'!P149+'DES-TRIAL-BAL-2021'!P149+'DMP-TRIAL-BAL-2021'!P149</f>
        <v>0</v>
      </c>
      <c r="X149" s="528">
        <f>+'NF-KSF-TRIAL-BAL-2021'!Q149+'RA-TRIAL-BAL-2021'!Q149+'DES-TRIAL-BAL-2021'!Q149+'DMP-TRIAL-BAL-2021'!Q149</f>
        <v>0</v>
      </c>
      <c r="Y149" s="529">
        <f>+'NF-KSF-TRIAL-BAL-2021'!R149+'RA-TRIAL-BAL-2021'!R149+'DES-TRIAL-BAL-2021'!R149+'DMP-TRIAL-BAL-2021'!R149</f>
        <v>0</v>
      </c>
      <c r="Z149" s="528">
        <f>+'NF-KSF-TRIAL-BAL-2021'!S149+'RA-TRIAL-BAL-2021'!S149+'DES-TRIAL-BAL-2021'!S149+'DMP-TRIAL-BAL-2021'!S149</f>
        <v>0</v>
      </c>
      <c r="AA149" s="347">
        <f>+'NF-KSF-TRIAL-BAL-2021'!T149+'RA-TRIAL-BAL-2021'!T149+'DES-TRIAL-BAL-2021'!T149+'DMP-TRIAL-BAL-2021'!T149</f>
        <v>0</v>
      </c>
      <c r="AB149" s="51"/>
      <c r="AC149" s="200"/>
      <c r="AD149" s="9">
        <v>0</v>
      </c>
      <c r="AE149" s="122"/>
      <c r="AF149" s="324"/>
      <c r="AG149" s="27">
        <f>+IF(ABS(+AC149+AE149)&gt;=ABS(AD149+AF149),+AC149-AD149+AE149-AF149,0)</f>
        <v>0</v>
      </c>
      <c r="AH149" s="30">
        <v>0</v>
      </c>
      <c r="AI149" s="51"/>
      <c r="AJ149" s="1497">
        <f>+N149</f>
        <v>4303</v>
      </c>
      <c r="AK149" s="951">
        <f>+ROUND(+O149+V149+AC149,2)</f>
        <v>0</v>
      </c>
      <c r="AL149" s="9">
        <v>0</v>
      </c>
      <c r="AM149" s="326">
        <f>+ROUND(+Q149+X149+AE149,2)</f>
        <v>0</v>
      </c>
      <c r="AN149" s="970">
        <f>+ROUND(+R149+Y149+AF149,2)</f>
        <v>0</v>
      </c>
      <c r="AO149" s="326">
        <f>+S149+Z149+AG149</f>
        <v>0</v>
      </c>
      <c r="AP149" s="30">
        <v>0</v>
      </c>
      <c r="AQ149" s="43"/>
      <c r="AR149" s="358">
        <f>+ROUND(+SUM(AK149-AL149)-SUM(O149-P149)-SUM(V149-W149)-SUM(AC149-AD149),2)</f>
        <v>0</v>
      </c>
      <c r="AS149" s="359">
        <f>+ROUND(+SUM(AM149-AN149)-SUM(Q149-R149)-SUM(X149-Y149)-SUM(AE149-AF149),2)</f>
        <v>0</v>
      </c>
      <c r="AT149" s="360">
        <f>+ROUND(+SUM(AO149-AP149)-SUM(S149-T149)-SUM(Z149-AA149)-SUM(AG149-AH149),2)</f>
        <v>0</v>
      </c>
      <c r="AU149" s="43"/>
      <c r="AV149" s="2120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120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25"/>
      <c r="R150" s="324"/>
      <c r="S150" s="29">
        <v>0</v>
      </c>
      <c r="T150" s="28">
        <f>+IF(ABS(+O150+Q150)&lt;=ABS(P150+R150),-O150+P150-Q150+R150,0)</f>
        <v>0</v>
      </c>
      <c r="U150" s="51"/>
      <c r="V150" s="541">
        <f>+'NF-KSF-TRIAL-BAL-2021'!O150+'RA-TRIAL-BAL-2021'!O150+'DES-TRIAL-BAL-2021'!O150+'DMP-TRIAL-BAL-2021'!O150</f>
        <v>0</v>
      </c>
      <c r="W150" s="529">
        <f>+'NF-KSF-TRIAL-BAL-2021'!P150+'RA-TRIAL-BAL-2021'!P150+'DES-TRIAL-BAL-2021'!P150+'DMP-TRIAL-BAL-2021'!P150</f>
        <v>0</v>
      </c>
      <c r="X150" s="528">
        <f>+'NF-KSF-TRIAL-BAL-2021'!Q150+'RA-TRIAL-BAL-2021'!Q150+'DES-TRIAL-BAL-2021'!Q150+'DMP-TRIAL-BAL-2021'!Q150</f>
        <v>0</v>
      </c>
      <c r="Y150" s="529">
        <f>+'NF-KSF-TRIAL-BAL-2021'!R150+'RA-TRIAL-BAL-2021'!R150+'DES-TRIAL-BAL-2021'!R150+'DMP-TRIAL-BAL-2021'!R150</f>
        <v>0</v>
      </c>
      <c r="Z150" s="528">
        <f>+'NF-KSF-TRIAL-BAL-2021'!S150+'RA-TRIAL-BAL-2021'!S150+'DES-TRIAL-BAL-2021'!S150+'DMP-TRIAL-BAL-2021'!S150</f>
        <v>0</v>
      </c>
      <c r="AA150" s="347">
        <f>+'NF-KSF-TRIAL-BAL-2021'!T150+'RA-TRIAL-BAL-2021'!T150+'DES-TRIAL-BAL-2021'!T150+'DMP-TRIAL-BAL-2021'!T150</f>
        <v>0</v>
      </c>
      <c r="AB150" s="51"/>
      <c r="AC150" s="8">
        <v>0</v>
      </c>
      <c r="AD150" s="121"/>
      <c r="AE150" s="325"/>
      <c r="AF150" s="324"/>
      <c r="AG150" s="29">
        <v>0</v>
      </c>
      <c r="AH150" s="28">
        <f>+IF(ABS(+AC150+AE150)&lt;=ABS(AD150+AF150),-AC150+AD150-AE150+AF150,0)</f>
        <v>0</v>
      </c>
      <c r="AI150" s="51"/>
      <c r="AJ150" s="1497">
        <f t="shared" si="70"/>
        <v>4311</v>
      </c>
      <c r="AK150" s="8">
        <v>0</v>
      </c>
      <c r="AL150" s="970">
        <f t="shared" si="65"/>
        <v>0</v>
      </c>
      <c r="AM150" s="326">
        <f t="shared" si="65"/>
        <v>0</v>
      </c>
      <c r="AN150" s="970">
        <f t="shared" si="65"/>
        <v>0</v>
      </c>
      <c r="AO150" s="29">
        <v>0</v>
      </c>
      <c r="AP150" s="28">
        <f>+T150+AA150+AH150</f>
        <v>0</v>
      </c>
      <c r="AQ150" s="43"/>
      <c r="AR150" s="358">
        <f t="shared" si="66"/>
        <v>0</v>
      </c>
      <c r="AS150" s="359">
        <f t="shared" si="67"/>
        <v>0</v>
      </c>
      <c r="AT150" s="360">
        <f t="shared" si="68"/>
        <v>0</v>
      </c>
      <c r="AU150" s="43"/>
      <c r="AV150" s="2119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119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25"/>
      <c r="R151" s="324"/>
      <c r="S151" s="29">
        <v>0</v>
      </c>
      <c r="T151" s="28">
        <f>+IF(ABS(+O151+Q151)&lt;=ABS(P151+R151),-O151+P151-Q151+R151,0)</f>
        <v>0</v>
      </c>
      <c r="U151" s="51"/>
      <c r="V151" s="541">
        <f>+'NF-KSF-TRIAL-BAL-2021'!O151+'RA-TRIAL-BAL-2021'!O151+'DES-TRIAL-BAL-2021'!O151+'DMP-TRIAL-BAL-2021'!O151</f>
        <v>0</v>
      </c>
      <c r="W151" s="529">
        <f>+'NF-KSF-TRIAL-BAL-2021'!P151+'RA-TRIAL-BAL-2021'!P151+'DES-TRIAL-BAL-2021'!P151+'DMP-TRIAL-BAL-2021'!P151</f>
        <v>0</v>
      </c>
      <c r="X151" s="528">
        <f>+'NF-KSF-TRIAL-BAL-2021'!Q151+'RA-TRIAL-BAL-2021'!Q151+'DES-TRIAL-BAL-2021'!Q151+'DMP-TRIAL-BAL-2021'!Q151</f>
        <v>0</v>
      </c>
      <c r="Y151" s="529">
        <f>+'NF-KSF-TRIAL-BAL-2021'!R151+'RA-TRIAL-BAL-2021'!R151+'DES-TRIAL-BAL-2021'!R151+'DMP-TRIAL-BAL-2021'!R151</f>
        <v>0</v>
      </c>
      <c r="Z151" s="528">
        <f>+'NF-KSF-TRIAL-BAL-2021'!S151+'RA-TRIAL-BAL-2021'!S151+'DES-TRIAL-BAL-2021'!S151+'DMP-TRIAL-BAL-2021'!S151</f>
        <v>0</v>
      </c>
      <c r="AA151" s="347">
        <f>+'NF-KSF-TRIAL-BAL-2021'!T151+'RA-TRIAL-BAL-2021'!T151+'DES-TRIAL-BAL-2021'!T151+'DMP-TRIAL-BAL-2021'!T151</f>
        <v>0</v>
      </c>
      <c r="AB151" s="51"/>
      <c r="AC151" s="8">
        <v>0</v>
      </c>
      <c r="AD151" s="121"/>
      <c r="AE151" s="325"/>
      <c r="AF151" s="324"/>
      <c r="AG151" s="29">
        <v>0</v>
      </c>
      <c r="AH151" s="28">
        <f>+IF(ABS(+AC151+AE151)&lt;=ABS(AD151+AF151),-AC151+AD151-AE151+AF151,0)</f>
        <v>0</v>
      </c>
      <c r="AI151" s="51"/>
      <c r="AJ151" s="1497">
        <f t="shared" si="70"/>
        <v>4313</v>
      </c>
      <c r="AK151" s="8">
        <v>0</v>
      </c>
      <c r="AL151" s="970">
        <f>+ROUND(+P151+W151+AD151,2)</f>
        <v>0</v>
      </c>
      <c r="AM151" s="326">
        <f>+ROUND(+Q151+X151+AE151,2)</f>
        <v>0</v>
      </c>
      <c r="AN151" s="970">
        <f>+ROUND(+R151+Y151+AF151,2)</f>
        <v>0</v>
      </c>
      <c r="AO151" s="29">
        <v>0</v>
      </c>
      <c r="AP151" s="28">
        <f>+T151+AA151+AH151</f>
        <v>0</v>
      </c>
      <c r="AQ151" s="43"/>
      <c r="AR151" s="358">
        <f t="shared" si="66"/>
        <v>0</v>
      </c>
      <c r="AS151" s="359">
        <f t="shared" si="67"/>
        <v>0</v>
      </c>
      <c r="AT151" s="360">
        <f t="shared" si="68"/>
        <v>0</v>
      </c>
      <c r="AU151" s="43"/>
      <c r="AV151" s="2119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119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25"/>
      <c r="R152" s="324"/>
      <c r="S152" s="27">
        <f t="shared" ref="S152:S159" si="71">+IF(ABS(+O152+Q152)&gt;=ABS(P152+R152),+O152-P152+Q152-R152,0)</f>
        <v>0</v>
      </c>
      <c r="T152" s="30">
        <v>0</v>
      </c>
      <c r="U152" s="51"/>
      <c r="V152" s="541">
        <f>+'NF-KSF-TRIAL-BAL-2021'!O152+'RA-TRIAL-BAL-2021'!O152+'DES-TRIAL-BAL-2021'!O152+'DMP-TRIAL-BAL-2021'!O152</f>
        <v>0</v>
      </c>
      <c r="W152" s="529">
        <f>+'NF-KSF-TRIAL-BAL-2021'!P152+'RA-TRIAL-BAL-2021'!P152+'DES-TRIAL-BAL-2021'!P152+'DMP-TRIAL-BAL-2021'!P152</f>
        <v>0</v>
      </c>
      <c r="X152" s="528">
        <f>+'NF-KSF-TRIAL-BAL-2021'!Q152+'RA-TRIAL-BAL-2021'!Q152+'DES-TRIAL-BAL-2021'!Q152+'DMP-TRIAL-BAL-2021'!Q152</f>
        <v>0</v>
      </c>
      <c r="Y152" s="529">
        <f>+'NF-KSF-TRIAL-BAL-2021'!R152+'RA-TRIAL-BAL-2021'!R152+'DES-TRIAL-BAL-2021'!R152+'DMP-TRIAL-BAL-2021'!R152</f>
        <v>0</v>
      </c>
      <c r="Z152" s="528">
        <f>+'NF-KSF-TRIAL-BAL-2021'!S152+'RA-TRIAL-BAL-2021'!S152+'DES-TRIAL-BAL-2021'!S152+'DMP-TRIAL-BAL-2021'!S152</f>
        <v>0</v>
      </c>
      <c r="AA152" s="347">
        <f>+'NF-KSF-TRIAL-BAL-2021'!T152+'RA-TRIAL-BAL-2021'!T152+'DES-TRIAL-BAL-2021'!T152+'DMP-TRIAL-BAL-2021'!T152</f>
        <v>0</v>
      </c>
      <c r="AB152" s="51"/>
      <c r="AC152" s="120"/>
      <c r="AD152" s="9">
        <v>0</v>
      </c>
      <c r="AE152" s="122"/>
      <c r="AF152" s="324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97">
        <f t="shared" si="70"/>
        <v>4321</v>
      </c>
      <c r="AK152" s="951">
        <f t="shared" ref="AK152:AK160" si="73">+ROUND(+O152+V152+AC152,2)</f>
        <v>0</v>
      </c>
      <c r="AL152" s="9">
        <v>0</v>
      </c>
      <c r="AM152" s="326">
        <f t="shared" ref="AM152:AN155" si="74">+ROUND(+Q152+X152+AE152,2)</f>
        <v>0</v>
      </c>
      <c r="AN152" s="970">
        <f t="shared" si="74"/>
        <v>0</v>
      </c>
      <c r="AO152" s="326">
        <f t="shared" ref="AO152:AO172" si="75">+S152+Z152+AG152</f>
        <v>0</v>
      </c>
      <c r="AP152" s="9">
        <v>0</v>
      </c>
      <c r="AQ152" s="43"/>
      <c r="AR152" s="358">
        <f t="shared" si="66"/>
        <v>0</v>
      </c>
      <c r="AS152" s="359">
        <f t="shared" si="67"/>
        <v>0</v>
      </c>
      <c r="AT152" s="360">
        <f t="shared" si="68"/>
        <v>0</v>
      </c>
      <c r="AU152" s="43"/>
      <c r="AV152" s="2120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120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25"/>
      <c r="R153" s="324"/>
      <c r="S153" s="27">
        <f t="shared" si="71"/>
        <v>0</v>
      </c>
      <c r="T153" s="30">
        <v>0</v>
      </c>
      <c r="U153" s="51"/>
      <c r="V153" s="541">
        <f>+'NF-KSF-TRIAL-BAL-2021'!O153+'RA-TRIAL-BAL-2021'!O153+'DES-TRIAL-BAL-2021'!O153+'DMP-TRIAL-BAL-2021'!O153</f>
        <v>0</v>
      </c>
      <c r="W153" s="529">
        <f>+'NF-KSF-TRIAL-BAL-2021'!P153+'RA-TRIAL-BAL-2021'!P153+'DES-TRIAL-BAL-2021'!P153+'DMP-TRIAL-BAL-2021'!P153</f>
        <v>0</v>
      </c>
      <c r="X153" s="528">
        <f>+'NF-KSF-TRIAL-BAL-2021'!Q153+'RA-TRIAL-BAL-2021'!Q153+'DES-TRIAL-BAL-2021'!Q153+'DMP-TRIAL-BAL-2021'!Q153</f>
        <v>0</v>
      </c>
      <c r="Y153" s="529">
        <f>+'NF-KSF-TRIAL-BAL-2021'!R153+'RA-TRIAL-BAL-2021'!R153+'DES-TRIAL-BAL-2021'!R153+'DMP-TRIAL-BAL-2021'!R153</f>
        <v>0</v>
      </c>
      <c r="Z153" s="528">
        <f>+'NF-KSF-TRIAL-BAL-2021'!S153+'RA-TRIAL-BAL-2021'!S153+'DES-TRIAL-BAL-2021'!S153+'DMP-TRIAL-BAL-2021'!S153</f>
        <v>0</v>
      </c>
      <c r="AA153" s="347">
        <f>+'NF-KSF-TRIAL-BAL-2021'!T153+'RA-TRIAL-BAL-2021'!T153+'DES-TRIAL-BAL-2021'!T153+'DMP-TRIAL-BAL-2021'!T153</f>
        <v>0</v>
      </c>
      <c r="AB153" s="51"/>
      <c r="AC153" s="120"/>
      <c r="AD153" s="9">
        <v>0</v>
      </c>
      <c r="AE153" s="325"/>
      <c r="AF153" s="324"/>
      <c r="AG153" s="27">
        <f t="shared" si="72"/>
        <v>0</v>
      </c>
      <c r="AH153" s="30">
        <v>0</v>
      </c>
      <c r="AI153" s="51"/>
      <c r="AJ153" s="1497">
        <f>+N153</f>
        <v>4322</v>
      </c>
      <c r="AK153" s="951">
        <f t="shared" si="73"/>
        <v>0</v>
      </c>
      <c r="AL153" s="9">
        <v>0</v>
      </c>
      <c r="AM153" s="326">
        <f t="shared" si="74"/>
        <v>0</v>
      </c>
      <c r="AN153" s="970">
        <f t="shared" si="74"/>
        <v>0</v>
      </c>
      <c r="AO153" s="326">
        <f t="shared" si="75"/>
        <v>0</v>
      </c>
      <c r="AP153" s="9">
        <v>0</v>
      </c>
      <c r="AQ153" s="43"/>
      <c r="AR153" s="358">
        <f t="shared" si="66"/>
        <v>0</v>
      </c>
      <c r="AS153" s="359">
        <f t="shared" si="67"/>
        <v>0</v>
      </c>
      <c r="AT153" s="360">
        <f t="shared" si="68"/>
        <v>0</v>
      </c>
      <c r="AU153" s="43"/>
      <c r="AV153" s="2120">
        <f t="shared" si="76"/>
        <v>0</v>
      </c>
      <c r="AW153" s="119"/>
      <c r="AX153" s="2120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>+A154</f>
        <v>4327</v>
      </c>
      <c r="O154" s="120"/>
      <c r="P154" s="9">
        <v>0</v>
      </c>
      <c r="Q154" s="325"/>
      <c r="R154" s="324"/>
      <c r="S154" s="27">
        <f t="shared" si="71"/>
        <v>0</v>
      </c>
      <c r="T154" s="30">
        <v>0</v>
      </c>
      <c r="U154" s="51"/>
      <c r="V154" s="541">
        <f>+'NF-KSF-TRIAL-BAL-2021'!O154+'RA-TRIAL-BAL-2021'!O154+'DES-TRIAL-BAL-2021'!O154+'DMP-TRIAL-BAL-2021'!O154</f>
        <v>0</v>
      </c>
      <c r="W154" s="529">
        <f>+'NF-KSF-TRIAL-BAL-2021'!P154+'RA-TRIAL-BAL-2021'!P154+'DES-TRIAL-BAL-2021'!P154+'DMP-TRIAL-BAL-2021'!P154</f>
        <v>0</v>
      </c>
      <c r="X154" s="528">
        <f>+'NF-KSF-TRIAL-BAL-2021'!Q154+'RA-TRIAL-BAL-2021'!Q154+'DES-TRIAL-BAL-2021'!Q154+'DMP-TRIAL-BAL-2021'!Q154</f>
        <v>0</v>
      </c>
      <c r="Y154" s="529">
        <f>+'NF-KSF-TRIAL-BAL-2021'!R154+'RA-TRIAL-BAL-2021'!R154+'DES-TRIAL-BAL-2021'!R154+'DMP-TRIAL-BAL-2021'!R154</f>
        <v>0</v>
      </c>
      <c r="Z154" s="528">
        <f>+'NF-KSF-TRIAL-BAL-2021'!S154+'RA-TRIAL-BAL-2021'!S154+'DES-TRIAL-BAL-2021'!S154+'DMP-TRIAL-BAL-2021'!S154</f>
        <v>0</v>
      </c>
      <c r="AA154" s="347">
        <f>+'NF-KSF-TRIAL-BAL-2021'!T154+'RA-TRIAL-BAL-2021'!T154+'DES-TRIAL-BAL-2021'!T154+'DMP-TRIAL-BAL-2021'!T154</f>
        <v>0</v>
      </c>
      <c r="AB154" s="51"/>
      <c r="AC154" s="120"/>
      <c r="AD154" s="9">
        <v>0</v>
      </c>
      <c r="AE154" s="325"/>
      <c r="AF154" s="324"/>
      <c r="AG154" s="27">
        <f t="shared" si="72"/>
        <v>0</v>
      </c>
      <c r="AH154" s="30">
        <v>0</v>
      </c>
      <c r="AI154" s="51"/>
      <c r="AJ154" s="1497">
        <f>+N154</f>
        <v>4327</v>
      </c>
      <c r="AK154" s="951">
        <f>+ROUND(+O154+V154+AC154,2)</f>
        <v>0</v>
      </c>
      <c r="AL154" s="9">
        <v>0</v>
      </c>
      <c r="AM154" s="326">
        <f t="shared" si="74"/>
        <v>0</v>
      </c>
      <c r="AN154" s="970">
        <f t="shared" si="74"/>
        <v>0</v>
      </c>
      <c r="AO154" s="326">
        <f t="shared" si="75"/>
        <v>0</v>
      </c>
      <c r="AP154" s="9">
        <v>0</v>
      </c>
      <c r="AQ154" s="43"/>
      <c r="AR154" s="358">
        <f>+ROUND(+SUM(AK154-AL154)-SUM(O154-P154)-SUM(V154-W154)-SUM(AC154-AD154),2)</f>
        <v>0</v>
      </c>
      <c r="AS154" s="359">
        <f>+ROUND(+SUM(AM154-AN154)-SUM(Q154-R154)-SUM(X154-Y154)-SUM(AE154-AF154),2)</f>
        <v>0</v>
      </c>
      <c r="AT154" s="360">
        <f>+ROUND(+SUM(AO154-AP154)-SUM(S154-T154)-SUM(Z154-AA154)-SUM(AG154-AH154),2)</f>
        <v>0</v>
      </c>
      <c r="AU154" s="43"/>
      <c r="AV154" s="2120">
        <f t="shared" si="76"/>
        <v>0</v>
      </c>
      <c r="AW154" s="119"/>
      <c r="AX154" s="2120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4328</v>
      </c>
      <c r="O155" s="120"/>
      <c r="P155" s="9">
        <v>0</v>
      </c>
      <c r="Q155" s="325"/>
      <c r="R155" s="324"/>
      <c r="S155" s="27">
        <f t="shared" si="71"/>
        <v>0</v>
      </c>
      <c r="T155" s="30">
        <v>0</v>
      </c>
      <c r="U155" s="51"/>
      <c r="V155" s="541">
        <f>+'NF-KSF-TRIAL-BAL-2021'!O155+'RA-TRIAL-BAL-2021'!O155+'DES-TRIAL-BAL-2021'!O155+'DMP-TRIAL-BAL-2021'!O155</f>
        <v>0</v>
      </c>
      <c r="W155" s="529">
        <f>+'NF-KSF-TRIAL-BAL-2021'!P155+'RA-TRIAL-BAL-2021'!P155+'DES-TRIAL-BAL-2021'!P155+'DMP-TRIAL-BAL-2021'!P155</f>
        <v>0</v>
      </c>
      <c r="X155" s="528">
        <f>+'NF-KSF-TRIAL-BAL-2021'!Q155+'RA-TRIAL-BAL-2021'!Q155+'DES-TRIAL-BAL-2021'!Q155+'DMP-TRIAL-BAL-2021'!Q155</f>
        <v>0</v>
      </c>
      <c r="Y155" s="529">
        <f>+'NF-KSF-TRIAL-BAL-2021'!R155+'RA-TRIAL-BAL-2021'!R155+'DES-TRIAL-BAL-2021'!R155+'DMP-TRIAL-BAL-2021'!R155</f>
        <v>0</v>
      </c>
      <c r="Z155" s="528">
        <f>+'NF-KSF-TRIAL-BAL-2021'!S155+'RA-TRIAL-BAL-2021'!S155+'DES-TRIAL-BAL-2021'!S155+'DMP-TRIAL-BAL-2021'!S155</f>
        <v>0</v>
      </c>
      <c r="AA155" s="347">
        <f>+'NF-KSF-TRIAL-BAL-2021'!T155+'RA-TRIAL-BAL-2021'!T155+'DES-TRIAL-BAL-2021'!T155+'DMP-TRIAL-BAL-2021'!T155</f>
        <v>0</v>
      </c>
      <c r="AB155" s="51"/>
      <c r="AC155" s="120"/>
      <c r="AD155" s="9">
        <v>0</v>
      </c>
      <c r="AE155" s="325"/>
      <c r="AF155" s="324"/>
      <c r="AG155" s="27">
        <f t="shared" si="72"/>
        <v>0</v>
      </c>
      <c r="AH155" s="30">
        <v>0</v>
      </c>
      <c r="AI155" s="51"/>
      <c r="AJ155" s="1497">
        <f>+N155</f>
        <v>4328</v>
      </c>
      <c r="AK155" s="951">
        <f>+ROUND(+O155+V155+AC155,2)</f>
        <v>0</v>
      </c>
      <c r="AL155" s="9">
        <v>0</v>
      </c>
      <c r="AM155" s="326">
        <f t="shared" si="74"/>
        <v>0</v>
      </c>
      <c r="AN155" s="970">
        <f t="shared" si="74"/>
        <v>0</v>
      </c>
      <c r="AO155" s="326">
        <f t="shared" si="75"/>
        <v>0</v>
      </c>
      <c r="AP155" s="9">
        <v>0</v>
      </c>
      <c r="AQ155" s="43"/>
      <c r="AR155" s="358">
        <f>+ROUND(+SUM(AK155-AL155)-SUM(O155-P155)-SUM(V155-W155)-SUM(AC155-AD155),2)</f>
        <v>0</v>
      </c>
      <c r="AS155" s="359">
        <f>+ROUND(+SUM(AM155-AN155)-SUM(Q155-R155)-SUM(X155-Y155)-SUM(AE155-AF155),2)</f>
        <v>0</v>
      </c>
      <c r="AT155" s="360">
        <f>+ROUND(+SUM(AO155-AP155)-SUM(S155-T155)-SUM(Z155-AA155)-SUM(AG155-AH155),2)</f>
        <v>0</v>
      </c>
      <c r="AU155" s="43"/>
      <c r="AV155" s="2120">
        <f t="shared" si="76"/>
        <v>0</v>
      </c>
      <c r="AW155" s="119"/>
      <c r="AX155" s="2120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 t="shared" si="64"/>
        <v>4331</v>
      </c>
      <c r="O156" s="120"/>
      <c r="P156" s="9">
        <v>0</v>
      </c>
      <c r="Q156" s="325"/>
      <c r="R156" s="324"/>
      <c r="S156" s="27">
        <f t="shared" si="71"/>
        <v>0</v>
      </c>
      <c r="T156" s="30">
        <v>0</v>
      </c>
      <c r="U156" s="51"/>
      <c r="V156" s="541">
        <f>+'NF-KSF-TRIAL-BAL-2021'!O156+'RA-TRIAL-BAL-2021'!O156+'DES-TRIAL-BAL-2021'!O156+'DMP-TRIAL-BAL-2021'!O156</f>
        <v>0</v>
      </c>
      <c r="W156" s="529">
        <f>+'NF-KSF-TRIAL-BAL-2021'!P156+'RA-TRIAL-BAL-2021'!P156+'DES-TRIAL-BAL-2021'!P156+'DMP-TRIAL-BAL-2021'!P156</f>
        <v>0</v>
      </c>
      <c r="X156" s="528">
        <f>+'NF-KSF-TRIAL-BAL-2021'!Q156+'RA-TRIAL-BAL-2021'!Q156+'DES-TRIAL-BAL-2021'!Q156+'DMP-TRIAL-BAL-2021'!Q156</f>
        <v>0</v>
      </c>
      <c r="Y156" s="529">
        <f>+'NF-KSF-TRIAL-BAL-2021'!R156+'RA-TRIAL-BAL-2021'!R156+'DES-TRIAL-BAL-2021'!R156+'DMP-TRIAL-BAL-2021'!R156</f>
        <v>0</v>
      </c>
      <c r="Z156" s="528">
        <f>+'NF-KSF-TRIAL-BAL-2021'!S156+'RA-TRIAL-BAL-2021'!S156+'DES-TRIAL-BAL-2021'!S156+'DMP-TRIAL-BAL-2021'!S156</f>
        <v>0</v>
      </c>
      <c r="AA156" s="347">
        <f>+'NF-KSF-TRIAL-BAL-2021'!T156+'RA-TRIAL-BAL-2021'!T156+'DES-TRIAL-BAL-2021'!T156+'DMP-TRIAL-BAL-2021'!T156</f>
        <v>0</v>
      </c>
      <c r="AB156" s="51"/>
      <c r="AC156" s="120"/>
      <c r="AD156" s="9">
        <v>0</v>
      </c>
      <c r="AE156" s="122"/>
      <c r="AF156" s="324"/>
      <c r="AG156" s="27">
        <f t="shared" si="72"/>
        <v>0</v>
      </c>
      <c r="AH156" s="30">
        <v>0</v>
      </c>
      <c r="AI156" s="51"/>
      <c r="AJ156" s="1497">
        <f t="shared" si="70"/>
        <v>4331</v>
      </c>
      <c r="AK156" s="951">
        <f t="shared" si="73"/>
        <v>0</v>
      </c>
      <c r="AL156" s="9">
        <v>0</v>
      </c>
      <c r="AM156" s="326">
        <f t="shared" ref="AM156:AN160" si="78">+ROUND(+Q156+X156+AE156,2)</f>
        <v>0</v>
      </c>
      <c r="AN156" s="970">
        <f t="shared" si="78"/>
        <v>0</v>
      </c>
      <c r="AO156" s="326">
        <f t="shared" si="75"/>
        <v>0</v>
      </c>
      <c r="AP156" s="30">
        <v>0</v>
      </c>
      <c r="AQ156" s="43"/>
      <c r="AR156" s="358">
        <f t="shared" si="66"/>
        <v>0</v>
      </c>
      <c r="AS156" s="359">
        <f t="shared" si="67"/>
        <v>0</v>
      </c>
      <c r="AT156" s="360">
        <f t="shared" si="68"/>
        <v>0</v>
      </c>
      <c r="AU156" s="43"/>
      <c r="AV156" s="2120">
        <f t="shared" si="76"/>
        <v>0</v>
      </c>
      <c r="AW156" s="119"/>
      <c r="AX156" s="2120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25"/>
      <c r="R157" s="324"/>
      <c r="S157" s="27">
        <f t="shared" si="71"/>
        <v>0</v>
      </c>
      <c r="T157" s="30">
        <v>0</v>
      </c>
      <c r="U157" s="51"/>
      <c r="V157" s="541">
        <f>+'NF-KSF-TRIAL-BAL-2021'!O157+'RA-TRIAL-BAL-2021'!O157+'DES-TRIAL-BAL-2021'!O157+'DMP-TRIAL-BAL-2021'!O157</f>
        <v>0</v>
      </c>
      <c r="W157" s="529">
        <f>+'NF-KSF-TRIAL-BAL-2021'!P157+'RA-TRIAL-BAL-2021'!P157+'DES-TRIAL-BAL-2021'!P157+'DMP-TRIAL-BAL-2021'!P157</f>
        <v>0</v>
      </c>
      <c r="X157" s="528">
        <f>+'NF-KSF-TRIAL-BAL-2021'!Q157+'RA-TRIAL-BAL-2021'!Q157+'DES-TRIAL-BAL-2021'!Q157+'DMP-TRIAL-BAL-2021'!Q157</f>
        <v>0</v>
      </c>
      <c r="Y157" s="529">
        <f>+'NF-KSF-TRIAL-BAL-2021'!R157+'RA-TRIAL-BAL-2021'!R157+'DES-TRIAL-BAL-2021'!R157+'DMP-TRIAL-BAL-2021'!R157</f>
        <v>0</v>
      </c>
      <c r="Z157" s="528">
        <f>+'NF-KSF-TRIAL-BAL-2021'!S157+'RA-TRIAL-BAL-2021'!S157+'DES-TRIAL-BAL-2021'!S157+'DMP-TRIAL-BAL-2021'!S157</f>
        <v>0</v>
      </c>
      <c r="AA157" s="347">
        <f>+'NF-KSF-TRIAL-BAL-2021'!T157+'RA-TRIAL-BAL-2021'!T157+'DES-TRIAL-BAL-2021'!T157+'DMP-TRIAL-BAL-2021'!T157</f>
        <v>0</v>
      </c>
      <c r="AB157" s="51"/>
      <c r="AC157" s="120"/>
      <c r="AD157" s="9">
        <v>0</v>
      </c>
      <c r="AE157" s="325"/>
      <c r="AF157" s="324"/>
      <c r="AG157" s="27">
        <f t="shared" si="72"/>
        <v>0</v>
      </c>
      <c r="AH157" s="30">
        <v>0</v>
      </c>
      <c r="AI157" s="51"/>
      <c r="AJ157" s="1497">
        <f t="shared" si="70"/>
        <v>4332</v>
      </c>
      <c r="AK157" s="951">
        <f t="shared" si="73"/>
        <v>0</v>
      </c>
      <c r="AL157" s="9">
        <v>0</v>
      </c>
      <c r="AM157" s="326">
        <f t="shared" si="78"/>
        <v>0</v>
      </c>
      <c r="AN157" s="970">
        <f t="shared" si="78"/>
        <v>0</v>
      </c>
      <c r="AO157" s="326">
        <f t="shared" si="75"/>
        <v>0</v>
      </c>
      <c r="AP157" s="30">
        <v>0</v>
      </c>
      <c r="AQ157" s="43"/>
      <c r="AR157" s="358">
        <f t="shared" si="66"/>
        <v>0</v>
      </c>
      <c r="AS157" s="359">
        <f t="shared" si="67"/>
        <v>0</v>
      </c>
      <c r="AT157" s="360">
        <f t="shared" si="68"/>
        <v>0</v>
      </c>
      <c r="AU157" s="43"/>
      <c r="AV157" s="2120">
        <f t="shared" si="76"/>
        <v>0</v>
      </c>
      <c r="AW157" s="119"/>
      <c r="AX157" s="2120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25"/>
      <c r="R158" s="324"/>
      <c r="S158" s="27">
        <f t="shared" si="71"/>
        <v>0</v>
      </c>
      <c r="T158" s="30">
        <v>0</v>
      </c>
      <c r="U158" s="51"/>
      <c r="V158" s="541">
        <f>+'NF-KSF-TRIAL-BAL-2021'!O158+'RA-TRIAL-BAL-2021'!O158+'DES-TRIAL-BAL-2021'!O158+'DMP-TRIAL-BAL-2021'!O158</f>
        <v>0</v>
      </c>
      <c r="W158" s="529">
        <f>+'NF-KSF-TRIAL-BAL-2021'!P158+'RA-TRIAL-BAL-2021'!P158+'DES-TRIAL-BAL-2021'!P158+'DMP-TRIAL-BAL-2021'!P158</f>
        <v>0</v>
      </c>
      <c r="X158" s="528">
        <f>+'NF-KSF-TRIAL-BAL-2021'!Q158+'RA-TRIAL-BAL-2021'!Q158+'DES-TRIAL-BAL-2021'!Q158+'DMP-TRIAL-BAL-2021'!Q158</f>
        <v>0</v>
      </c>
      <c r="Y158" s="529">
        <f>+'NF-KSF-TRIAL-BAL-2021'!R158+'RA-TRIAL-BAL-2021'!R158+'DES-TRIAL-BAL-2021'!R158+'DMP-TRIAL-BAL-2021'!R158</f>
        <v>0</v>
      </c>
      <c r="Z158" s="528">
        <f>+'NF-KSF-TRIAL-BAL-2021'!S158+'RA-TRIAL-BAL-2021'!S158+'DES-TRIAL-BAL-2021'!S158+'DMP-TRIAL-BAL-2021'!S158</f>
        <v>0</v>
      </c>
      <c r="AA158" s="347">
        <f>+'NF-KSF-TRIAL-BAL-2021'!T158+'RA-TRIAL-BAL-2021'!T158+'DES-TRIAL-BAL-2021'!T158+'DMP-TRIAL-BAL-2021'!T158</f>
        <v>0</v>
      </c>
      <c r="AB158" s="51"/>
      <c r="AC158" s="120"/>
      <c r="AD158" s="9">
        <v>0</v>
      </c>
      <c r="AE158" s="325"/>
      <c r="AF158" s="324"/>
      <c r="AG158" s="27">
        <f t="shared" si="72"/>
        <v>0</v>
      </c>
      <c r="AH158" s="30">
        <v>0</v>
      </c>
      <c r="AI158" s="51"/>
      <c r="AJ158" s="1497">
        <f t="shared" si="70"/>
        <v>4351</v>
      </c>
      <c r="AK158" s="951">
        <f t="shared" si="73"/>
        <v>0</v>
      </c>
      <c r="AL158" s="9">
        <v>0</v>
      </c>
      <c r="AM158" s="326">
        <f t="shared" si="78"/>
        <v>0</v>
      </c>
      <c r="AN158" s="970">
        <f t="shared" si="78"/>
        <v>0</v>
      </c>
      <c r="AO158" s="326">
        <f t="shared" si="75"/>
        <v>0</v>
      </c>
      <c r="AP158" s="30">
        <v>0</v>
      </c>
      <c r="AQ158" s="43"/>
      <c r="AR158" s="358">
        <f t="shared" si="66"/>
        <v>0</v>
      </c>
      <c r="AS158" s="359">
        <f t="shared" si="67"/>
        <v>0</v>
      </c>
      <c r="AT158" s="360">
        <f t="shared" si="68"/>
        <v>0</v>
      </c>
      <c r="AU158" s="43"/>
      <c r="AV158" s="2120">
        <f t="shared" si="76"/>
        <v>0</v>
      </c>
      <c r="AW158" s="119"/>
      <c r="AX158" s="2120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25"/>
      <c r="R159" s="324"/>
      <c r="S159" s="27">
        <f t="shared" si="71"/>
        <v>0</v>
      </c>
      <c r="T159" s="30">
        <v>0</v>
      </c>
      <c r="U159" s="51"/>
      <c r="V159" s="541">
        <f>+'NF-KSF-TRIAL-BAL-2021'!O159+'RA-TRIAL-BAL-2021'!O159+'DES-TRIAL-BAL-2021'!O159+'DMP-TRIAL-BAL-2021'!O159</f>
        <v>0</v>
      </c>
      <c r="W159" s="529">
        <f>+'NF-KSF-TRIAL-BAL-2021'!P159+'RA-TRIAL-BAL-2021'!P159+'DES-TRIAL-BAL-2021'!P159+'DMP-TRIAL-BAL-2021'!P159</f>
        <v>0</v>
      </c>
      <c r="X159" s="528">
        <f>+'NF-KSF-TRIAL-BAL-2021'!Q159+'RA-TRIAL-BAL-2021'!Q159+'DES-TRIAL-BAL-2021'!Q159+'DMP-TRIAL-BAL-2021'!Q159</f>
        <v>0</v>
      </c>
      <c r="Y159" s="529">
        <f>+'NF-KSF-TRIAL-BAL-2021'!R159+'RA-TRIAL-BAL-2021'!R159+'DES-TRIAL-BAL-2021'!R159+'DMP-TRIAL-BAL-2021'!R159</f>
        <v>0</v>
      </c>
      <c r="Z159" s="528">
        <f>+'NF-KSF-TRIAL-BAL-2021'!S159+'RA-TRIAL-BAL-2021'!S159+'DES-TRIAL-BAL-2021'!S159+'DMP-TRIAL-BAL-2021'!S159</f>
        <v>0</v>
      </c>
      <c r="AA159" s="347">
        <f>+'NF-KSF-TRIAL-BAL-2021'!T159+'RA-TRIAL-BAL-2021'!T159+'DES-TRIAL-BAL-2021'!T159+'DMP-TRIAL-BAL-2021'!T159</f>
        <v>0</v>
      </c>
      <c r="AB159" s="51"/>
      <c r="AC159" s="120"/>
      <c r="AD159" s="9">
        <v>0</v>
      </c>
      <c r="AE159" s="122"/>
      <c r="AF159" s="324"/>
      <c r="AG159" s="27">
        <f t="shared" si="72"/>
        <v>0</v>
      </c>
      <c r="AH159" s="30">
        <v>0</v>
      </c>
      <c r="AI159" s="51"/>
      <c r="AJ159" s="1497">
        <f t="shared" si="70"/>
        <v>4352</v>
      </c>
      <c r="AK159" s="951">
        <f t="shared" si="73"/>
        <v>0</v>
      </c>
      <c r="AL159" s="9">
        <v>0</v>
      </c>
      <c r="AM159" s="326">
        <f t="shared" si="78"/>
        <v>0</v>
      </c>
      <c r="AN159" s="970">
        <f t="shared" si="78"/>
        <v>0</v>
      </c>
      <c r="AO159" s="326">
        <f t="shared" si="75"/>
        <v>0</v>
      </c>
      <c r="AP159" s="30">
        <v>0</v>
      </c>
      <c r="AQ159" s="43"/>
      <c r="AR159" s="358">
        <f t="shared" si="66"/>
        <v>0</v>
      </c>
      <c r="AS159" s="359">
        <f t="shared" si="67"/>
        <v>0</v>
      </c>
      <c r="AT159" s="360">
        <f t="shared" si="68"/>
        <v>0</v>
      </c>
      <c r="AU159" s="43"/>
      <c r="AV159" s="2120">
        <f t="shared" si="76"/>
        <v>0</v>
      </c>
      <c r="AW159" s="119"/>
      <c r="AX159" s="2120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64"/>
        <v>4360</v>
      </c>
      <c r="O160" s="120"/>
      <c r="P160" s="121"/>
      <c r="Q160" s="325"/>
      <c r="R160" s="324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41">
        <f>+'NF-KSF-TRIAL-BAL-2021'!O160+'RA-TRIAL-BAL-2021'!O160+'DES-TRIAL-BAL-2021'!O160+'DMP-TRIAL-BAL-2021'!O160</f>
        <v>0</v>
      </c>
      <c r="W160" s="529">
        <f>+'NF-KSF-TRIAL-BAL-2021'!P160+'RA-TRIAL-BAL-2021'!P160+'DES-TRIAL-BAL-2021'!P160+'DMP-TRIAL-BAL-2021'!P160</f>
        <v>0</v>
      </c>
      <c r="X160" s="528">
        <f>+'NF-KSF-TRIAL-BAL-2021'!Q160+'RA-TRIAL-BAL-2021'!Q160+'DES-TRIAL-BAL-2021'!Q160+'DMP-TRIAL-BAL-2021'!Q160</f>
        <v>0</v>
      </c>
      <c r="Y160" s="529">
        <f>+'NF-KSF-TRIAL-BAL-2021'!R160+'RA-TRIAL-BAL-2021'!R160+'DES-TRIAL-BAL-2021'!R160+'DMP-TRIAL-BAL-2021'!R160</f>
        <v>0</v>
      </c>
      <c r="Z160" s="528">
        <f>+'NF-KSF-TRIAL-BAL-2021'!S160+'RA-TRIAL-BAL-2021'!S160+'DES-TRIAL-BAL-2021'!S160+'DMP-TRIAL-BAL-2021'!S160</f>
        <v>0</v>
      </c>
      <c r="AA160" s="347">
        <f>+'NF-KSF-TRIAL-BAL-2021'!T160+'RA-TRIAL-BAL-2021'!T160+'DES-TRIAL-BAL-2021'!T160+'DMP-TRIAL-BAL-2021'!T160</f>
        <v>0</v>
      </c>
      <c r="AB160" s="51"/>
      <c r="AC160" s="120"/>
      <c r="AD160" s="121"/>
      <c r="AE160" s="325"/>
      <c r="AF160" s="324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97">
        <f t="shared" si="70"/>
        <v>4360</v>
      </c>
      <c r="AK160" s="951">
        <f t="shared" si="73"/>
        <v>0</v>
      </c>
      <c r="AL160" s="970">
        <f>+ROUND(+P160+W160+AD160,2)</f>
        <v>0</v>
      </c>
      <c r="AM160" s="326">
        <f t="shared" si="78"/>
        <v>0</v>
      </c>
      <c r="AN160" s="970">
        <f t="shared" si="78"/>
        <v>0</v>
      </c>
      <c r="AO160" s="326">
        <f t="shared" si="75"/>
        <v>0</v>
      </c>
      <c r="AP160" s="28">
        <f>+T160+AA160+AH160</f>
        <v>0</v>
      </c>
      <c r="AQ160" s="43"/>
      <c r="AR160" s="358">
        <f t="shared" si="66"/>
        <v>0</v>
      </c>
      <c r="AS160" s="359">
        <f t="shared" si="67"/>
        <v>0</v>
      </c>
      <c r="AT160" s="360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25"/>
      <c r="R161" s="324"/>
      <c r="S161" s="27">
        <f t="shared" si="79"/>
        <v>0</v>
      </c>
      <c r="T161" s="30">
        <v>0</v>
      </c>
      <c r="U161" s="51"/>
      <c r="V161" s="541">
        <f>+'NF-KSF-TRIAL-BAL-2021'!O161+'RA-TRIAL-BAL-2021'!O161+'DES-TRIAL-BAL-2021'!O161+'DMP-TRIAL-BAL-2021'!O161</f>
        <v>0</v>
      </c>
      <c r="W161" s="529">
        <f>+'NF-KSF-TRIAL-BAL-2021'!P161+'RA-TRIAL-BAL-2021'!P161+'DES-TRIAL-BAL-2021'!P161+'DMP-TRIAL-BAL-2021'!P161</f>
        <v>0</v>
      </c>
      <c r="X161" s="528">
        <f>+'NF-KSF-TRIAL-BAL-2021'!Q161+'RA-TRIAL-BAL-2021'!Q161+'DES-TRIAL-BAL-2021'!Q161+'DMP-TRIAL-BAL-2021'!Q161</f>
        <v>0</v>
      </c>
      <c r="Y161" s="529">
        <f>+'NF-KSF-TRIAL-BAL-2021'!R161+'RA-TRIAL-BAL-2021'!R161+'DES-TRIAL-BAL-2021'!R161+'DMP-TRIAL-BAL-2021'!R161</f>
        <v>0</v>
      </c>
      <c r="Z161" s="528">
        <f>+'NF-KSF-TRIAL-BAL-2021'!S161+'RA-TRIAL-BAL-2021'!S161+'DES-TRIAL-BAL-2021'!S161+'DMP-TRIAL-BAL-2021'!S161</f>
        <v>0</v>
      </c>
      <c r="AA161" s="347">
        <f>+'NF-KSF-TRIAL-BAL-2021'!T161+'RA-TRIAL-BAL-2021'!T161+'DES-TRIAL-BAL-2021'!T161+'DMP-TRIAL-BAL-2021'!T161</f>
        <v>0</v>
      </c>
      <c r="AB161" s="51"/>
      <c r="AC161" s="120"/>
      <c r="AD161" s="9">
        <v>0</v>
      </c>
      <c r="AE161" s="325"/>
      <c r="AF161" s="324"/>
      <c r="AG161" s="27">
        <f t="shared" si="80"/>
        <v>0</v>
      </c>
      <c r="AH161" s="30">
        <v>0</v>
      </c>
      <c r="AI161" s="51"/>
      <c r="AJ161" s="1497">
        <f t="shared" si="70"/>
        <v>4371</v>
      </c>
      <c r="AK161" s="951">
        <f t="shared" ref="AK161:AK172" si="81">+ROUND(+O161+V161+AC161,2)</f>
        <v>0</v>
      </c>
      <c r="AL161" s="9">
        <v>0</v>
      </c>
      <c r="AM161" s="326">
        <f t="shared" ref="AM161:AN166" si="82">+ROUND(+Q161+X161+AE161,2)</f>
        <v>0</v>
      </c>
      <c r="AN161" s="970">
        <f t="shared" si="82"/>
        <v>0</v>
      </c>
      <c r="AO161" s="326">
        <f t="shared" si="75"/>
        <v>0</v>
      </c>
      <c r="AP161" s="30">
        <v>0</v>
      </c>
      <c r="AQ161" s="43"/>
      <c r="AR161" s="358">
        <f t="shared" si="66"/>
        <v>0</v>
      </c>
      <c r="AS161" s="359">
        <f t="shared" si="67"/>
        <v>0</v>
      </c>
      <c r="AT161" s="360">
        <f t="shared" si="68"/>
        <v>0</v>
      </c>
      <c r="AU161" s="43"/>
      <c r="AV161" s="2120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120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25"/>
      <c r="R162" s="324"/>
      <c r="S162" s="27">
        <f t="shared" si="79"/>
        <v>0</v>
      </c>
      <c r="T162" s="30">
        <v>0</v>
      </c>
      <c r="U162" s="51"/>
      <c r="V162" s="541">
        <f>+'NF-KSF-TRIAL-BAL-2021'!O162+'RA-TRIAL-BAL-2021'!O162+'DES-TRIAL-BAL-2021'!O162+'DMP-TRIAL-BAL-2021'!O162</f>
        <v>0</v>
      </c>
      <c r="W162" s="529">
        <f>+'NF-KSF-TRIAL-BAL-2021'!P162+'RA-TRIAL-BAL-2021'!P162+'DES-TRIAL-BAL-2021'!P162+'DMP-TRIAL-BAL-2021'!P162</f>
        <v>0</v>
      </c>
      <c r="X162" s="528">
        <f>+'NF-KSF-TRIAL-BAL-2021'!Q162+'RA-TRIAL-BAL-2021'!Q162+'DES-TRIAL-BAL-2021'!Q162+'DMP-TRIAL-BAL-2021'!Q162</f>
        <v>0</v>
      </c>
      <c r="Y162" s="529">
        <f>+'NF-KSF-TRIAL-BAL-2021'!R162+'RA-TRIAL-BAL-2021'!R162+'DES-TRIAL-BAL-2021'!R162+'DMP-TRIAL-BAL-2021'!R162</f>
        <v>0</v>
      </c>
      <c r="Z162" s="528">
        <f>+'NF-KSF-TRIAL-BAL-2021'!S162+'RA-TRIAL-BAL-2021'!S162+'DES-TRIAL-BAL-2021'!S162+'DMP-TRIAL-BAL-2021'!S162</f>
        <v>0</v>
      </c>
      <c r="AA162" s="347">
        <f>+'NF-KSF-TRIAL-BAL-2021'!T162+'RA-TRIAL-BAL-2021'!T162+'DES-TRIAL-BAL-2021'!T162+'DMP-TRIAL-BAL-2021'!T162</f>
        <v>0</v>
      </c>
      <c r="AB162" s="51"/>
      <c r="AC162" s="120"/>
      <c r="AD162" s="9">
        <v>0</v>
      </c>
      <c r="AE162" s="122"/>
      <c r="AF162" s="324"/>
      <c r="AG162" s="27">
        <f t="shared" si="80"/>
        <v>0</v>
      </c>
      <c r="AH162" s="30">
        <v>0</v>
      </c>
      <c r="AI162" s="51"/>
      <c r="AJ162" s="1497">
        <f t="shared" si="70"/>
        <v>4372</v>
      </c>
      <c r="AK162" s="951">
        <f t="shared" si="81"/>
        <v>0</v>
      </c>
      <c r="AL162" s="9">
        <v>0</v>
      </c>
      <c r="AM162" s="326">
        <f t="shared" si="82"/>
        <v>0</v>
      </c>
      <c r="AN162" s="970">
        <f t="shared" si="82"/>
        <v>0</v>
      </c>
      <c r="AO162" s="326">
        <f t="shared" si="75"/>
        <v>0</v>
      </c>
      <c r="AP162" s="30">
        <v>0</v>
      </c>
      <c r="AQ162" s="43"/>
      <c r="AR162" s="358">
        <f t="shared" si="66"/>
        <v>0</v>
      </c>
      <c r="AS162" s="359">
        <f t="shared" si="67"/>
        <v>0</v>
      </c>
      <c r="AT162" s="360">
        <f t="shared" si="68"/>
        <v>0</v>
      </c>
      <c r="AU162" s="43"/>
      <c r="AV162" s="2120">
        <f t="shared" si="83"/>
        <v>0</v>
      </c>
      <c r="AW162" s="119"/>
      <c r="AX162" s="2120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25"/>
      <c r="R163" s="324"/>
      <c r="S163" s="27">
        <f t="shared" si="79"/>
        <v>0</v>
      </c>
      <c r="T163" s="30">
        <v>0</v>
      </c>
      <c r="U163" s="51"/>
      <c r="V163" s="541">
        <f>+'NF-KSF-TRIAL-BAL-2021'!O163+'RA-TRIAL-BAL-2021'!O163+'DES-TRIAL-BAL-2021'!O163+'DMP-TRIAL-BAL-2021'!O163</f>
        <v>0</v>
      </c>
      <c r="W163" s="529">
        <f>+'NF-KSF-TRIAL-BAL-2021'!P163+'RA-TRIAL-BAL-2021'!P163+'DES-TRIAL-BAL-2021'!P163+'DMP-TRIAL-BAL-2021'!P163</f>
        <v>0</v>
      </c>
      <c r="X163" s="528">
        <f>+'NF-KSF-TRIAL-BAL-2021'!Q163+'RA-TRIAL-BAL-2021'!Q163+'DES-TRIAL-BAL-2021'!Q163+'DMP-TRIAL-BAL-2021'!Q163</f>
        <v>0</v>
      </c>
      <c r="Y163" s="529">
        <f>+'NF-KSF-TRIAL-BAL-2021'!R163+'RA-TRIAL-BAL-2021'!R163+'DES-TRIAL-BAL-2021'!R163+'DMP-TRIAL-BAL-2021'!R163</f>
        <v>0</v>
      </c>
      <c r="Z163" s="528">
        <f>+'NF-KSF-TRIAL-BAL-2021'!S163+'RA-TRIAL-BAL-2021'!S163+'DES-TRIAL-BAL-2021'!S163+'DMP-TRIAL-BAL-2021'!S163</f>
        <v>0</v>
      </c>
      <c r="AA163" s="347">
        <f>+'NF-KSF-TRIAL-BAL-2021'!T163+'RA-TRIAL-BAL-2021'!T163+'DES-TRIAL-BAL-2021'!T163+'DMP-TRIAL-BAL-2021'!T163</f>
        <v>0</v>
      </c>
      <c r="AB163" s="51"/>
      <c r="AC163" s="120"/>
      <c r="AD163" s="9">
        <v>0</v>
      </c>
      <c r="AE163" s="325"/>
      <c r="AF163" s="324"/>
      <c r="AG163" s="27">
        <f t="shared" si="80"/>
        <v>0</v>
      </c>
      <c r="AH163" s="30">
        <v>0</v>
      </c>
      <c r="AI163" s="51"/>
      <c r="AJ163" s="1497">
        <f t="shared" si="70"/>
        <v>4373</v>
      </c>
      <c r="AK163" s="951">
        <f t="shared" si="81"/>
        <v>0</v>
      </c>
      <c r="AL163" s="9">
        <v>0</v>
      </c>
      <c r="AM163" s="326">
        <f t="shared" si="82"/>
        <v>0</v>
      </c>
      <c r="AN163" s="970">
        <f t="shared" si="82"/>
        <v>0</v>
      </c>
      <c r="AO163" s="326">
        <f t="shared" si="75"/>
        <v>0</v>
      </c>
      <c r="AP163" s="30">
        <v>0</v>
      </c>
      <c r="AQ163" s="43"/>
      <c r="AR163" s="358">
        <f t="shared" si="66"/>
        <v>0</v>
      </c>
      <c r="AS163" s="359">
        <f t="shared" si="67"/>
        <v>0</v>
      </c>
      <c r="AT163" s="360">
        <f t="shared" si="68"/>
        <v>0</v>
      </c>
      <c r="AU163" s="43"/>
      <c r="AV163" s="2120">
        <f t="shared" si="83"/>
        <v>0</v>
      </c>
      <c r="AW163" s="119"/>
      <c r="AX163" s="2120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25"/>
      <c r="R164" s="324"/>
      <c r="S164" s="27">
        <f t="shared" si="79"/>
        <v>0</v>
      </c>
      <c r="T164" s="30">
        <v>0</v>
      </c>
      <c r="U164" s="51"/>
      <c r="V164" s="541">
        <f>+'NF-KSF-TRIAL-BAL-2021'!O164+'RA-TRIAL-BAL-2021'!O164+'DES-TRIAL-BAL-2021'!O164+'DMP-TRIAL-BAL-2021'!O164</f>
        <v>0</v>
      </c>
      <c r="W164" s="529">
        <f>+'NF-KSF-TRIAL-BAL-2021'!P164+'RA-TRIAL-BAL-2021'!P164+'DES-TRIAL-BAL-2021'!P164+'DMP-TRIAL-BAL-2021'!P164</f>
        <v>0</v>
      </c>
      <c r="X164" s="528">
        <f>+'NF-KSF-TRIAL-BAL-2021'!Q164+'RA-TRIAL-BAL-2021'!Q164+'DES-TRIAL-BAL-2021'!Q164+'DMP-TRIAL-BAL-2021'!Q164</f>
        <v>0</v>
      </c>
      <c r="Y164" s="529">
        <f>+'NF-KSF-TRIAL-BAL-2021'!R164+'RA-TRIAL-BAL-2021'!R164+'DES-TRIAL-BAL-2021'!R164+'DMP-TRIAL-BAL-2021'!R164</f>
        <v>0</v>
      </c>
      <c r="Z164" s="528">
        <f>+'NF-KSF-TRIAL-BAL-2021'!S164+'RA-TRIAL-BAL-2021'!S164+'DES-TRIAL-BAL-2021'!S164+'DMP-TRIAL-BAL-2021'!S164</f>
        <v>0</v>
      </c>
      <c r="AA164" s="347">
        <f>+'NF-KSF-TRIAL-BAL-2021'!T164+'RA-TRIAL-BAL-2021'!T164+'DES-TRIAL-BAL-2021'!T164+'DMP-TRIAL-BAL-2021'!T164</f>
        <v>0</v>
      </c>
      <c r="AB164" s="51"/>
      <c r="AC164" s="120"/>
      <c r="AD164" s="9">
        <v>0</v>
      </c>
      <c r="AE164" s="325"/>
      <c r="AF164" s="324"/>
      <c r="AG164" s="27">
        <f t="shared" si="80"/>
        <v>0</v>
      </c>
      <c r="AH164" s="30">
        <v>0</v>
      </c>
      <c r="AI164" s="51"/>
      <c r="AJ164" s="1497">
        <f t="shared" si="70"/>
        <v>4374</v>
      </c>
      <c r="AK164" s="951">
        <f t="shared" si="81"/>
        <v>0</v>
      </c>
      <c r="AL164" s="9">
        <v>0</v>
      </c>
      <c r="AM164" s="326">
        <f t="shared" si="82"/>
        <v>0</v>
      </c>
      <c r="AN164" s="970">
        <f t="shared" si="82"/>
        <v>0</v>
      </c>
      <c r="AO164" s="326">
        <f t="shared" si="75"/>
        <v>0</v>
      </c>
      <c r="AP164" s="30">
        <v>0</v>
      </c>
      <c r="AQ164" s="43"/>
      <c r="AR164" s="358">
        <f t="shared" si="66"/>
        <v>0</v>
      </c>
      <c r="AS164" s="359">
        <f t="shared" si="67"/>
        <v>0</v>
      </c>
      <c r="AT164" s="360">
        <f t="shared" si="68"/>
        <v>0</v>
      </c>
      <c r="AU164" s="43"/>
      <c r="AV164" s="2120">
        <f t="shared" si="83"/>
        <v>0</v>
      </c>
      <c r="AW164" s="119"/>
      <c r="AX164" s="2120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25"/>
      <c r="R165" s="324"/>
      <c r="S165" s="27">
        <f t="shared" si="79"/>
        <v>0</v>
      </c>
      <c r="T165" s="30">
        <v>0</v>
      </c>
      <c r="U165" s="51"/>
      <c r="V165" s="541">
        <f>+'NF-KSF-TRIAL-BAL-2021'!O165+'RA-TRIAL-BAL-2021'!O165+'DES-TRIAL-BAL-2021'!O165+'DMP-TRIAL-BAL-2021'!O165</f>
        <v>0</v>
      </c>
      <c r="W165" s="529">
        <f>+'NF-KSF-TRIAL-BAL-2021'!P165+'RA-TRIAL-BAL-2021'!P165+'DES-TRIAL-BAL-2021'!P165+'DMP-TRIAL-BAL-2021'!P165</f>
        <v>0</v>
      </c>
      <c r="X165" s="528">
        <f>+'NF-KSF-TRIAL-BAL-2021'!Q165+'RA-TRIAL-BAL-2021'!Q165+'DES-TRIAL-BAL-2021'!Q165+'DMP-TRIAL-BAL-2021'!Q165</f>
        <v>0</v>
      </c>
      <c r="Y165" s="529">
        <f>+'NF-KSF-TRIAL-BAL-2021'!R165+'RA-TRIAL-BAL-2021'!R165+'DES-TRIAL-BAL-2021'!R165+'DMP-TRIAL-BAL-2021'!R165</f>
        <v>0</v>
      </c>
      <c r="Z165" s="528">
        <f>+'NF-KSF-TRIAL-BAL-2021'!S165+'RA-TRIAL-BAL-2021'!S165+'DES-TRIAL-BAL-2021'!S165+'DMP-TRIAL-BAL-2021'!S165</f>
        <v>0</v>
      </c>
      <c r="AA165" s="347">
        <f>+'NF-KSF-TRIAL-BAL-2021'!T165+'RA-TRIAL-BAL-2021'!T165+'DES-TRIAL-BAL-2021'!T165+'DMP-TRIAL-BAL-2021'!T165</f>
        <v>0</v>
      </c>
      <c r="AB165" s="51"/>
      <c r="AC165" s="120"/>
      <c r="AD165" s="9">
        <v>0</v>
      </c>
      <c r="AE165" s="325"/>
      <c r="AF165" s="324"/>
      <c r="AG165" s="27">
        <f t="shared" si="80"/>
        <v>0</v>
      </c>
      <c r="AH165" s="30">
        <v>0</v>
      </c>
      <c r="AI165" s="51"/>
      <c r="AJ165" s="1497">
        <f t="shared" si="70"/>
        <v>4375</v>
      </c>
      <c r="AK165" s="951">
        <f t="shared" si="81"/>
        <v>0</v>
      </c>
      <c r="AL165" s="9">
        <v>0</v>
      </c>
      <c r="AM165" s="326">
        <f t="shared" si="82"/>
        <v>0</v>
      </c>
      <c r="AN165" s="970">
        <f t="shared" si="82"/>
        <v>0</v>
      </c>
      <c r="AO165" s="326">
        <f t="shared" si="75"/>
        <v>0</v>
      </c>
      <c r="AP165" s="30">
        <v>0</v>
      </c>
      <c r="AQ165" s="43"/>
      <c r="AR165" s="358">
        <f t="shared" si="66"/>
        <v>0</v>
      </c>
      <c r="AS165" s="359">
        <f t="shared" si="67"/>
        <v>0</v>
      </c>
      <c r="AT165" s="360">
        <f t="shared" si="68"/>
        <v>0</v>
      </c>
      <c r="AU165" s="43"/>
      <c r="AV165" s="2120">
        <f t="shared" si="83"/>
        <v>0</v>
      </c>
      <c r="AW165" s="119"/>
      <c r="AX165" s="2120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25"/>
      <c r="R166" s="324"/>
      <c r="S166" s="27">
        <f t="shared" si="79"/>
        <v>0</v>
      </c>
      <c r="T166" s="30">
        <v>0</v>
      </c>
      <c r="U166" s="51"/>
      <c r="V166" s="541">
        <f>+'NF-KSF-TRIAL-BAL-2021'!O166+'RA-TRIAL-BAL-2021'!O166+'DES-TRIAL-BAL-2021'!O166+'DMP-TRIAL-BAL-2021'!O166</f>
        <v>0</v>
      </c>
      <c r="W166" s="529">
        <f>+'NF-KSF-TRIAL-BAL-2021'!P166+'RA-TRIAL-BAL-2021'!P166+'DES-TRIAL-BAL-2021'!P166+'DMP-TRIAL-BAL-2021'!P166</f>
        <v>0</v>
      </c>
      <c r="X166" s="528">
        <f>+'NF-KSF-TRIAL-BAL-2021'!Q166+'RA-TRIAL-BAL-2021'!Q166+'DES-TRIAL-BAL-2021'!Q166+'DMP-TRIAL-BAL-2021'!Q166</f>
        <v>0</v>
      </c>
      <c r="Y166" s="529">
        <f>+'NF-KSF-TRIAL-BAL-2021'!R166+'RA-TRIAL-BAL-2021'!R166+'DES-TRIAL-BAL-2021'!R166+'DMP-TRIAL-BAL-2021'!R166</f>
        <v>0</v>
      </c>
      <c r="Z166" s="528">
        <f>+'NF-KSF-TRIAL-BAL-2021'!S166+'RA-TRIAL-BAL-2021'!S166+'DES-TRIAL-BAL-2021'!S166+'DMP-TRIAL-BAL-2021'!S166</f>
        <v>0</v>
      </c>
      <c r="AA166" s="347">
        <f>+'NF-KSF-TRIAL-BAL-2021'!T166+'RA-TRIAL-BAL-2021'!T166+'DES-TRIAL-BAL-2021'!T166+'DMP-TRIAL-BAL-2021'!T166</f>
        <v>0</v>
      </c>
      <c r="AB166" s="51"/>
      <c r="AC166" s="120"/>
      <c r="AD166" s="9">
        <v>0</v>
      </c>
      <c r="AE166" s="122"/>
      <c r="AF166" s="324"/>
      <c r="AG166" s="27">
        <f t="shared" si="80"/>
        <v>0</v>
      </c>
      <c r="AH166" s="30">
        <v>0</v>
      </c>
      <c r="AI166" s="51"/>
      <c r="AJ166" s="1497">
        <f t="shared" si="70"/>
        <v>4376</v>
      </c>
      <c r="AK166" s="951">
        <f t="shared" si="81"/>
        <v>0</v>
      </c>
      <c r="AL166" s="9">
        <v>0</v>
      </c>
      <c r="AM166" s="326">
        <f t="shared" si="82"/>
        <v>0</v>
      </c>
      <c r="AN166" s="970">
        <f t="shared" si="82"/>
        <v>0</v>
      </c>
      <c r="AO166" s="326">
        <f t="shared" si="75"/>
        <v>0</v>
      </c>
      <c r="AP166" s="30">
        <v>0</v>
      </c>
      <c r="AQ166" s="43"/>
      <c r="AR166" s="358">
        <f t="shared" si="66"/>
        <v>0</v>
      </c>
      <c r="AS166" s="359">
        <f t="shared" si="67"/>
        <v>0</v>
      </c>
      <c r="AT166" s="360">
        <f t="shared" si="68"/>
        <v>0</v>
      </c>
      <c r="AU166" s="43"/>
      <c r="AV166" s="2120">
        <f t="shared" si="83"/>
        <v>0</v>
      </c>
      <c r="AW166" s="119"/>
      <c r="AX166" s="2120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25"/>
      <c r="R167" s="324"/>
      <c r="S167" s="27">
        <f t="shared" si="79"/>
        <v>0</v>
      </c>
      <c r="T167" s="30">
        <v>0</v>
      </c>
      <c r="U167" s="51"/>
      <c r="V167" s="541">
        <f>+'NF-KSF-TRIAL-BAL-2021'!O167+'RA-TRIAL-BAL-2021'!O167+'DES-TRIAL-BAL-2021'!O167+'DMP-TRIAL-BAL-2021'!O167</f>
        <v>0</v>
      </c>
      <c r="W167" s="529">
        <f>+'NF-KSF-TRIAL-BAL-2021'!P167+'RA-TRIAL-BAL-2021'!P167+'DES-TRIAL-BAL-2021'!P167+'DMP-TRIAL-BAL-2021'!P167</f>
        <v>0</v>
      </c>
      <c r="X167" s="528">
        <f>+'NF-KSF-TRIAL-BAL-2021'!Q167+'RA-TRIAL-BAL-2021'!Q167+'DES-TRIAL-BAL-2021'!Q167+'DMP-TRIAL-BAL-2021'!Q167</f>
        <v>0</v>
      </c>
      <c r="Y167" s="529">
        <f>+'NF-KSF-TRIAL-BAL-2021'!R167+'RA-TRIAL-BAL-2021'!R167+'DES-TRIAL-BAL-2021'!R167+'DMP-TRIAL-BAL-2021'!R167</f>
        <v>0</v>
      </c>
      <c r="Z167" s="528">
        <f>+'NF-KSF-TRIAL-BAL-2021'!S167+'RA-TRIAL-BAL-2021'!S167+'DES-TRIAL-BAL-2021'!S167+'DMP-TRIAL-BAL-2021'!S167</f>
        <v>0</v>
      </c>
      <c r="AA167" s="347">
        <f>+'NF-KSF-TRIAL-BAL-2021'!T167+'RA-TRIAL-BAL-2021'!T167+'DES-TRIAL-BAL-2021'!T167+'DMP-TRIAL-BAL-2021'!T167</f>
        <v>0</v>
      </c>
      <c r="AB167" s="51"/>
      <c r="AC167" s="120"/>
      <c r="AD167" s="9">
        <v>0</v>
      </c>
      <c r="AE167" s="325"/>
      <c r="AF167" s="324"/>
      <c r="AG167" s="27">
        <f t="shared" si="80"/>
        <v>0</v>
      </c>
      <c r="AH167" s="30">
        <v>0</v>
      </c>
      <c r="AI167" s="51"/>
      <c r="AJ167" s="1497">
        <f t="shared" ref="AJ167:AJ172" si="86">+N167</f>
        <v>4379</v>
      </c>
      <c r="AK167" s="951">
        <f t="shared" si="81"/>
        <v>0</v>
      </c>
      <c r="AL167" s="9">
        <v>0</v>
      </c>
      <c r="AM167" s="326">
        <f t="shared" ref="AM167:AN172" si="87">+ROUND(+Q167+X167+AE167,2)</f>
        <v>0</v>
      </c>
      <c r="AN167" s="970">
        <f t="shared" si="87"/>
        <v>0</v>
      </c>
      <c r="AO167" s="326">
        <f t="shared" si="75"/>
        <v>0</v>
      </c>
      <c r="AP167" s="30">
        <v>0</v>
      </c>
      <c r="AQ167" s="43"/>
      <c r="AR167" s="358">
        <f t="shared" ref="AR167:AR172" si="88">+ROUND(+SUM(AK167-AL167)-SUM(O167-P167)-SUM(V167-W167)-SUM(AC167-AD167),2)</f>
        <v>0</v>
      </c>
      <c r="AS167" s="359">
        <f t="shared" ref="AS167:AS172" si="89">+ROUND(+SUM(AM167-AN167)-SUM(Q167-R167)-SUM(X167-Y167)-SUM(AE167-AF167),2)</f>
        <v>0</v>
      </c>
      <c r="AT167" s="360">
        <f t="shared" ref="AT167:AT172" si="90">+ROUND(+SUM(AO167-AP167)-SUM(S167-T167)-SUM(Z167-AA167)-SUM(AG167-AH167),2)</f>
        <v>0</v>
      </c>
      <c r="AU167" s="43"/>
      <c r="AV167" s="2120">
        <f t="shared" si="83"/>
        <v>0</v>
      </c>
      <c r="AW167" s="119"/>
      <c r="AX167" s="2120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25"/>
      <c r="R168" s="324"/>
      <c r="S168" s="27">
        <f t="shared" si="79"/>
        <v>0</v>
      </c>
      <c r="T168" s="30">
        <v>0</v>
      </c>
      <c r="U168" s="51"/>
      <c r="V168" s="541">
        <f>+'NF-KSF-TRIAL-BAL-2021'!O168+'RA-TRIAL-BAL-2021'!O168+'DES-TRIAL-BAL-2021'!O168+'DMP-TRIAL-BAL-2021'!O168</f>
        <v>0</v>
      </c>
      <c r="W168" s="529">
        <f>+'NF-KSF-TRIAL-BAL-2021'!P168+'RA-TRIAL-BAL-2021'!P168+'DES-TRIAL-BAL-2021'!P168+'DMP-TRIAL-BAL-2021'!P168</f>
        <v>0</v>
      </c>
      <c r="X168" s="528">
        <f>+'NF-KSF-TRIAL-BAL-2021'!Q168+'RA-TRIAL-BAL-2021'!Q168+'DES-TRIAL-BAL-2021'!Q168+'DMP-TRIAL-BAL-2021'!Q168</f>
        <v>0</v>
      </c>
      <c r="Y168" s="529">
        <f>+'NF-KSF-TRIAL-BAL-2021'!R168+'RA-TRIAL-BAL-2021'!R168+'DES-TRIAL-BAL-2021'!R168+'DMP-TRIAL-BAL-2021'!R168</f>
        <v>0</v>
      </c>
      <c r="Z168" s="528">
        <f>+'NF-KSF-TRIAL-BAL-2021'!S168+'RA-TRIAL-BAL-2021'!S168+'DES-TRIAL-BAL-2021'!S168+'DMP-TRIAL-BAL-2021'!S168</f>
        <v>0</v>
      </c>
      <c r="AA168" s="347">
        <f>+'NF-KSF-TRIAL-BAL-2021'!T168+'RA-TRIAL-BAL-2021'!T168+'DES-TRIAL-BAL-2021'!T168+'DMP-TRIAL-BAL-2021'!T168</f>
        <v>0</v>
      </c>
      <c r="AB168" s="51"/>
      <c r="AC168" s="120"/>
      <c r="AD168" s="9">
        <v>0</v>
      </c>
      <c r="AE168" s="325"/>
      <c r="AF168" s="324"/>
      <c r="AG168" s="27">
        <f t="shared" si="80"/>
        <v>0</v>
      </c>
      <c r="AH168" s="30">
        <v>0</v>
      </c>
      <c r="AI168" s="51"/>
      <c r="AJ168" s="1497">
        <f t="shared" si="86"/>
        <v>4381</v>
      </c>
      <c r="AK168" s="951">
        <f t="shared" si="81"/>
        <v>0</v>
      </c>
      <c r="AL168" s="9">
        <v>0</v>
      </c>
      <c r="AM168" s="326">
        <f t="shared" si="87"/>
        <v>0</v>
      </c>
      <c r="AN168" s="970">
        <f t="shared" si="87"/>
        <v>0</v>
      </c>
      <c r="AO168" s="326">
        <f t="shared" si="75"/>
        <v>0</v>
      </c>
      <c r="AP168" s="30">
        <v>0</v>
      </c>
      <c r="AQ168" s="43"/>
      <c r="AR168" s="358">
        <f t="shared" si="88"/>
        <v>0</v>
      </c>
      <c r="AS168" s="359">
        <f t="shared" si="89"/>
        <v>0</v>
      </c>
      <c r="AT168" s="360">
        <f t="shared" si="90"/>
        <v>0</v>
      </c>
      <c r="AU168" s="43"/>
      <c r="AV168" s="2120">
        <f t="shared" si="83"/>
        <v>0</v>
      </c>
      <c r="AW168" s="119"/>
      <c r="AX168" s="2120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25"/>
      <c r="R169" s="324"/>
      <c r="S169" s="27">
        <f t="shared" si="79"/>
        <v>0</v>
      </c>
      <c r="T169" s="30">
        <v>0</v>
      </c>
      <c r="U169" s="51"/>
      <c r="V169" s="541">
        <f>+'NF-KSF-TRIAL-BAL-2021'!O169+'RA-TRIAL-BAL-2021'!O169+'DES-TRIAL-BAL-2021'!O169+'DMP-TRIAL-BAL-2021'!O169</f>
        <v>0</v>
      </c>
      <c r="W169" s="529">
        <f>+'NF-KSF-TRIAL-BAL-2021'!P169+'RA-TRIAL-BAL-2021'!P169+'DES-TRIAL-BAL-2021'!P169+'DMP-TRIAL-BAL-2021'!P169</f>
        <v>0</v>
      </c>
      <c r="X169" s="528">
        <f>+'NF-KSF-TRIAL-BAL-2021'!Q169+'RA-TRIAL-BAL-2021'!Q169+'DES-TRIAL-BAL-2021'!Q169+'DMP-TRIAL-BAL-2021'!Q169</f>
        <v>0</v>
      </c>
      <c r="Y169" s="529">
        <f>+'NF-KSF-TRIAL-BAL-2021'!R169+'RA-TRIAL-BAL-2021'!R169+'DES-TRIAL-BAL-2021'!R169+'DMP-TRIAL-BAL-2021'!R169</f>
        <v>0</v>
      </c>
      <c r="Z169" s="528">
        <f>+'NF-KSF-TRIAL-BAL-2021'!S169+'RA-TRIAL-BAL-2021'!S169+'DES-TRIAL-BAL-2021'!S169+'DMP-TRIAL-BAL-2021'!S169</f>
        <v>0</v>
      </c>
      <c r="AA169" s="347">
        <f>+'NF-KSF-TRIAL-BAL-2021'!T169+'RA-TRIAL-BAL-2021'!T169+'DES-TRIAL-BAL-2021'!T169+'DMP-TRIAL-BAL-2021'!T169</f>
        <v>0</v>
      </c>
      <c r="AB169" s="51"/>
      <c r="AC169" s="120"/>
      <c r="AD169" s="9">
        <v>0</v>
      </c>
      <c r="AE169" s="122"/>
      <c r="AF169" s="324"/>
      <c r="AG169" s="27">
        <f t="shared" si="80"/>
        <v>0</v>
      </c>
      <c r="AH169" s="30">
        <v>0</v>
      </c>
      <c r="AI169" s="51"/>
      <c r="AJ169" s="1497">
        <f t="shared" si="86"/>
        <v>4382</v>
      </c>
      <c r="AK169" s="951">
        <f t="shared" si="81"/>
        <v>0</v>
      </c>
      <c r="AL169" s="9">
        <v>0</v>
      </c>
      <c r="AM169" s="326">
        <f t="shared" si="87"/>
        <v>0</v>
      </c>
      <c r="AN169" s="970">
        <f t="shared" si="87"/>
        <v>0</v>
      </c>
      <c r="AO169" s="326">
        <f t="shared" si="75"/>
        <v>0</v>
      </c>
      <c r="AP169" s="30">
        <v>0</v>
      </c>
      <c r="AQ169" s="43"/>
      <c r="AR169" s="358">
        <f t="shared" si="88"/>
        <v>0</v>
      </c>
      <c r="AS169" s="359">
        <f t="shared" si="89"/>
        <v>0</v>
      </c>
      <c r="AT169" s="360">
        <f t="shared" si="90"/>
        <v>0</v>
      </c>
      <c r="AU169" s="43"/>
      <c r="AV169" s="2120">
        <f t="shared" si="83"/>
        <v>0</v>
      </c>
      <c r="AW169" s="119"/>
      <c r="AX169" s="2120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25"/>
      <c r="R170" s="324"/>
      <c r="S170" s="27">
        <f t="shared" si="79"/>
        <v>0</v>
      </c>
      <c r="T170" s="30">
        <v>0</v>
      </c>
      <c r="U170" s="51"/>
      <c r="V170" s="541">
        <f>+'NF-KSF-TRIAL-BAL-2021'!O170+'RA-TRIAL-BAL-2021'!O170+'DES-TRIAL-BAL-2021'!O170+'DMP-TRIAL-BAL-2021'!O170</f>
        <v>0</v>
      </c>
      <c r="W170" s="529">
        <f>+'NF-KSF-TRIAL-BAL-2021'!P170+'RA-TRIAL-BAL-2021'!P170+'DES-TRIAL-BAL-2021'!P170+'DMP-TRIAL-BAL-2021'!P170</f>
        <v>0</v>
      </c>
      <c r="X170" s="528">
        <f>+'NF-KSF-TRIAL-BAL-2021'!Q170+'RA-TRIAL-BAL-2021'!Q170+'DES-TRIAL-BAL-2021'!Q170+'DMP-TRIAL-BAL-2021'!Q170</f>
        <v>0</v>
      </c>
      <c r="Y170" s="529">
        <f>+'NF-KSF-TRIAL-BAL-2021'!R170+'RA-TRIAL-BAL-2021'!R170+'DES-TRIAL-BAL-2021'!R170+'DMP-TRIAL-BAL-2021'!R170</f>
        <v>0</v>
      </c>
      <c r="Z170" s="528">
        <f>+'NF-KSF-TRIAL-BAL-2021'!S170+'RA-TRIAL-BAL-2021'!S170+'DES-TRIAL-BAL-2021'!S170+'DMP-TRIAL-BAL-2021'!S170</f>
        <v>0</v>
      </c>
      <c r="AA170" s="347">
        <f>+'NF-KSF-TRIAL-BAL-2021'!T170+'RA-TRIAL-BAL-2021'!T170+'DES-TRIAL-BAL-2021'!T170+'DMP-TRIAL-BAL-2021'!T170</f>
        <v>0</v>
      </c>
      <c r="AB170" s="51"/>
      <c r="AC170" s="120"/>
      <c r="AD170" s="9">
        <v>0</v>
      </c>
      <c r="AE170" s="325"/>
      <c r="AF170" s="324"/>
      <c r="AG170" s="27">
        <f t="shared" si="80"/>
        <v>0</v>
      </c>
      <c r="AH170" s="30">
        <v>0</v>
      </c>
      <c r="AI170" s="51"/>
      <c r="AJ170" s="1497">
        <f t="shared" si="86"/>
        <v>4383</v>
      </c>
      <c r="AK170" s="951">
        <f t="shared" si="81"/>
        <v>0</v>
      </c>
      <c r="AL170" s="9">
        <v>0</v>
      </c>
      <c r="AM170" s="326">
        <f t="shared" si="87"/>
        <v>0</v>
      </c>
      <c r="AN170" s="970">
        <f t="shared" si="87"/>
        <v>0</v>
      </c>
      <c r="AO170" s="326">
        <f t="shared" si="75"/>
        <v>0</v>
      </c>
      <c r="AP170" s="30">
        <v>0</v>
      </c>
      <c r="AQ170" s="43"/>
      <c r="AR170" s="358">
        <f t="shared" si="88"/>
        <v>0</v>
      </c>
      <c r="AS170" s="359">
        <f t="shared" si="89"/>
        <v>0</v>
      </c>
      <c r="AT170" s="360">
        <f t="shared" si="90"/>
        <v>0</v>
      </c>
      <c r="AU170" s="43"/>
      <c r="AV170" s="2120">
        <f t="shared" si="83"/>
        <v>0</v>
      </c>
      <c r="AW170" s="119"/>
      <c r="AX170" s="2120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25"/>
      <c r="R171" s="324"/>
      <c r="S171" s="27">
        <f t="shared" si="79"/>
        <v>0</v>
      </c>
      <c r="T171" s="30">
        <v>0</v>
      </c>
      <c r="U171" s="51"/>
      <c r="V171" s="541">
        <f>+'NF-KSF-TRIAL-BAL-2021'!O171+'RA-TRIAL-BAL-2021'!O171+'DES-TRIAL-BAL-2021'!O171+'DMP-TRIAL-BAL-2021'!O171</f>
        <v>0</v>
      </c>
      <c r="W171" s="529">
        <f>+'NF-KSF-TRIAL-BAL-2021'!P171+'RA-TRIAL-BAL-2021'!P171+'DES-TRIAL-BAL-2021'!P171+'DMP-TRIAL-BAL-2021'!P171</f>
        <v>0</v>
      </c>
      <c r="X171" s="528">
        <f>+'NF-KSF-TRIAL-BAL-2021'!Q171+'RA-TRIAL-BAL-2021'!Q171+'DES-TRIAL-BAL-2021'!Q171+'DMP-TRIAL-BAL-2021'!Q171</f>
        <v>0</v>
      </c>
      <c r="Y171" s="529">
        <f>+'NF-KSF-TRIAL-BAL-2021'!R171+'RA-TRIAL-BAL-2021'!R171+'DES-TRIAL-BAL-2021'!R171+'DMP-TRIAL-BAL-2021'!R171</f>
        <v>0</v>
      </c>
      <c r="Z171" s="528">
        <f>+'NF-KSF-TRIAL-BAL-2021'!S171+'RA-TRIAL-BAL-2021'!S171+'DES-TRIAL-BAL-2021'!S171+'DMP-TRIAL-BAL-2021'!S171</f>
        <v>0</v>
      </c>
      <c r="AA171" s="347">
        <f>+'NF-KSF-TRIAL-BAL-2021'!T171+'RA-TRIAL-BAL-2021'!T171+'DES-TRIAL-BAL-2021'!T171+'DMP-TRIAL-BAL-2021'!T171</f>
        <v>0</v>
      </c>
      <c r="AB171" s="51"/>
      <c r="AC171" s="120"/>
      <c r="AD171" s="9">
        <v>0</v>
      </c>
      <c r="AE171" s="325"/>
      <c r="AF171" s="324"/>
      <c r="AG171" s="27">
        <f t="shared" si="80"/>
        <v>0</v>
      </c>
      <c r="AH171" s="30">
        <v>0</v>
      </c>
      <c r="AI171" s="51"/>
      <c r="AJ171" s="1497">
        <f t="shared" si="86"/>
        <v>4384</v>
      </c>
      <c r="AK171" s="951">
        <f t="shared" si="81"/>
        <v>0</v>
      </c>
      <c r="AL171" s="9">
        <v>0</v>
      </c>
      <c r="AM171" s="326">
        <f t="shared" si="87"/>
        <v>0</v>
      </c>
      <c r="AN171" s="970">
        <f t="shared" si="87"/>
        <v>0</v>
      </c>
      <c r="AO171" s="326">
        <f t="shared" si="75"/>
        <v>0</v>
      </c>
      <c r="AP171" s="30">
        <v>0</v>
      </c>
      <c r="AQ171" s="43"/>
      <c r="AR171" s="358">
        <f t="shared" si="88"/>
        <v>0</v>
      </c>
      <c r="AS171" s="359">
        <f t="shared" si="89"/>
        <v>0</v>
      </c>
      <c r="AT171" s="360">
        <f t="shared" si="90"/>
        <v>0</v>
      </c>
      <c r="AU171" s="43"/>
      <c r="AV171" s="2120">
        <f t="shared" si="83"/>
        <v>0</v>
      </c>
      <c r="AW171" s="119"/>
      <c r="AX171" s="2120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25"/>
      <c r="R172" s="324"/>
      <c r="S172" s="27">
        <f t="shared" si="79"/>
        <v>0</v>
      </c>
      <c r="T172" s="30">
        <v>0</v>
      </c>
      <c r="U172" s="51"/>
      <c r="V172" s="541">
        <f>+'NF-KSF-TRIAL-BAL-2021'!O172+'RA-TRIAL-BAL-2021'!O172+'DES-TRIAL-BAL-2021'!O172+'DMP-TRIAL-BAL-2021'!O172</f>
        <v>0</v>
      </c>
      <c r="W172" s="529">
        <f>+'NF-KSF-TRIAL-BAL-2021'!P172+'RA-TRIAL-BAL-2021'!P172+'DES-TRIAL-BAL-2021'!P172+'DMP-TRIAL-BAL-2021'!P172</f>
        <v>0</v>
      </c>
      <c r="X172" s="528">
        <f>+'NF-KSF-TRIAL-BAL-2021'!Q172+'RA-TRIAL-BAL-2021'!Q172+'DES-TRIAL-BAL-2021'!Q172+'DMP-TRIAL-BAL-2021'!Q172</f>
        <v>0</v>
      </c>
      <c r="Y172" s="529">
        <f>+'NF-KSF-TRIAL-BAL-2021'!R172+'RA-TRIAL-BAL-2021'!R172+'DES-TRIAL-BAL-2021'!R172+'DMP-TRIAL-BAL-2021'!R172</f>
        <v>0</v>
      </c>
      <c r="Z172" s="528">
        <f>+'NF-KSF-TRIAL-BAL-2021'!S172+'RA-TRIAL-BAL-2021'!S172+'DES-TRIAL-BAL-2021'!S172+'DMP-TRIAL-BAL-2021'!S172</f>
        <v>0</v>
      </c>
      <c r="AA172" s="347">
        <f>+'NF-KSF-TRIAL-BAL-2021'!T172+'RA-TRIAL-BAL-2021'!T172+'DES-TRIAL-BAL-2021'!T172+'DMP-TRIAL-BAL-2021'!T172</f>
        <v>0</v>
      </c>
      <c r="AB172" s="51"/>
      <c r="AC172" s="120"/>
      <c r="AD172" s="9">
        <v>0</v>
      </c>
      <c r="AE172" s="122"/>
      <c r="AF172" s="324"/>
      <c r="AG172" s="27">
        <f t="shared" si="80"/>
        <v>0</v>
      </c>
      <c r="AH172" s="30">
        <v>0</v>
      </c>
      <c r="AI172" s="51"/>
      <c r="AJ172" s="1497">
        <f t="shared" si="86"/>
        <v>4385</v>
      </c>
      <c r="AK172" s="951">
        <f t="shared" si="81"/>
        <v>0</v>
      </c>
      <c r="AL172" s="9">
        <v>0</v>
      </c>
      <c r="AM172" s="326">
        <f t="shared" si="87"/>
        <v>0</v>
      </c>
      <c r="AN172" s="970">
        <f t="shared" si="87"/>
        <v>0</v>
      </c>
      <c r="AO172" s="326">
        <f t="shared" si="75"/>
        <v>0</v>
      </c>
      <c r="AP172" s="30">
        <v>0</v>
      </c>
      <c r="AQ172" s="43"/>
      <c r="AR172" s="358">
        <f t="shared" si="88"/>
        <v>0</v>
      </c>
      <c r="AS172" s="359">
        <f t="shared" si="89"/>
        <v>0</v>
      </c>
      <c r="AT172" s="360">
        <f t="shared" si="90"/>
        <v>0</v>
      </c>
      <c r="AU172" s="43"/>
      <c r="AV172" s="2120">
        <f t="shared" si="83"/>
        <v>0</v>
      </c>
      <c r="AW172" s="119"/>
      <c r="AX172" s="2120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25"/>
      <c r="R173" s="324"/>
      <c r="S173" s="29">
        <v>0</v>
      </c>
      <c r="T173" s="28">
        <f>+IF(ABS(+O173+Q173)&lt;=ABS(P173+R173),-O173+P173-Q173+R173,0)</f>
        <v>0</v>
      </c>
      <c r="U173" s="51"/>
      <c r="V173" s="541">
        <f>+'NF-KSF-TRIAL-BAL-2021'!O173+'RA-TRIAL-BAL-2021'!O173+'DES-TRIAL-BAL-2021'!O173+'DMP-TRIAL-BAL-2021'!O173</f>
        <v>0</v>
      </c>
      <c r="W173" s="529">
        <f>+'NF-KSF-TRIAL-BAL-2021'!P173+'RA-TRIAL-BAL-2021'!P173+'DES-TRIAL-BAL-2021'!P173+'DMP-TRIAL-BAL-2021'!P173</f>
        <v>0</v>
      </c>
      <c r="X173" s="528">
        <f>+'NF-KSF-TRIAL-BAL-2021'!Q173+'RA-TRIAL-BAL-2021'!Q173+'DES-TRIAL-BAL-2021'!Q173+'DMP-TRIAL-BAL-2021'!Q173</f>
        <v>11.43</v>
      </c>
      <c r="Y173" s="529">
        <f>+'NF-KSF-TRIAL-BAL-2021'!R173+'RA-TRIAL-BAL-2021'!R173+'DES-TRIAL-BAL-2021'!R173+'DMP-TRIAL-BAL-2021'!R173</f>
        <v>11.43</v>
      </c>
      <c r="Z173" s="528">
        <f>+'NF-KSF-TRIAL-BAL-2021'!S173+'RA-TRIAL-BAL-2021'!S173+'DES-TRIAL-BAL-2021'!S173+'DMP-TRIAL-BAL-2021'!S173</f>
        <v>0</v>
      </c>
      <c r="AA173" s="347">
        <f>+'NF-KSF-TRIAL-BAL-2021'!T173+'RA-TRIAL-BAL-2021'!T173+'DES-TRIAL-BAL-2021'!T173+'DMP-TRIAL-BAL-2021'!T173</f>
        <v>0</v>
      </c>
      <c r="AB173" s="51"/>
      <c r="AC173" s="8">
        <v>0</v>
      </c>
      <c r="AD173" s="121"/>
      <c r="AE173" s="325"/>
      <c r="AF173" s="324"/>
      <c r="AG173" s="29">
        <v>0</v>
      </c>
      <c r="AH173" s="28">
        <f>+IF(ABS(+AC173+AE173)&lt;=ABS(AD173+AF173),-AC173+AD173-AE173+AF173,0)</f>
        <v>0</v>
      </c>
      <c r="AI173" s="51"/>
      <c r="AJ173" s="1497">
        <f t="shared" si="70"/>
        <v>4393</v>
      </c>
      <c r="AK173" s="8">
        <v>0</v>
      </c>
      <c r="AL173" s="970">
        <f t="shared" ref="AL173:AN175" si="91">+ROUND(+P173+W173+AD173,2)</f>
        <v>0</v>
      </c>
      <c r="AM173" s="326">
        <f t="shared" si="91"/>
        <v>11.43</v>
      </c>
      <c r="AN173" s="970">
        <f t="shared" si="91"/>
        <v>11.43</v>
      </c>
      <c r="AO173" s="29">
        <v>0</v>
      </c>
      <c r="AP173" s="28">
        <f t="shared" ref="AP173:AP184" si="92">+T173+AA173+AH173</f>
        <v>0</v>
      </c>
      <c r="AQ173" s="43"/>
      <c r="AR173" s="358">
        <f t="shared" si="66"/>
        <v>0</v>
      </c>
      <c r="AS173" s="359">
        <f t="shared" si="67"/>
        <v>0</v>
      </c>
      <c r="AT173" s="360">
        <f t="shared" si="68"/>
        <v>0</v>
      </c>
      <c r="AU173" s="43"/>
      <c r="AV173" s="2119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119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25"/>
      <c r="R174" s="324"/>
      <c r="S174" s="29">
        <v>0</v>
      </c>
      <c r="T174" s="28">
        <f>+IF(ABS(+O174+Q174)&lt;=ABS(P174+R174),-O174+P174-Q174+R174,0)</f>
        <v>0</v>
      </c>
      <c r="U174" s="51"/>
      <c r="V174" s="541">
        <f>+'NF-KSF-TRIAL-BAL-2021'!O174+'RA-TRIAL-BAL-2021'!O174+'DES-TRIAL-BAL-2021'!O174+'DMP-TRIAL-BAL-2021'!O174</f>
        <v>0</v>
      </c>
      <c r="W174" s="529">
        <f>+'NF-KSF-TRIAL-BAL-2021'!P174+'RA-TRIAL-BAL-2021'!P174+'DES-TRIAL-BAL-2021'!P174+'DMP-TRIAL-BAL-2021'!P174</f>
        <v>0</v>
      </c>
      <c r="X174" s="528">
        <f>+'NF-KSF-TRIAL-BAL-2021'!Q174+'RA-TRIAL-BAL-2021'!Q174+'DES-TRIAL-BAL-2021'!Q174+'DMP-TRIAL-BAL-2021'!Q174</f>
        <v>0</v>
      </c>
      <c r="Y174" s="529">
        <f>+'NF-KSF-TRIAL-BAL-2021'!R174+'RA-TRIAL-BAL-2021'!R174+'DES-TRIAL-BAL-2021'!R174+'DMP-TRIAL-BAL-2021'!R174</f>
        <v>0</v>
      </c>
      <c r="Z174" s="528">
        <f>+'NF-KSF-TRIAL-BAL-2021'!S174+'RA-TRIAL-BAL-2021'!S174+'DES-TRIAL-BAL-2021'!S174+'DMP-TRIAL-BAL-2021'!S174</f>
        <v>0</v>
      </c>
      <c r="AA174" s="347">
        <f>+'NF-KSF-TRIAL-BAL-2021'!T174+'RA-TRIAL-BAL-2021'!T174+'DES-TRIAL-BAL-2021'!T174+'DMP-TRIAL-BAL-2021'!T174</f>
        <v>0</v>
      </c>
      <c r="AB174" s="51"/>
      <c r="AC174" s="8">
        <v>0</v>
      </c>
      <c r="AD174" s="121"/>
      <c r="AE174" s="325"/>
      <c r="AF174" s="324"/>
      <c r="AG174" s="29">
        <v>0</v>
      </c>
      <c r="AH174" s="28">
        <f>+IF(ABS(+AC174+AE174)&lt;=ABS(AD174+AF174),-AC174+AD174-AE174+AF174,0)</f>
        <v>0</v>
      </c>
      <c r="AI174" s="51"/>
      <c r="AJ174" s="1497">
        <f t="shared" si="70"/>
        <v>4397</v>
      </c>
      <c r="AK174" s="8">
        <v>0</v>
      </c>
      <c r="AL174" s="970">
        <f t="shared" si="91"/>
        <v>0</v>
      </c>
      <c r="AM174" s="326">
        <f t="shared" si="91"/>
        <v>0</v>
      </c>
      <c r="AN174" s="970">
        <f t="shared" si="91"/>
        <v>0</v>
      </c>
      <c r="AO174" s="29">
        <v>0</v>
      </c>
      <c r="AP174" s="28">
        <f t="shared" si="92"/>
        <v>0</v>
      </c>
      <c r="AQ174" s="43"/>
      <c r="AR174" s="358">
        <f t="shared" si="66"/>
        <v>0</v>
      </c>
      <c r="AS174" s="359">
        <f t="shared" si="67"/>
        <v>0</v>
      </c>
      <c r="AT174" s="360">
        <f t="shared" si="68"/>
        <v>0</v>
      </c>
      <c r="AU174" s="43"/>
      <c r="AV174" s="2119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119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>+A175</f>
        <v>4398</v>
      </c>
      <c r="O175" s="8">
        <v>0</v>
      </c>
      <c r="P175" s="121"/>
      <c r="Q175" s="325"/>
      <c r="R175" s="324"/>
      <c r="S175" s="29">
        <v>0</v>
      </c>
      <c r="T175" s="28">
        <f>+IF(ABS(+O175+Q175)&lt;=ABS(P175+R175),-O175+P175-Q175+R175,0)</f>
        <v>0</v>
      </c>
      <c r="U175" s="51"/>
      <c r="V175" s="541">
        <f>+'NF-KSF-TRIAL-BAL-2021'!O175+'RA-TRIAL-BAL-2021'!O175+'DES-TRIAL-BAL-2021'!O175+'DMP-TRIAL-BAL-2021'!O175</f>
        <v>0</v>
      </c>
      <c r="W175" s="529">
        <f>+'NF-KSF-TRIAL-BAL-2021'!P175+'RA-TRIAL-BAL-2021'!P175+'DES-TRIAL-BAL-2021'!P175+'DMP-TRIAL-BAL-2021'!P175</f>
        <v>0</v>
      </c>
      <c r="X175" s="528">
        <f>+'NF-KSF-TRIAL-BAL-2021'!Q175+'RA-TRIAL-BAL-2021'!Q175+'DES-TRIAL-BAL-2021'!Q175+'DMP-TRIAL-BAL-2021'!Q175</f>
        <v>0</v>
      </c>
      <c r="Y175" s="529">
        <f>+'NF-KSF-TRIAL-BAL-2021'!R175+'RA-TRIAL-BAL-2021'!R175+'DES-TRIAL-BAL-2021'!R175+'DMP-TRIAL-BAL-2021'!R175</f>
        <v>0</v>
      </c>
      <c r="Z175" s="528">
        <f>+'NF-KSF-TRIAL-BAL-2021'!S175+'RA-TRIAL-BAL-2021'!S175+'DES-TRIAL-BAL-2021'!S175+'DMP-TRIAL-BAL-2021'!S175</f>
        <v>0</v>
      </c>
      <c r="AA175" s="347">
        <f>+'NF-KSF-TRIAL-BAL-2021'!T175+'RA-TRIAL-BAL-2021'!T175+'DES-TRIAL-BAL-2021'!T175+'DMP-TRIAL-BAL-2021'!T175</f>
        <v>0</v>
      </c>
      <c r="AB175" s="51"/>
      <c r="AC175" s="8">
        <v>0</v>
      </c>
      <c r="AD175" s="121"/>
      <c r="AE175" s="325"/>
      <c r="AF175" s="324"/>
      <c r="AG175" s="29">
        <v>0</v>
      </c>
      <c r="AH175" s="28">
        <f>+IF(ABS(+AC175+AE175)&lt;=ABS(AD175+AF175),-AC175+AD175-AE175+AF175,0)</f>
        <v>0</v>
      </c>
      <c r="AI175" s="51"/>
      <c r="AJ175" s="1497">
        <f>+N175</f>
        <v>4398</v>
      </c>
      <c r="AK175" s="8">
        <v>0</v>
      </c>
      <c r="AL175" s="970">
        <f t="shared" si="91"/>
        <v>0</v>
      </c>
      <c r="AM175" s="326">
        <f t="shared" si="91"/>
        <v>0</v>
      </c>
      <c r="AN175" s="970">
        <f t="shared" si="91"/>
        <v>0</v>
      </c>
      <c r="AO175" s="29">
        <v>0</v>
      </c>
      <c r="AP175" s="28">
        <f t="shared" si="92"/>
        <v>0</v>
      </c>
      <c r="AQ175" s="43"/>
      <c r="AR175" s="358">
        <f>+ROUND(+SUM(AK175-AL175)-SUM(O175-P175)-SUM(V175-W175)-SUM(AC175-AD175),2)</f>
        <v>0</v>
      </c>
      <c r="AS175" s="359">
        <f>+ROUND(+SUM(AM175-AN175)-SUM(Q175-R175)-SUM(X175-Y175)-SUM(AE175-AF175),2)</f>
        <v>0</v>
      </c>
      <c r="AT175" s="360">
        <f>+ROUND(+SUM(AO175-AP175)-SUM(S175-T175)-SUM(Z175-AA175)-SUM(AG175-AH175),2)</f>
        <v>0</v>
      </c>
      <c r="AU175" s="43"/>
      <c r="AV175" s="2119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119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64"/>
        <v>4500</v>
      </c>
      <c r="O176" s="120"/>
      <c r="P176" s="121"/>
      <c r="Q176" s="325"/>
      <c r="R176" s="324"/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41">
        <f>+'NF-KSF-TRIAL-BAL-2021'!O176+'RA-TRIAL-BAL-2021'!O176+'DES-TRIAL-BAL-2021'!O176+'DMP-TRIAL-BAL-2021'!O176</f>
        <v>0</v>
      </c>
      <c r="W176" s="529">
        <f>+'NF-KSF-TRIAL-BAL-2021'!P176+'RA-TRIAL-BAL-2021'!P176+'DES-TRIAL-BAL-2021'!P176+'DMP-TRIAL-BAL-2021'!P176</f>
        <v>0</v>
      </c>
      <c r="X176" s="528">
        <f>+'NF-KSF-TRIAL-BAL-2021'!Q176+'RA-TRIAL-BAL-2021'!Q176+'DES-TRIAL-BAL-2021'!Q176+'DMP-TRIAL-BAL-2021'!Q176</f>
        <v>0</v>
      </c>
      <c r="Y176" s="529">
        <f>+'NF-KSF-TRIAL-BAL-2021'!R176+'RA-TRIAL-BAL-2021'!R176+'DES-TRIAL-BAL-2021'!R176+'DMP-TRIAL-BAL-2021'!R176</f>
        <v>0</v>
      </c>
      <c r="Z176" s="528">
        <f>+'NF-KSF-TRIAL-BAL-2021'!S176+'RA-TRIAL-BAL-2021'!S176+'DES-TRIAL-BAL-2021'!S176+'DMP-TRIAL-BAL-2021'!S176</f>
        <v>0</v>
      </c>
      <c r="AA176" s="347">
        <f>+'NF-KSF-TRIAL-BAL-2021'!T176+'RA-TRIAL-BAL-2021'!T176+'DES-TRIAL-BAL-2021'!T176+'DMP-TRIAL-BAL-2021'!T176</f>
        <v>0</v>
      </c>
      <c r="AB176" s="51"/>
      <c r="AC176" s="120"/>
      <c r="AD176" s="121"/>
      <c r="AE176" s="325"/>
      <c r="AF176" s="324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97">
        <f t="shared" si="70"/>
        <v>4500</v>
      </c>
      <c r="AK176" s="951">
        <f t="shared" ref="AK176:AK183" si="96">+ROUND(+O176+V176+AC176,2)</f>
        <v>0</v>
      </c>
      <c r="AL176" s="970">
        <f t="shared" ref="AL176:AL183" si="97">+ROUND(+P176+W176+AD176,2)</f>
        <v>0</v>
      </c>
      <c r="AM176" s="326">
        <f>+ROUND(+Q176+X176+AE176,2)</f>
        <v>0</v>
      </c>
      <c r="AN176" s="970">
        <f>+ROUND(+R176+Y176+AF176,2)</f>
        <v>0</v>
      </c>
      <c r="AO176" s="326">
        <f t="shared" ref="AO176:AO183" si="98">+S176+Z176+AG176</f>
        <v>0</v>
      </c>
      <c r="AP176" s="28">
        <f t="shared" si="92"/>
        <v>0</v>
      </c>
      <c r="AQ176" s="43"/>
      <c r="AR176" s="358">
        <f t="shared" si="66"/>
        <v>0</v>
      </c>
      <c r="AS176" s="359">
        <f t="shared" si="67"/>
        <v>0</v>
      </c>
      <c r="AT176" s="360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 t="s">
        <v>265</v>
      </c>
      <c r="N177" s="113">
        <f t="shared" si="64"/>
        <v>4501</v>
      </c>
      <c r="O177" s="581"/>
      <c r="P177" s="576"/>
      <c r="Q177" s="325"/>
      <c r="R177" s="324"/>
      <c r="S177" s="583">
        <f>+IF(ABS(+O177+Q177)&gt;=ABS(P177+R177),+O177-P177+Q177-R177,0)</f>
        <v>0</v>
      </c>
      <c r="T177" s="580">
        <f t="shared" si="93"/>
        <v>0</v>
      </c>
      <c r="U177" s="51"/>
      <c r="V177" s="541">
        <f>+'NF-KSF-TRIAL-BAL-2021'!O177+'RA-TRIAL-BAL-2021'!O177+'DES-TRIAL-BAL-2021'!O177+'DMP-TRIAL-BAL-2021'!O177</f>
        <v>0</v>
      </c>
      <c r="W177" s="529">
        <f>+'NF-KSF-TRIAL-BAL-2021'!P177+'RA-TRIAL-BAL-2021'!P177+'DES-TRIAL-BAL-2021'!P177+'DMP-TRIAL-BAL-2021'!P177</f>
        <v>0</v>
      </c>
      <c r="X177" s="587">
        <f>+'NF-KSF-TRIAL-BAL-2021'!Q177+'RA-TRIAL-BAL-2021'!Q177+'DES-TRIAL-BAL-2021'!Q177+'DMP-TRIAL-BAL-2021'!Q177</f>
        <v>0</v>
      </c>
      <c r="Y177" s="586">
        <f>+'NF-KSF-TRIAL-BAL-2021'!R177+'RA-TRIAL-BAL-2021'!R177+'DES-TRIAL-BAL-2021'!R177+'DMP-TRIAL-BAL-2021'!R177</f>
        <v>0</v>
      </c>
      <c r="Z177" s="587">
        <f>+'NF-KSF-TRIAL-BAL-2021'!S177+'RA-TRIAL-BAL-2021'!S177+'DES-TRIAL-BAL-2021'!S177+'DMP-TRIAL-BAL-2021'!S177</f>
        <v>0</v>
      </c>
      <c r="AA177" s="588">
        <f>+'NF-KSF-TRIAL-BAL-2021'!T177+'RA-TRIAL-BAL-2021'!T177+'DES-TRIAL-BAL-2021'!T177+'DMP-TRIAL-BAL-2021'!T177</f>
        <v>0</v>
      </c>
      <c r="AB177" s="51"/>
      <c r="AC177" s="575">
        <v>0</v>
      </c>
      <c r="AD177" s="582">
        <v>0</v>
      </c>
      <c r="AE177" s="579">
        <v>0</v>
      </c>
      <c r="AF177" s="582">
        <v>0</v>
      </c>
      <c r="AG177" s="579">
        <v>0</v>
      </c>
      <c r="AH177" s="582">
        <v>0</v>
      </c>
      <c r="AI177" s="51"/>
      <c r="AJ177" s="1497">
        <f t="shared" si="70"/>
        <v>4501</v>
      </c>
      <c r="AK177" s="951">
        <f t="shared" si="96"/>
        <v>0</v>
      </c>
      <c r="AL177" s="970">
        <f t="shared" si="97"/>
        <v>0</v>
      </c>
      <c r="AM177" s="326">
        <f>+ROUND(+Q177+X177+AE177,2)</f>
        <v>0</v>
      </c>
      <c r="AN177" s="970">
        <f>+ROUND(+R177+Y177+AF177,2)</f>
        <v>0</v>
      </c>
      <c r="AO177" s="326">
        <f t="shared" si="98"/>
        <v>0</v>
      </c>
      <c r="AP177" s="28">
        <f t="shared" si="92"/>
        <v>0</v>
      </c>
      <c r="AQ177" s="43"/>
      <c r="AR177" s="358">
        <f t="shared" si="66"/>
        <v>0</v>
      </c>
      <c r="AS177" s="359">
        <f t="shared" si="67"/>
        <v>0</v>
      </c>
      <c r="AT177" s="360">
        <f t="shared" si="68"/>
        <v>0</v>
      </c>
      <c r="AU177" s="43"/>
      <c r="AV177" s="43"/>
      <c r="AW177" s="119"/>
      <c r="AX177" s="2125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 t="s">
        <v>265</v>
      </c>
      <c r="N178" s="113">
        <f t="shared" si="64"/>
        <v>4502</v>
      </c>
      <c r="O178" s="581"/>
      <c r="P178" s="576"/>
      <c r="Q178" s="325"/>
      <c r="R178" s="324"/>
      <c r="S178" s="583">
        <f>+IF(ABS(+O178+Q178)&gt;=ABS(P178+R178),+O178-P178+Q178-R178,0)</f>
        <v>0</v>
      </c>
      <c r="T178" s="580">
        <f>+IF(ABS(+O178+Q178)&lt;=ABS(P178+R178),-O178+P178-Q178+R178,0)</f>
        <v>0</v>
      </c>
      <c r="U178" s="51"/>
      <c r="V178" s="541">
        <f>+'NF-KSF-TRIAL-BAL-2021'!O178+'RA-TRIAL-BAL-2021'!O178+'DES-TRIAL-BAL-2021'!O178+'DMP-TRIAL-BAL-2021'!O178</f>
        <v>0</v>
      </c>
      <c r="W178" s="529">
        <f>+'NF-KSF-TRIAL-BAL-2021'!P178+'RA-TRIAL-BAL-2021'!P178+'DES-TRIAL-BAL-2021'!P178+'DMP-TRIAL-BAL-2021'!P178</f>
        <v>0</v>
      </c>
      <c r="X178" s="587">
        <f>+'NF-KSF-TRIAL-BAL-2021'!Q178+'RA-TRIAL-BAL-2021'!Q178+'DES-TRIAL-BAL-2021'!Q178+'DMP-TRIAL-BAL-2021'!Q178</f>
        <v>0</v>
      </c>
      <c r="Y178" s="586">
        <f>+'NF-KSF-TRIAL-BAL-2021'!R178+'RA-TRIAL-BAL-2021'!R178+'DES-TRIAL-BAL-2021'!R178+'DMP-TRIAL-BAL-2021'!R178</f>
        <v>0</v>
      </c>
      <c r="Z178" s="587">
        <f>+'NF-KSF-TRIAL-BAL-2021'!S178+'RA-TRIAL-BAL-2021'!S178+'DES-TRIAL-BAL-2021'!S178+'DMP-TRIAL-BAL-2021'!S178</f>
        <v>0</v>
      </c>
      <c r="AA178" s="588">
        <f>+'NF-KSF-TRIAL-BAL-2021'!T178+'RA-TRIAL-BAL-2021'!T178+'DES-TRIAL-BAL-2021'!T178+'DMP-TRIAL-BAL-2021'!T178</f>
        <v>0</v>
      </c>
      <c r="AB178" s="51"/>
      <c r="AC178" s="581"/>
      <c r="AD178" s="576"/>
      <c r="AE178" s="325"/>
      <c r="AF178" s="324"/>
      <c r="AG178" s="583">
        <f>+IF(ABS(+AC178+AE178)&gt;=ABS(AD178+AF178),+AC178-AD178+AE178-AF178,0)</f>
        <v>0</v>
      </c>
      <c r="AH178" s="580">
        <f>+IF(ABS(+AC178+AE178)&lt;=ABS(AD178+AF178),-AC178+AD178-AE178+AF178,0)</f>
        <v>0</v>
      </c>
      <c r="AI178" s="51"/>
      <c r="AJ178" s="1497">
        <f>+N178</f>
        <v>4502</v>
      </c>
      <c r="AK178" s="951">
        <f t="shared" si="96"/>
        <v>0</v>
      </c>
      <c r="AL178" s="970">
        <f t="shared" si="97"/>
        <v>0</v>
      </c>
      <c r="AM178" s="326">
        <f t="shared" ref="AM178:AN180" si="99">+ROUND(+Q178+X178+AE178,2)</f>
        <v>0</v>
      </c>
      <c r="AN178" s="970">
        <f t="shared" si="99"/>
        <v>0</v>
      </c>
      <c r="AO178" s="326">
        <f t="shared" si="98"/>
        <v>0</v>
      </c>
      <c r="AP178" s="28">
        <f t="shared" si="92"/>
        <v>0</v>
      </c>
      <c r="AQ178" s="43"/>
      <c r="AR178" s="358">
        <f>+ROUND(+SUM(AK178-AL178)-SUM(O178-P178)-SUM(V178-W178)-SUM(AC178-AD178),2)</f>
        <v>0</v>
      </c>
      <c r="AS178" s="359">
        <f>+ROUND(+SUM(AM178-AN178)-SUM(Q178-R178)-SUM(X178-Y178)-SUM(AE178-AF178),2)</f>
        <v>0</v>
      </c>
      <c r="AT178" s="360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 t="s">
        <v>265</v>
      </c>
      <c r="N179" s="113">
        <f t="shared" si="64"/>
        <v>4503</v>
      </c>
      <c r="O179" s="575">
        <v>0</v>
      </c>
      <c r="P179" s="582">
        <v>0</v>
      </c>
      <c r="Q179" s="579">
        <v>0</v>
      </c>
      <c r="R179" s="582">
        <v>0</v>
      </c>
      <c r="S179" s="579">
        <v>0</v>
      </c>
      <c r="T179" s="584">
        <v>0</v>
      </c>
      <c r="U179" s="51"/>
      <c r="V179" s="541">
        <f>+'NF-KSF-TRIAL-BAL-2021'!O179+'RA-TRIAL-BAL-2021'!O179+'DES-TRIAL-BAL-2021'!O179+'DMP-TRIAL-BAL-2021'!O179</f>
        <v>0</v>
      </c>
      <c r="W179" s="529">
        <f>+'NF-KSF-TRIAL-BAL-2021'!P179+'RA-TRIAL-BAL-2021'!P179+'DES-TRIAL-BAL-2021'!P179+'DMP-TRIAL-BAL-2021'!P179</f>
        <v>0</v>
      </c>
      <c r="X179" s="587">
        <f>+'NF-KSF-TRIAL-BAL-2021'!Q179+'RA-TRIAL-BAL-2021'!Q179+'DES-TRIAL-BAL-2021'!Q179+'DMP-TRIAL-BAL-2021'!Q179</f>
        <v>0</v>
      </c>
      <c r="Y179" s="586">
        <f>+'NF-KSF-TRIAL-BAL-2021'!R179+'RA-TRIAL-BAL-2021'!R179+'DES-TRIAL-BAL-2021'!R179+'DMP-TRIAL-BAL-2021'!R179</f>
        <v>0</v>
      </c>
      <c r="Z179" s="587">
        <f>+'NF-KSF-TRIAL-BAL-2021'!S179+'RA-TRIAL-BAL-2021'!S179+'DES-TRIAL-BAL-2021'!S179+'DMP-TRIAL-BAL-2021'!S179</f>
        <v>0</v>
      </c>
      <c r="AA179" s="588">
        <f>+'NF-KSF-TRIAL-BAL-2021'!T179+'RA-TRIAL-BAL-2021'!T179+'DES-TRIAL-BAL-2021'!T179+'DMP-TRIAL-BAL-2021'!T179</f>
        <v>0</v>
      </c>
      <c r="AB179" s="51"/>
      <c r="AC179" s="581"/>
      <c r="AD179" s="576"/>
      <c r="AE179" s="325"/>
      <c r="AF179" s="324"/>
      <c r="AG179" s="583">
        <f>+IF(ABS(+AC179+AE179)&gt;=ABS(AD179+AF179),+AC179-AD179+AE179-AF179,0)</f>
        <v>0</v>
      </c>
      <c r="AH179" s="580">
        <f>+IF(ABS(+AC179+AE179)&lt;=ABS(AD179+AF179),-AC179+AD179-AE179+AF179,0)</f>
        <v>0</v>
      </c>
      <c r="AI179" s="51"/>
      <c r="AJ179" s="1497">
        <f>+N179</f>
        <v>4503</v>
      </c>
      <c r="AK179" s="951">
        <f t="shared" si="96"/>
        <v>0</v>
      </c>
      <c r="AL179" s="970">
        <f t="shared" si="97"/>
        <v>0</v>
      </c>
      <c r="AM179" s="326">
        <f t="shared" si="99"/>
        <v>0</v>
      </c>
      <c r="AN179" s="970">
        <f t="shared" si="99"/>
        <v>0</v>
      </c>
      <c r="AO179" s="326">
        <f t="shared" si="98"/>
        <v>0</v>
      </c>
      <c r="AP179" s="28">
        <f t="shared" si="92"/>
        <v>0</v>
      </c>
      <c r="AQ179" s="43"/>
      <c r="AR179" s="358">
        <f>+ROUND(+SUM(AK179-AL179)-SUM(O179-P179)-SUM(V179-W179)-SUM(AC179-AD179),2)</f>
        <v>0</v>
      </c>
      <c r="AS179" s="359">
        <f>+ROUND(+SUM(AM179-AN179)-SUM(Q179-R179)-SUM(X179-Y179)-SUM(AE179-AF179),2)</f>
        <v>0</v>
      </c>
      <c r="AT179" s="360">
        <f>+ROUND(+SUM(AO179-AP179)-SUM(S179-T179)-SUM(Z179-AA179)-SUM(AG179-AH179),2)</f>
        <v>0</v>
      </c>
      <c r="AU179" s="43"/>
      <c r="AV179" s="2125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 t="s">
        <v>265</v>
      </c>
      <c r="N180" s="113">
        <f t="shared" si="64"/>
        <v>4510</v>
      </c>
      <c r="O180" s="581">
        <v>0</v>
      </c>
      <c r="P180" s="576">
        <v>10405.040000000001</v>
      </c>
      <c r="Q180" s="325">
        <v>411923</v>
      </c>
      <c r="R180" s="324">
        <v>405940.25</v>
      </c>
      <c r="S180" s="583">
        <f>+IF(ABS(+O180+Q180)&gt;=ABS(P180+R180),+O180-P180+Q180-R180,0)</f>
        <v>0</v>
      </c>
      <c r="T180" s="580">
        <f>+IF(ABS(+O180+Q180)&lt;=ABS(P180+R180),-O180+P180-Q180+R180,0)</f>
        <v>4422.289999999979</v>
      </c>
      <c r="U180" s="51"/>
      <c r="V180" s="541">
        <f>+'NF-KSF-TRIAL-BAL-2021'!O180+'RA-TRIAL-BAL-2021'!O180+'DES-TRIAL-BAL-2021'!O180+'DMP-TRIAL-BAL-2021'!O180</f>
        <v>0</v>
      </c>
      <c r="W180" s="529">
        <f>+'NF-KSF-TRIAL-BAL-2021'!P180+'RA-TRIAL-BAL-2021'!P180+'DES-TRIAL-BAL-2021'!P180+'DMP-TRIAL-BAL-2021'!P180</f>
        <v>3278.31</v>
      </c>
      <c r="X180" s="587">
        <f>+'NF-KSF-TRIAL-BAL-2021'!Q180+'RA-TRIAL-BAL-2021'!Q180+'DES-TRIAL-BAL-2021'!Q180+'DMP-TRIAL-BAL-2021'!Q180</f>
        <v>20803.27</v>
      </c>
      <c r="Y180" s="586">
        <f>+'NF-KSF-TRIAL-BAL-2021'!R180+'RA-TRIAL-BAL-2021'!R180+'DES-TRIAL-BAL-2021'!R180+'DMP-TRIAL-BAL-2021'!R180</f>
        <v>19216.93</v>
      </c>
      <c r="Z180" s="587">
        <f>+'NF-KSF-TRIAL-BAL-2021'!S180+'RA-TRIAL-BAL-2021'!S180+'DES-TRIAL-BAL-2021'!S180+'DMP-TRIAL-BAL-2021'!S180</f>
        <v>0</v>
      </c>
      <c r="AA180" s="588">
        <f>+'NF-KSF-TRIAL-BAL-2021'!T180+'RA-TRIAL-BAL-2021'!T180+'DES-TRIAL-BAL-2021'!T180+'DMP-TRIAL-BAL-2021'!T180</f>
        <v>1691.9700000000012</v>
      </c>
      <c r="AB180" s="51"/>
      <c r="AC180" s="581"/>
      <c r="AD180" s="576"/>
      <c r="AE180" s="122"/>
      <c r="AF180" s="121"/>
      <c r="AG180" s="583">
        <f>+IF(ABS(+AC180+AE180)&gt;=ABS(AD180+AF180),+AC180-AD180+AE180-AF180,0)</f>
        <v>0</v>
      </c>
      <c r="AH180" s="580">
        <f>+IF(ABS(+AC180+AE180)&lt;=ABS(AD180+AF180),-AC180+AD180-AE180+AF180,0)</f>
        <v>0</v>
      </c>
      <c r="AI180" s="51"/>
      <c r="AJ180" s="1497">
        <f>+N180</f>
        <v>4510</v>
      </c>
      <c r="AK180" s="951">
        <f t="shared" si="96"/>
        <v>0</v>
      </c>
      <c r="AL180" s="970">
        <f t="shared" si="97"/>
        <v>13683.35</v>
      </c>
      <c r="AM180" s="326">
        <f t="shared" si="99"/>
        <v>432726.27</v>
      </c>
      <c r="AN180" s="970">
        <f t="shared" si="99"/>
        <v>425157.18</v>
      </c>
      <c r="AO180" s="326">
        <f t="shared" si="98"/>
        <v>0</v>
      </c>
      <c r="AP180" s="28">
        <f t="shared" si="92"/>
        <v>6114.2599999999802</v>
      </c>
      <c r="AQ180" s="43"/>
      <c r="AR180" s="358">
        <f>+ROUND(+SUM(AK180-AL180)-SUM(O180-P180)-SUM(V180-W180)-SUM(AC180-AD180),2)</f>
        <v>0</v>
      </c>
      <c r="AS180" s="359">
        <f>+ROUND(+SUM(AM180-AN180)-SUM(Q180-R180)-SUM(X180-Y180)-SUM(AE180-AF180),2)</f>
        <v>0</v>
      </c>
      <c r="AT180" s="360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64"/>
        <v>4511</v>
      </c>
      <c r="O181" s="120">
        <v>0</v>
      </c>
      <c r="P181" s="121">
        <v>2656.15</v>
      </c>
      <c r="Q181" s="325">
        <v>29735.53</v>
      </c>
      <c r="R181" s="324">
        <v>29845.42</v>
      </c>
      <c r="S181" s="27">
        <f>+IF(ABS(+O181+Q181)&gt;=ABS(P181+R181),+O181-P181+Q181-R181,0)</f>
        <v>0</v>
      </c>
      <c r="T181" s="28">
        <f t="shared" si="93"/>
        <v>2766.0400000000009</v>
      </c>
      <c r="U181" s="51"/>
      <c r="V181" s="541">
        <f>+'NF-KSF-TRIAL-BAL-2021'!O181+'RA-TRIAL-BAL-2021'!O181+'DES-TRIAL-BAL-2021'!O181+'DMP-TRIAL-BAL-2021'!O181</f>
        <v>0</v>
      </c>
      <c r="W181" s="529">
        <f>+'NF-KSF-TRIAL-BAL-2021'!P181+'RA-TRIAL-BAL-2021'!P181+'DES-TRIAL-BAL-2021'!P181+'DMP-TRIAL-BAL-2021'!P181</f>
        <v>0</v>
      </c>
      <c r="X181" s="528">
        <f>+'NF-KSF-TRIAL-BAL-2021'!Q181+'RA-TRIAL-BAL-2021'!Q181+'DES-TRIAL-BAL-2021'!Q181+'DMP-TRIAL-BAL-2021'!Q181</f>
        <v>0</v>
      </c>
      <c r="Y181" s="529">
        <f>+'NF-KSF-TRIAL-BAL-2021'!R181+'RA-TRIAL-BAL-2021'!R181+'DES-TRIAL-BAL-2021'!R181+'DMP-TRIAL-BAL-2021'!R181</f>
        <v>0</v>
      </c>
      <c r="Z181" s="528">
        <f>+'NF-KSF-TRIAL-BAL-2021'!S181+'RA-TRIAL-BAL-2021'!S181+'DES-TRIAL-BAL-2021'!S181+'DMP-TRIAL-BAL-2021'!S181</f>
        <v>0</v>
      </c>
      <c r="AA181" s="347">
        <f>+'NF-KSF-TRIAL-BAL-2021'!T181+'RA-TRIAL-BAL-2021'!T181+'DES-TRIAL-BAL-2021'!T181+'DMP-TRIAL-BAL-2021'!T181</f>
        <v>0</v>
      </c>
      <c r="AB181" s="51"/>
      <c r="AC181" s="120"/>
      <c r="AD181" s="121"/>
      <c r="AE181" s="325"/>
      <c r="AF181" s="324"/>
      <c r="AG181" s="27">
        <f t="shared" si="94"/>
        <v>0</v>
      </c>
      <c r="AH181" s="28">
        <f t="shared" si="95"/>
        <v>0</v>
      </c>
      <c r="AI181" s="51"/>
      <c r="AJ181" s="1497">
        <f t="shared" si="70"/>
        <v>4511</v>
      </c>
      <c r="AK181" s="951">
        <f t="shared" si="96"/>
        <v>0</v>
      </c>
      <c r="AL181" s="970">
        <f t="shared" si="97"/>
        <v>2656.15</v>
      </c>
      <c r="AM181" s="326">
        <f t="shared" ref="AM181:AN186" si="100">+ROUND(+Q181+X181+AE181,2)</f>
        <v>29735.53</v>
      </c>
      <c r="AN181" s="970">
        <f t="shared" si="100"/>
        <v>29845.42</v>
      </c>
      <c r="AO181" s="326">
        <f t="shared" si="98"/>
        <v>0</v>
      </c>
      <c r="AP181" s="28">
        <f t="shared" si="92"/>
        <v>2766.0400000000009</v>
      </c>
      <c r="AQ181" s="43"/>
      <c r="AR181" s="358">
        <f t="shared" si="66"/>
        <v>0</v>
      </c>
      <c r="AS181" s="359">
        <f t="shared" si="67"/>
        <v>0</v>
      </c>
      <c r="AT181" s="360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64"/>
        <v>4512</v>
      </c>
      <c r="O182" s="120">
        <v>0</v>
      </c>
      <c r="P182" s="121">
        <v>156.13999999999999</v>
      </c>
      <c r="Q182" s="325">
        <v>21209.8</v>
      </c>
      <c r="R182" s="324">
        <v>21007.72</v>
      </c>
      <c r="S182" s="27">
        <f>+IF(ABS(+O182+Q182)&gt;=ABS(P182+R182),+O182-P182+Q182-R182,0)</f>
        <v>45.93999999999869</v>
      </c>
      <c r="T182" s="28">
        <f t="shared" si="93"/>
        <v>0</v>
      </c>
      <c r="U182" s="51"/>
      <c r="V182" s="541">
        <f>+'NF-KSF-TRIAL-BAL-2021'!O182+'RA-TRIAL-BAL-2021'!O182+'DES-TRIAL-BAL-2021'!O182+'DMP-TRIAL-BAL-2021'!O182</f>
        <v>0</v>
      </c>
      <c r="W182" s="529">
        <f>+'NF-KSF-TRIAL-BAL-2021'!P182+'RA-TRIAL-BAL-2021'!P182+'DES-TRIAL-BAL-2021'!P182+'DMP-TRIAL-BAL-2021'!P182</f>
        <v>0</v>
      </c>
      <c r="X182" s="528">
        <f>+'NF-KSF-TRIAL-BAL-2021'!Q182+'RA-TRIAL-BAL-2021'!Q182+'DES-TRIAL-BAL-2021'!Q182+'DMP-TRIAL-BAL-2021'!Q182</f>
        <v>0</v>
      </c>
      <c r="Y182" s="529">
        <f>+'NF-KSF-TRIAL-BAL-2021'!R182+'RA-TRIAL-BAL-2021'!R182+'DES-TRIAL-BAL-2021'!R182+'DMP-TRIAL-BAL-2021'!R182</f>
        <v>0</v>
      </c>
      <c r="Z182" s="528">
        <f>+'NF-KSF-TRIAL-BAL-2021'!S182+'RA-TRIAL-BAL-2021'!S182+'DES-TRIAL-BAL-2021'!S182+'DMP-TRIAL-BAL-2021'!S182</f>
        <v>0</v>
      </c>
      <c r="AA182" s="347">
        <f>+'NF-KSF-TRIAL-BAL-2021'!T182+'RA-TRIAL-BAL-2021'!T182+'DES-TRIAL-BAL-2021'!T182+'DMP-TRIAL-BAL-2021'!T182</f>
        <v>0</v>
      </c>
      <c r="AB182" s="51"/>
      <c r="AC182" s="120"/>
      <c r="AD182" s="121"/>
      <c r="AE182" s="325"/>
      <c r="AF182" s="324"/>
      <c r="AG182" s="27">
        <f t="shared" si="94"/>
        <v>0</v>
      </c>
      <c r="AH182" s="28">
        <f t="shared" si="95"/>
        <v>0</v>
      </c>
      <c r="AI182" s="51"/>
      <c r="AJ182" s="1497">
        <f t="shared" si="70"/>
        <v>4512</v>
      </c>
      <c r="AK182" s="951">
        <f t="shared" si="96"/>
        <v>0</v>
      </c>
      <c r="AL182" s="970">
        <f t="shared" si="97"/>
        <v>156.13999999999999</v>
      </c>
      <c r="AM182" s="326">
        <f t="shared" si="100"/>
        <v>21209.8</v>
      </c>
      <c r="AN182" s="970">
        <f t="shared" si="100"/>
        <v>21007.72</v>
      </c>
      <c r="AO182" s="326">
        <f t="shared" si="98"/>
        <v>45.93999999999869</v>
      </c>
      <c r="AP182" s="28">
        <f t="shared" si="92"/>
        <v>0</v>
      </c>
      <c r="AQ182" s="43"/>
      <c r="AR182" s="358">
        <f t="shared" si="66"/>
        <v>0</v>
      </c>
      <c r="AS182" s="359">
        <f t="shared" si="67"/>
        <v>0</v>
      </c>
      <c r="AT182" s="360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 t="s">
        <v>265</v>
      </c>
      <c r="N183" s="113">
        <f t="shared" si="64"/>
        <v>4518</v>
      </c>
      <c r="O183" s="581"/>
      <c r="P183" s="576"/>
      <c r="Q183" s="325"/>
      <c r="R183" s="324"/>
      <c r="S183" s="583">
        <f>+IF(ABS(+O183+Q183)&gt;=ABS(P183+R183),+O183-P183+Q183-R183,0)</f>
        <v>0</v>
      </c>
      <c r="T183" s="580">
        <f t="shared" si="93"/>
        <v>0</v>
      </c>
      <c r="U183" s="51"/>
      <c r="V183" s="541">
        <f>+'NF-KSF-TRIAL-BAL-2021'!O183+'RA-TRIAL-BAL-2021'!O183+'DES-TRIAL-BAL-2021'!O183+'DMP-TRIAL-BAL-2021'!O183</f>
        <v>0</v>
      </c>
      <c r="W183" s="529">
        <f>+'NF-KSF-TRIAL-BAL-2021'!P183+'RA-TRIAL-BAL-2021'!P183+'DES-TRIAL-BAL-2021'!P183+'DMP-TRIAL-BAL-2021'!P183</f>
        <v>0</v>
      </c>
      <c r="X183" s="587">
        <f>+'NF-KSF-TRIAL-BAL-2021'!Q183+'RA-TRIAL-BAL-2021'!Q183+'DES-TRIAL-BAL-2021'!Q183+'DMP-TRIAL-BAL-2021'!Q183</f>
        <v>0</v>
      </c>
      <c r="Y183" s="586">
        <f>+'NF-KSF-TRIAL-BAL-2021'!R183+'RA-TRIAL-BAL-2021'!R183+'DES-TRIAL-BAL-2021'!R183+'DMP-TRIAL-BAL-2021'!R183</f>
        <v>0</v>
      </c>
      <c r="Z183" s="587">
        <f>+'NF-KSF-TRIAL-BAL-2021'!S183+'RA-TRIAL-BAL-2021'!S183+'DES-TRIAL-BAL-2021'!S183+'DMP-TRIAL-BAL-2021'!S183</f>
        <v>0</v>
      </c>
      <c r="AA183" s="588">
        <f>+'NF-KSF-TRIAL-BAL-2021'!T183+'RA-TRIAL-BAL-2021'!T183+'DES-TRIAL-BAL-2021'!T183+'DMP-TRIAL-BAL-2021'!T183</f>
        <v>0</v>
      </c>
      <c r="AB183" s="51"/>
      <c r="AC183" s="581"/>
      <c r="AD183" s="576"/>
      <c r="AE183" s="122"/>
      <c r="AF183" s="121"/>
      <c r="AG183" s="583">
        <f t="shared" si="94"/>
        <v>0</v>
      </c>
      <c r="AH183" s="580">
        <f t="shared" si="95"/>
        <v>0</v>
      </c>
      <c r="AI183" s="51"/>
      <c r="AJ183" s="1497">
        <f t="shared" si="70"/>
        <v>4518</v>
      </c>
      <c r="AK183" s="951">
        <f t="shared" si="96"/>
        <v>0</v>
      </c>
      <c r="AL183" s="970">
        <f t="shared" si="97"/>
        <v>0</v>
      </c>
      <c r="AM183" s="326">
        <f t="shared" si="100"/>
        <v>0</v>
      </c>
      <c r="AN183" s="970">
        <f t="shared" si="100"/>
        <v>0</v>
      </c>
      <c r="AO183" s="326">
        <f t="shared" si="98"/>
        <v>0</v>
      </c>
      <c r="AP183" s="28">
        <f t="shared" si="92"/>
        <v>0</v>
      </c>
      <c r="AQ183" s="43"/>
      <c r="AR183" s="358">
        <f t="shared" si="66"/>
        <v>0</v>
      </c>
      <c r="AS183" s="359">
        <f t="shared" si="67"/>
        <v>0</v>
      </c>
      <c r="AT183" s="360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 t="s">
        <v>265</v>
      </c>
      <c r="N184" s="113">
        <f t="shared" si="64"/>
        <v>4520</v>
      </c>
      <c r="O184" s="575">
        <v>0</v>
      </c>
      <c r="P184" s="576"/>
      <c r="Q184" s="325">
        <v>14109.34</v>
      </c>
      <c r="R184" s="324">
        <v>14109.34</v>
      </c>
      <c r="S184" s="579">
        <v>0</v>
      </c>
      <c r="T184" s="580">
        <f>+IF(ABS(+O184+Q184)&lt;=ABS(P184+R184),-O184+P184-Q184+R184,0)</f>
        <v>0</v>
      </c>
      <c r="U184" s="51"/>
      <c r="V184" s="541">
        <f>+'NF-KSF-TRIAL-BAL-2021'!O184+'RA-TRIAL-BAL-2021'!O184+'DES-TRIAL-BAL-2021'!O184+'DMP-TRIAL-BAL-2021'!O184</f>
        <v>0</v>
      </c>
      <c r="W184" s="529">
        <f>+'NF-KSF-TRIAL-BAL-2021'!P184+'RA-TRIAL-BAL-2021'!P184+'DES-TRIAL-BAL-2021'!P184+'DMP-TRIAL-BAL-2021'!P184</f>
        <v>0</v>
      </c>
      <c r="X184" s="587">
        <f>+'NF-KSF-TRIAL-BAL-2021'!Q184+'RA-TRIAL-BAL-2021'!Q184+'DES-TRIAL-BAL-2021'!Q184+'DMP-TRIAL-BAL-2021'!Q184</f>
        <v>0</v>
      </c>
      <c r="Y184" s="586">
        <f>+'NF-KSF-TRIAL-BAL-2021'!R184+'RA-TRIAL-BAL-2021'!R184+'DES-TRIAL-BAL-2021'!R184+'DMP-TRIAL-BAL-2021'!R184</f>
        <v>0</v>
      </c>
      <c r="Z184" s="587">
        <f>+'NF-KSF-TRIAL-BAL-2021'!S184+'RA-TRIAL-BAL-2021'!S184+'DES-TRIAL-BAL-2021'!S184+'DMP-TRIAL-BAL-2021'!S184</f>
        <v>0</v>
      </c>
      <c r="AA184" s="588">
        <f>+'NF-KSF-TRIAL-BAL-2021'!T184+'RA-TRIAL-BAL-2021'!T184+'DES-TRIAL-BAL-2021'!T184+'DMP-TRIAL-BAL-2021'!T184</f>
        <v>0</v>
      </c>
      <c r="AB184" s="51"/>
      <c r="AC184" s="575">
        <v>0</v>
      </c>
      <c r="AD184" s="576"/>
      <c r="AE184" s="325"/>
      <c r="AF184" s="324"/>
      <c r="AG184" s="579">
        <v>0</v>
      </c>
      <c r="AH184" s="580">
        <f>+IF(ABS(+AC184+AE184)&lt;=ABS(AD184+AF184),-AC184+AD184-AE184+AF184,0)</f>
        <v>0</v>
      </c>
      <c r="AI184" s="51"/>
      <c r="AJ184" s="1497">
        <f>+N184</f>
        <v>4520</v>
      </c>
      <c r="AK184" s="8">
        <v>0</v>
      </c>
      <c r="AL184" s="970">
        <f>+ROUND(+P184+W184+AD184,2)</f>
        <v>0</v>
      </c>
      <c r="AM184" s="326">
        <f t="shared" si="100"/>
        <v>14109.34</v>
      </c>
      <c r="AN184" s="970">
        <f t="shared" si="100"/>
        <v>14109.34</v>
      </c>
      <c r="AO184" s="29">
        <v>0</v>
      </c>
      <c r="AP184" s="28">
        <f t="shared" si="92"/>
        <v>0</v>
      </c>
      <c r="AQ184" s="43"/>
      <c r="AR184" s="358">
        <f>+ROUND(+SUM(AK184-AL184)-SUM(O184-P184)-SUM(V184-W184)-SUM(AC184-AD184),2)</f>
        <v>0</v>
      </c>
      <c r="AS184" s="359">
        <f>+ROUND(+SUM(AM184-AN184)-SUM(Q184-R184)-SUM(X184-Y184)-SUM(AE184-AF184),2)</f>
        <v>0</v>
      </c>
      <c r="AT184" s="360">
        <f>+ROUND(+SUM(AO184-AP184)-SUM(S184-T184)-SUM(Z184-AA184)-SUM(AG184-AH184),2)</f>
        <v>0</v>
      </c>
      <c r="AU184" s="43"/>
      <c r="AV184" s="2119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119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25"/>
      <c r="R185" s="324"/>
      <c r="S185" s="27">
        <f>+IF(ABS(+O185+Q185)&gt;=ABS(P185+R185),+O185-P185+Q185-R185,0)</f>
        <v>0</v>
      </c>
      <c r="T185" s="30">
        <v>0</v>
      </c>
      <c r="U185" s="51"/>
      <c r="V185" s="541">
        <f>+'NF-KSF-TRIAL-BAL-2021'!O185+'RA-TRIAL-BAL-2021'!O185+'DES-TRIAL-BAL-2021'!O185+'DMP-TRIAL-BAL-2021'!O185</f>
        <v>0</v>
      </c>
      <c r="W185" s="529">
        <f>+'NF-KSF-TRIAL-BAL-2021'!P185+'RA-TRIAL-BAL-2021'!P185+'DES-TRIAL-BAL-2021'!P185+'DMP-TRIAL-BAL-2021'!P185</f>
        <v>0</v>
      </c>
      <c r="X185" s="528">
        <f>+'NF-KSF-TRIAL-BAL-2021'!Q185+'RA-TRIAL-BAL-2021'!Q185+'DES-TRIAL-BAL-2021'!Q185+'DMP-TRIAL-BAL-2021'!Q185</f>
        <v>0</v>
      </c>
      <c r="Y185" s="529">
        <f>+'NF-KSF-TRIAL-BAL-2021'!R185+'RA-TRIAL-BAL-2021'!R185+'DES-TRIAL-BAL-2021'!R185+'DMP-TRIAL-BAL-2021'!R185</f>
        <v>0</v>
      </c>
      <c r="Z185" s="528">
        <f>+'NF-KSF-TRIAL-BAL-2021'!S185+'RA-TRIAL-BAL-2021'!S185+'DES-TRIAL-BAL-2021'!S185+'DMP-TRIAL-BAL-2021'!S185</f>
        <v>0</v>
      </c>
      <c r="AA185" s="347">
        <f>+'NF-KSF-TRIAL-BAL-2021'!T185+'RA-TRIAL-BAL-2021'!T185+'DES-TRIAL-BAL-2021'!T185+'DMP-TRIAL-BAL-2021'!T185</f>
        <v>0</v>
      </c>
      <c r="AB185" s="51"/>
      <c r="AC185" s="120"/>
      <c r="AD185" s="9">
        <v>0</v>
      </c>
      <c r="AE185" s="325"/>
      <c r="AF185" s="324"/>
      <c r="AG185" s="27">
        <f>+IF(ABS(+AC185+AE185)&gt;=ABS(AD185+AF185),+AC185-AD185+AE185-AF185,0)</f>
        <v>0</v>
      </c>
      <c r="AH185" s="30">
        <v>0</v>
      </c>
      <c r="AI185" s="51"/>
      <c r="AJ185" s="1497">
        <f t="shared" si="70"/>
        <v>4522</v>
      </c>
      <c r="AK185" s="951">
        <f>+ROUND(+O185+V185+AC185,2)</f>
        <v>0</v>
      </c>
      <c r="AL185" s="9">
        <v>0</v>
      </c>
      <c r="AM185" s="326">
        <f t="shared" si="100"/>
        <v>0</v>
      </c>
      <c r="AN185" s="970">
        <f t="shared" si="100"/>
        <v>0</v>
      </c>
      <c r="AO185" s="326">
        <f>+S185+Z185+AG185</f>
        <v>0</v>
      </c>
      <c r="AP185" s="30">
        <v>0</v>
      </c>
      <c r="AQ185" s="43"/>
      <c r="AR185" s="358">
        <f t="shared" si="66"/>
        <v>0</v>
      </c>
      <c r="AS185" s="359">
        <f t="shared" si="67"/>
        <v>0</v>
      </c>
      <c r="AT185" s="360">
        <f t="shared" si="68"/>
        <v>0</v>
      </c>
      <c r="AU185" s="43"/>
      <c r="AV185" s="2120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120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 t="s">
        <v>265</v>
      </c>
      <c r="N186" s="113">
        <f t="shared" si="64"/>
        <v>4523</v>
      </c>
      <c r="O186" s="575">
        <v>0</v>
      </c>
      <c r="P186" s="576"/>
      <c r="Q186" s="325"/>
      <c r="R186" s="324"/>
      <c r="S186" s="579">
        <v>0</v>
      </c>
      <c r="T186" s="580">
        <f>+IF(ABS(+O186+Q186)&lt;=ABS(P186+R186),-O186+P186-Q186+R186,0)</f>
        <v>0</v>
      </c>
      <c r="U186" s="51"/>
      <c r="V186" s="541">
        <f>+'NF-KSF-TRIAL-BAL-2021'!O186+'RA-TRIAL-BAL-2021'!O186+'DES-TRIAL-BAL-2021'!O186+'DMP-TRIAL-BAL-2021'!O186</f>
        <v>0</v>
      </c>
      <c r="W186" s="529">
        <f>+'NF-KSF-TRIAL-BAL-2021'!P186+'RA-TRIAL-BAL-2021'!P186+'DES-TRIAL-BAL-2021'!P186+'DMP-TRIAL-BAL-2021'!P186</f>
        <v>1073833.4300000002</v>
      </c>
      <c r="X186" s="587">
        <f>+'NF-KSF-TRIAL-BAL-2021'!Q186+'RA-TRIAL-BAL-2021'!Q186+'DES-TRIAL-BAL-2021'!Q186+'DMP-TRIAL-BAL-2021'!Q186</f>
        <v>4336181.38</v>
      </c>
      <c r="Y186" s="586">
        <f>+'NF-KSF-TRIAL-BAL-2021'!R186+'RA-TRIAL-BAL-2021'!R186+'DES-TRIAL-BAL-2021'!R186+'DMP-TRIAL-BAL-2021'!R186</f>
        <v>4350960.88</v>
      </c>
      <c r="Z186" s="587">
        <f>+'NF-KSF-TRIAL-BAL-2021'!S186+'RA-TRIAL-BAL-2021'!S186+'DES-TRIAL-BAL-2021'!S186+'DMP-TRIAL-BAL-2021'!S186</f>
        <v>0</v>
      </c>
      <c r="AA186" s="588">
        <f>+'NF-KSF-TRIAL-BAL-2021'!T186+'RA-TRIAL-BAL-2021'!T186+'DES-TRIAL-BAL-2021'!T186+'DMP-TRIAL-BAL-2021'!T186</f>
        <v>1088612.93</v>
      </c>
      <c r="AB186" s="51"/>
      <c r="AC186" s="575">
        <v>0</v>
      </c>
      <c r="AD186" s="576"/>
      <c r="AE186" s="122"/>
      <c r="AF186" s="324"/>
      <c r="AG186" s="579">
        <v>0</v>
      </c>
      <c r="AH186" s="580">
        <f>+IF(ABS(+AC186+AE186)&lt;=ABS(AD186+AF186),-AC186+AD186-AE186+AF186,0)</f>
        <v>0</v>
      </c>
      <c r="AI186" s="51"/>
      <c r="AJ186" s="1497">
        <f t="shared" si="70"/>
        <v>4523</v>
      </c>
      <c r="AK186" s="8">
        <v>0</v>
      </c>
      <c r="AL186" s="970">
        <f>+ROUND(+P186+W186+AD186,2)</f>
        <v>1073833.43</v>
      </c>
      <c r="AM186" s="326">
        <f t="shared" si="100"/>
        <v>4336181.38</v>
      </c>
      <c r="AN186" s="970">
        <f t="shared" si="100"/>
        <v>4350960.88</v>
      </c>
      <c r="AO186" s="29">
        <v>0</v>
      </c>
      <c r="AP186" s="28">
        <f>+T186+AA186+AH186</f>
        <v>1088612.93</v>
      </c>
      <c r="AQ186" s="43"/>
      <c r="AR186" s="358">
        <f t="shared" si="66"/>
        <v>0</v>
      </c>
      <c r="AS186" s="359">
        <f t="shared" si="67"/>
        <v>0</v>
      </c>
      <c r="AT186" s="360">
        <f t="shared" si="68"/>
        <v>0</v>
      </c>
      <c r="AU186" s="43"/>
      <c r="AV186" s="2119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119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 t="s">
        <v>265</v>
      </c>
      <c r="N187" s="113">
        <f t="shared" si="64"/>
        <v>4544</v>
      </c>
      <c r="O187" s="575">
        <v>0</v>
      </c>
      <c r="P187" s="576"/>
      <c r="Q187" s="325">
        <v>2686.13</v>
      </c>
      <c r="R187" s="324">
        <v>2686.13</v>
      </c>
      <c r="S187" s="579">
        <v>0</v>
      </c>
      <c r="T187" s="580">
        <f>+IF(ABS(+O187+Q187)&lt;=ABS(P187+R187),-O187+P187-Q187+R187,0)</f>
        <v>0</v>
      </c>
      <c r="U187" s="51"/>
      <c r="V187" s="541">
        <f>+'NF-KSF-TRIAL-BAL-2021'!O187+'RA-TRIAL-BAL-2021'!O187+'DES-TRIAL-BAL-2021'!O187+'DMP-TRIAL-BAL-2021'!O187</f>
        <v>0</v>
      </c>
      <c r="W187" s="529">
        <f>+'NF-KSF-TRIAL-BAL-2021'!P187+'RA-TRIAL-BAL-2021'!P187+'DES-TRIAL-BAL-2021'!P187+'DMP-TRIAL-BAL-2021'!P187</f>
        <v>0</v>
      </c>
      <c r="X187" s="528">
        <f>+'NF-KSF-TRIAL-BAL-2021'!Q187+'RA-TRIAL-BAL-2021'!Q187+'DES-TRIAL-BAL-2021'!Q187+'DMP-TRIAL-BAL-2021'!Q187</f>
        <v>0</v>
      </c>
      <c r="Y187" s="529">
        <f>+'NF-KSF-TRIAL-BAL-2021'!R187+'RA-TRIAL-BAL-2021'!R187+'DES-TRIAL-BAL-2021'!R187+'DMP-TRIAL-BAL-2021'!R187</f>
        <v>0</v>
      </c>
      <c r="Z187" s="528">
        <f>+'NF-KSF-TRIAL-BAL-2021'!S187+'RA-TRIAL-BAL-2021'!S187+'DES-TRIAL-BAL-2021'!S187+'DMP-TRIAL-BAL-2021'!S187</f>
        <v>0</v>
      </c>
      <c r="AA187" s="347">
        <f>+'NF-KSF-TRIAL-BAL-2021'!T187+'RA-TRIAL-BAL-2021'!T187+'DES-TRIAL-BAL-2021'!T187+'DMP-TRIAL-BAL-2021'!T187</f>
        <v>0</v>
      </c>
      <c r="AB187" s="51"/>
      <c r="AC187" s="575">
        <v>0</v>
      </c>
      <c r="AD187" s="576"/>
      <c r="AE187" s="325"/>
      <c r="AF187" s="324"/>
      <c r="AG187" s="579">
        <v>0</v>
      </c>
      <c r="AH187" s="580">
        <f>+IF(ABS(+AC187+AE187)&lt;=ABS(AD187+AF187),-AC187+AD187-AE187+AF187,0)</f>
        <v>0</v>
      </c>
      <c r="AI187" s="51"/>
      <c r="AJ187" s="1497">
        <f>+N187</f>
        <v>4544</v>
      </c>
      <c r="AK187" s="8">
        <v>0</v>
      </c>
      <c r="AL187" s="970">
        <f>+ROUND(+P187+W187+AD187,2)</f>
        <v>0</v>
      </c>
      <c r="AM187" s="326">
        <f>+ROUND(+Q187+X187+AE187,2)</f>
        <v>2686.13</v>
      </c>
      <c r="AN187" s="970">
        <f>+ROUND(+R187+Y187+AF187,2)</f>
        <v>2686.13</v>
      </c>
      <c r="AO187" s="29">
        <v>0</v>
      </c>
      <c r="AP187" s="28">
        <f>+T187+AA187+AH187</f>
        <v>0</v>
      </c>
      <c r="AQ187" s="43"/>
      <c r="AR187" s="358">
        <f t="shared" si="66"/>
        <v>0</v>
      </c>
      <c r="AS187" s="359">
        <f t="shared" si="67"/>
        <v>0</v>
      </c>
      <c r="AT187" s="360">
        <f t="shared" si="68"/>
        <v>0</v>
      </c>
      <c r="AU187" s="43"/>
      <c r="AV187" s="2119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119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 t="s">
        <v>265</v>
      </c>
      <c r="N188" s="113">
        <f t="shared" si="64"/>
        <v>4545</v>
      </c>
      <c r="O188" s="581"/>
      <c r="P188" s="582">
        <v>0</v>
      </c>
      <c r="Q188" s="325"/>
      <c r="R188" s="324"/>
      <c r="S188" s="583">
        <f>+IF(ABS(+O188+Q188)&gt;=ABS(P188+R188),+O188-P188+Q188-R188,0)</f>
        <v>0</v>
      </c>
      <c r="T188" s="584">
        <v>0</v>
      </c>
      <c r="U188" s="51"/>
      <c r="V188" s="541">
        <f>+'NF-KSF-TRIAL-BAL-2021'!O188+'RA-TRIAL-BAL-2021'!O188+'DES-TRIAL-BAL-2021'!O188+'DMP-TRIAL-BAL-2021'!O188</f>
        <v>0</v>
      </c>
      <c r="W188" s="529">
        <f>+'NF-KSF-TRIAL-BAL-2021'!P188+'RA-TRIAL-BAL-2021'!P188+'DES-TRIAL-BAL-2021'!P188+'DMP-TRIAL-BAL-2021'!P188</f>
        <v>0</v>
      </c>
      <c r="X188" s="587">
        <f>+'NF-KSF-TRIAL-BAL-2021'!Q188+'RA-TRIAL-BAL-2021'!Q188+'DES-TRIAL-BAL-2021'!Q188+'DMP-TRIAL-BAL-2021'!Q188</f>
        <v>0</v>
      </c>
      <c r="Y188" s="586">
        <f>+'NF-KSF-TRIAL-BAL-2021'!R188+'RA-TRIAL-BAL-2021'!R188+'DES-TRIAL-BAL-2021'!R188+'DMP-TRIAL-BAL-2021'!R188</f>
        <v>0</v>
      </c>
      <c r="Z188" s="587">
        <f>+'NF-KSF-TRIAL-BAL-2021'!S188+'RA-TRIAL-BAL-2021'!S188+'DES-TRIAL-BAL-2021'!S188+'DMP-TRIAL-BAL-2021'!S188</f>
        <v>0</v>
      </c>
      <c r="AA188" s="588">
        <f>+'NF-KSF-TRIAL-BAL-2021'!T188+'RA-TRIAL-BAL-2021'!T188+'DES-TRIAL-BAL-2021'!T188+'DMP-TRIAL-BAL-2021'!T188</f>
        <v>0</v>
      </c>
      <c r="AB188" s="51"/>
      <c r="AC188" s="581"/>
      <c r="AD188" s="582">
        <v>0</v>
      </c>
      <c r="AE188" s="325"/>
      <c r="AF188" s="324"/>
      <c r="AG188" s="583">
        <f>+IF(ABS(+AC188+AE188)&gt;=ABS(AD188+AF188),+AC188-AD188+AE188-AF188,0)</f>
        <v>0</v>
      </c>
      <c r="AH188" s="584">
        <v>0</v>
      </c>
      <c r="AI188" s="51"/>
      <c r="AJ188" s="1497">
        <f>+N188</f>
        <v>4545</v>
      </c>
      <c r="AK188" s="951">
        <f>+ROUND(+O188+V188+AC188,2)</f>
        <v>0</v>
      </c>
      <c r="AL188" s="9">
        <v>0</v>
      </c>
      <c r="AM188" s="326">
        <f t="shared" ref="AM188:AN190" si="101">+ROUND(+Q188+X188+AE188,2)</f>
        <v>0</v>
      </c>
      <c r="AN188" s="970">
        <f t="shared" si="101"/>
        <v>0</v>
      </c>
      <c r="AO188" s="326">
        <f>+S188+Z188+AG188</f>
        <v>0</v>
      </c>
      <c r="AP188" s="30">
        <v>0</v>
      </c>
      <c r="AQ188" s="43"/>
      <c r="AR188" s="358">
        <f>+ROUND(+SUM(AK188-AL188)-SUM(O188-P188)-SUM(V188-W188)-SUM(AC188-AD188),2)</f>
        <v>0</v>
      </c>
      <c r="AS188" s="359">
        <f>+ROUND(+SUM(AM188-AN188)-SUM(Q188-R188)-SUM(X188-Y188)-SUM(AE188-AF188),2)</f>
        <v>0</v>
      </c>
      <c r="AT188" s="360">
        <f>+ROUND(+SUM(AO188-AP188)-SUM(S188-T188)-SUM(Z188-AA188)-SUM(AG188-AH188),2)</f>
        <v>0</v>
      </c>
      <c r="AU188" s="43"/>
      <c r="AV188" s="2120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120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 t="s">
        <v>265</v>
      </c>
      <c r="N189" s="113">
        <f t="shared" si="64"/>
        <v>4547</v>
      </c>
      <c r="O189" s="581"/>
      <c r="P189" s="582">
        <v>0</v>
      </c>
      <c r="Q189" s="325"/>
      <c r="R189" s="324"/>
      <c r="S189" s="583">
        <f>+IF(ABS(+O189+Q189)&gt;=ABS(P189+R189),+O189-P189+Q189-R189,0)</f>
        <v>0</v>
      </c>
      <c r="T189" s="584">
        <v>0</v>
      </c>
      <c r="U189" s="51"/>
      <c r="V189" s="541">
        <f>+'NF-KSF-TRIAL-BAL-2021'!O189+'RA-TRIAL-BAL-2021'!O189+'DES-TRIAL-BAL-2021'!O189+'DMP-TRIAL-BAL-2021'!O189</f>
        <v>0</v>
      </c>
      <c r="W189" s="529">
        <f>+'NF-KSF-TRIAL-BAL-2021'!P189+'RA-TRIAL-BAL-2021'!P189+'DES-TRIAL-BAL-2021'!P189+'DMP-TRIAL-BAL-2021'!P189</f>
        <v>0</v>
      </c>
      <c r="X189" s="587">
        <f>+'NF-KSF-TRIAL-BAL-2021'!Q189+'RA-TRIAL-BAL-2021'!Q189+'DES-TRIAL-BAL-2021'!Q189+'DMP-TRIAL-BAL-2021'!Q189</f>
        <v>0</v>
      </c>
      <c r="Y189" s="586">
        <f>+'NF-KSF-TRIAL-BAL-2021'!R189+'RA-TRIAL-BAL-2021'!R189+'DES-TRIAL-BAL-2021'!R189+'DMP-TRIAL-BAL-2021'!R189</f>
        <v>0</v>
      </c>
      <c r="Z189" s="587">
        <f>+'NF-KSF-TRIAL-BAL-2021'!S189+'RA-TRIAL-BAL-2021'!S189+'DES-TRIAL-BAL-2021'!S189+'DMP-TRIAL-BAL-2021'!S189</f>
        <v>0</v>
      </c>
      <c r="AA189" s="588">
        <f>+'NF-KSF-TRIAL-BAL-2021'!T189+'RA-TRIAL-BAL-2021'!T189+'DES-TRIAL-BAL-2021'!T189+'DMP-TRIAL-BAL-2021'!T189</f>
        <v>0</v>
      </c>
      <c r="AB189" s="51"/>
      <c r="AC189" s="581"/>
      <c r="AD189" s="582">
        <v>0</v>
      </c>
      <c r="AE189" s="325"/>
      <c r="AF189" s="324"/>
      <c r="AG189" s="583">
        <f>+IF(ABS(+AC189+AE189)&gt;=ABS(AD189+AF189),+AC189-AD189+AE189-AF189,0)</f>
        <v>0</v>
      </c>
      <c r="AH189" s="584">
        <v>0</v>
      </c>
      <c r="AI189" s="51"/>
      <c r="AJ189" s="1497">
        <f>+N189</f>
        <v>4547</v>
      </c>
      <c r="AK189" s="951">
        <f>+ROUND(+O189+V189+AC189,2)</f>
        <v>0</v>
      </c>
      <c r="AL189" s="9">
        <v>0</v>
      </c>
      <c r="AM189" s="326">
        <f t="shared" si="101"/>
        <v>0</v>
      </c>
      <c r="AN189" s="970">
        <f t="shared" si="101"/>
        <v>0</v>
      </c>
      <c r="AO189" s="326">
        <f>+S189+Z189+AG189</f>
        <v>0</v>
      </c>
      <c r="AP189" s="30">
        <v>0</v>
      </c>
      <c r="AQ189" s="43"/>
      <c r="AR189" s="358">
        <f>+ROUND(+SUM(AK189-AL189)-SUM(O189-P189)-SUM(V189-W189)-SUM(AC189-AD189),2)</f>
        <v>0</v>
      </c>
      <c r="AS189" s="359">
        <f>+ROUND(+SUM(AM189-AN189)-SUM(Q189-R189)-SUM(X189-Y189)-SUM(AE189-AF189),2)</f>
        <v>0</v>
      </c>
      <c r="AT189" s="360">
        <f>+ROUND(+SUM(AO189-AP189)-SUM(S189-T189)-SUM(Z189-AA189)-SUM(AG189-AH189),2)</f>
        <v>0</v>
      </c>
      <c r="AU189" s="43"/>
      <c r="AV189" s="2120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120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25"/>
      <c r="R190" s="324"/>
      <c r="S190" s="29">
        <v>0</v>
      </c>
      <c r="T190" s="28">
        <f>+IF(ABS(+O190+Q190)&lt;=ABS(P190+R190),-O190+P190-Q190+R190,0)</f>
        <v>0</v>
      </c>
      <c r="U190" s="51"/>
      <c r="V190" s="541">
        <f>+'NF-KSF-TRIAL-BAL-2021'!O190+'RA-TRIAL-BAL-2021'!O190+'DES-TRIAL-BAL-2021'!O190+'DMP-TRIAL-BAL-2021'!O190</f>
        <v>0</v>
      </c>
      <c r="W190" s="529">
        <f>+'NF-KSF-TRIAL-BAL-2021'!P190+'RA-TRIAL-BAL-2021'!P190+'DES-TRIAL-BAL-2021'!P190+'DMP-TRIAL-BAL-2021'!P190</f>
        <v>0</v>
      </c>
      <c r="X190" s="528">
        <f>+'NF-KSF-TRIAL-BAL-2021'!Q190+'RA-TRIAL-BAL-2021'!Q190+'DES-TRIAL-BAL-2021'!Q190+'DMP-TRIAL-BAL-2021'!Q190</f>
        <v>0</v>
      </c>
      <c r="Y190" s="529">
        <f>+'NF-KSF-TRIAL-BAL-2021'!R190+'RA-TRIAL-BAL-2021'!R190+'DES-TRIAL-BAL-2021'!R190+'DMP-TRIAL-BAL-2021'!R190</f>
        <v>0</v>
      </c>
      <c r="Z190" s="528">
        <f>+'NF-KSF-TRIAL-BAL-2021'!S190+'RA-TRIAL-BAL-2021'!S190+'DES-TRIAL-BAL-2021'!S190+'DMP-TRIAL-BAL-2021'!S190</f>
        <v>0</v>
      </c>
      <c r="AA190" s="347">
        <f>+'NF-KSF-TRIAL-BAL-2021'!T190+'RA-TRIAL-BAL-2021'!T190+'DES-TRIAL-BAL-2021'!T190+'DMP-TRIAL-BAL-2021'!T190</f>
        <v>0</v>
      </c>
      <c r="AB190" s="51"/>
      <c r="AC190" s="8">
        <v>0</v>
      </c>
      <c r="AD190" s="121"/>
      <c r="AE190" s="122"/>
      <c r="AF190" s="324"/>
      <c r="AG190" s="29">
        <v>0</v>
      </c>
      <c r="AH190" s="28">
        <f>+IF(ABS(+AC190+AE190)&lt;=ABS(AD190+AF190),-AC190+AD190-AE190+AF190,0)</f>
        <v>0</v>
      </c>
      <c r="AI190" s="51"/>
      <c r="AJ190" s="1497">
        <f>+N190</f>
        <v>4548</v>
      </c>
      <c r="AK190" s="8">
        <v>0</v>
      </c>
      <c r="AL190" s="970">
        <f t="shared" ref="AL190:AL195" si="102">+ROUND(+P190+W190+AD190,2)</f>
        <v>0</v>
      </c>
      <c r="AM190" s="326">
        <f t="shared" si="101"/>
        <v>0</v>
      </c>
      <c r="AN190" s="970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58">
        <f t="shared" si="66"/>
        <v>0</v>
      </c>
      <c r="AS190" s="359">
        <f t="shared" si="67"/>
        <v>0</v>
      </c>
      <c r="AT190" s="360">
        <f t="shared" si="68"/>
        <v>0</v>
      </c>
      <c r="AU190" s="43"/>
      <c r="AV190" s="2119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119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64"/>
        <v>4555</v>
      </c>
      <c r="O191" s="120">
        <v>0</v>
      </c>
      <c r="P191" s="121">
        <v>28727.03</v>
      </c>
      <c r="Q191" s="325">
        <v>1097790.51</v>
      </c>
      <c r="R191" s="324">
        <v>1102606.93</v>
      </c>
      <c r="S191" s="27">
        <f>+IF(ABS(+O191+Q191)&gt;=ABS(P191+R191),+O191-P191+Q191-R191,0)</f>
        <v>0</v>
      </c>
      <c r="T191" s="28">
        <f t="shared" si="93"/>
        <v>33543.449999999953</v>
      </c>
      <c r="U191" s="51"/>
      <c r="V191" s="541">
        <f>+'NF-KSF-TRIAL-BAL-2021'!O191+'RA-TRIAL-BAL-2021'!O191+'DES-TRIAL-BAL-2021'!O191+'DMP-TRIAL-BAL-2021'!O191</f>
        <v>0</v>
      </c>
      <c r="W191" s="529">
        <f>+'NF-KSF-TRIAL-BAL-2021'!P191+'RA-TRIAL-BAL-2021'!P191+'DES-TRIAL-BAL-2021'!P191+'DMP-TRIAL-BAL-2021'!P191</f>
        <v>12344.68</v>
      </c>
      <c r="X191" s="528">
        <f>+'NF-KSF-TRIAL-BAL-2021'!Q191+'RA-TRIAL-BAL-2021'!Q191+'DES-TRIAL-BAL-2021'!Q191+'DMP-TRIAL-BAL-2021'!Q191</f>
        <v>65099.79</v>
      </c>
      <c r="Y191" s="529">
        <f>+'NF-KSF-TRIAL-BAL-2021'!R191+'RA-TRIAL-BAL-2021'!R191+'DES-TRIAL-BAL-2021'!R191+'DMP-TRIAL-BAL-2021'!R191</f>
        <v>56237.37</v>
      </c>
      <c r="Z191" s="528">
        <f>+'NF-KSF-TRIAL-BAL-2021'!S191+'RA-TRIAL-BAL-2021'!S191+'DES-TRIAL-BAL-2021'!S191+'DMP-TRIAL-BAL-2021'!S191</f>
        <v>0</v>
      </c>
      <c r="AA191" s="347">
        <f>+'NF-KSF-TRIAL-BAL-2021'!T191+'RA-TRIAL-BAL-2021'!T191+'DES-TRIAL-BAL-2021'!T191+'DMP-TRIAL-BAL-2021'!T191</f>
        <v>3482.260000000002</v>
      </c>
      <c r="AB191" s="51"/>
      <c r="AC191" s="120"/>
      <c r="AD191" s="121"/>
      <c r="AE191" s="325"/>
      <c r="AF191" s="324"/>
      <c r="AG191" s="27">
        <f t="shared" si="94"/>
        <v>0</v>
      </c>
      <c r="AH191" s="28">
        <f t="shared" si="95"/>
        <v>0</v>
      </c>
      <c r="AI191" s="51"/>
      <c r="AJ191" s="1497">
        <f t="shared" si="70"/>
        <v>4555</v>
      </c>
      <c r="AK191" s="951">
        <f>+ROUND(+O191+V191+AC191,2)</f>
        <v>0</v>
      </c>
      <c r="AL191" s="970">
        <f t="shared" si="102"/>
        <v>41071.71</v>
      </c>
      <c r="AM191" s="326">
        <f t="shared" ref="AM191:AN194" si="104">+ROUND(+Q191+X191+AE191,2)</f>
        <v>1162890.3</v>
      </c>
      <c r="AN191" s="970">
        <f t="shared" si="104"/>
        <v>1158844.3</v>
      </c>
      <c r="AO191" s="326">
        <f>+S191+Z191+AG191</f>
        <v>0</v>
      </c>
      <c r="AP191" s="28">
        <f t="shared" si="103"/>
        <v>37025.709999999955</v>
      </c>
      <c r="AQ191" s="43"/>
      <c r="AR191" s="358">
        <f t="shared" si="66"/>
        <v>0</v>
      </c>
      <c r="AS191" s="359">
        <f t="shared" si="67"/>
        <v>0</v>
      </c>
      <c r="AT191" s="360">
        <f t="shared" si="68"/>
        <v>0</v>
      </c>
      <c r="AU191" s="43"/>
      <c r="AV191" s="2120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 t="s">
        <v>265</v>
      </c>
      <c r="N192" s="113">
        <f t="shared" si="64"/>
        <v>4556</v>
      </c>
      <c r="O192" s="581">
        <v>0</v>
      </c>
      <c r="P192" s="576">
        <v>10316.57</v>
      </c>
      <c r="Q192" s="325">
        <v>396991.96</v>
      </c>
      <c r="R192" s="324">
        <v>397555.49</v>
      </c>
      <c r="S192" s="583">
        <f>+IF(ABS(+O192+Q192)&gt;=ABS(P192+R192),+O192-P192+Q192-R192,0)</f>
        <v>0</v>
      </c>
      <c r="T192" s="580">
        <f t="shared" si="93"/>
        <v>10880.099999999977</v>
      </c>
      <c r="U192" s="51"/>
      <c r="V192" s="541">
        <f>+'NF-KSF-TRIAL-BAL-2021'!O192+'RA-TRIAL-BAL-2021'!O192+'DES-TRIAL-BAL-2021'!O192+'DMP-TRIAL-BAL-2021'!O192</f>
        <v>0</v>
      </c>
      <c r="W192" s="529">
        <f>+'NF-KSF-TRIAL-BAL-2021'!P192+'RA-TRIAL-BAL-2021'!P192+'DES-TRIAL-BAL-2021'!P192+'DMP-TRIAL-BAL-2021'!P192</f>
        <v>4746.79</v>
      </c>
      <c r="X192" s="587">
        <f>+'NF-KSF-TRIAL-BAL-2021'!Q192+'RA-TRIAL-BAL-2021'!Q192+'DES-TRIAL-BAL-2021'!Q192+'DMP-TRIAL-BAL-2021'!Q192</f>
        <v>23585.200000000001</v>
      </c>
      <c r="Y192" s="586">
        <f>+'NF-KSF-TRIAL-BAL-2021'!R192+'RA-TRIAL-BAL-2021'!R192+'DES-TRIAL-BAL-2021'!R192+'DMP-TRIAL-BAL-2021'!R192</f>
        <v>20227.11</v>
      </c>
      <c r="Z192" s="587">
        <f>+'NF-KSF-TRIAL-BAL-2021'!S192+'RA-TRIAL-BAL-2021'!S192+'DES-TRIAL-BAL-2021'!S192+'DMP-TRIAL-BAL-2021'!S192</f>
        <v>0</v>
      </c>
      <c r="AA192" s="588">
        <f>+'NF-KSF-TRIAL-BAL-2021'!T192+'RA-TRIAL-BAL-2021'!T192+'DES-TRIAL-BAL-2021'!T192+'DMP-TRIAL-BAL-2021'!T192</f>
        <v>1388.7000000000007</v>
      </c>
      <c r="AB192" s="51"/>
      <c r="AC192" s="581"/>
      <c r="AD192" s="576"/>
      <c r="AE192" s="325"/>
      <c r="AF192" s="324"/>
      <c r="AG192" s="583">
        <f t="shared" si="94"/>
        <v>0</v>
      </c>
      <c r="AH192" s="580">
        <f t="shared" si="95"/>
        <v>0</v>
      </c>
      <c r="AI192" s="51"/>
      <c r="AJ192" s="1497">
        <f t="shared" si="70"/>
        <v>4556</v>
      </c>
      <c r="AK192" s="951">
        <f>+ROUND(+O192+V192+AC192,2)</f>
        <v>0</v>
      </c>
      <c r="AL192" s="970">
        <f t="shared" si="102"/>
        <v>15063.36</v>
      </c>
      <c r="AM192" s="326">
        <f t="shared" si="104"/>
        <v>420577.16</v>
      </c>
      <c r="AN192" s="970">
        <f t="shared" si="104"/>
        <v>417782.6</v>
      </c>
      <c r="AO192" s="326">
        <f>+S192+Z192+AG192</f>
        <v>0</v>
      </c>
      <c r="AP192" s="28">
        <f t="shared" si="103"/>
        <v>12268.799999999977</v>
      </c>
      <c r="AQ192" s="43"/>
      <c r="AR192" s="358">
        <f t="shared" si="66"/>
        <v>0</v>
      </c>
      <c r="AS192" s="359">
        <f t="shared" si="67"/>
        <v>0</v>
      </c>
      <c r="AT192" s="360">
        <f t="shared" si="68"/>
        <v>0</v>
      </c>
      <c r="AU192" s="43"/>
      <c r="AV192" s="2120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 t="shared" si="64"/>
        <v>4557</v>
      </c>
      <c r="O193" s="120">
        <v>0</v>
      </c>
      <c r="P193" s="121">
        <v>3721.98</v>
      </c>
      <c r="Q193" s="325">
        <v>191396.24</v>
      </c>
      <c r="R193" s="324">
        <v>194717.39</v>
      </c>
      <c r="S193" s="27">
        <f>+IF(ABS(+O193+Q193)&gt;=ABS(P193+R193),+O193-P193+Q193-R193,0)</f>
        <v>0</v>
      </c>
      <c r="T193" s="28">
        <f t="shared" si="93"/>
        <v>7043.1300000000338</v>
      </c>
      <c r="U193" s="51"/>
      <c r="V193" s="541">
        <f>+'NF-KSF-TRIAL-BAL-2021'!O193+'RA-TRIAL-BAL-2021'!O193+'DES-TRIAL-BAL-2021'!O193+'DMP-TRIAL-BAL-2021'!O193</f>
        <v>0</v>
      </c>
      <c r="W193" s="529">
        <f>+'NF-KSF-TRIAL-BAL-2021'!P193+'RA-TRIAL-BAL-2021'!P193+'DES-TRIAL-BAL-2021'!P193+'DMP-TRIAL-BAL-2021'!P193</f>
        <v>2307.84</v>
      </c>
      <c r="X193" s="528">
        <f>+'NF-KSF-TRIAL-BAL-2021'!Q193+'RA-TRIAL-BAL-2021'!Q193+'DES-TRIAL-BAL-2021'!Q193+'DMP-TRIAL-BAL-2021'!Q193</f>
        <v>11807.48</v>
      </c>
      <c r="Y193" s="529">
        <f>+'NF-KSF-TRIAL-BAL-2021'!R193+'RA-TRIAL-BAL-2021'!R193+'DES-TRIAL-BAL-2021'!R193+'DMP-TRIAL-BAL-2021'!R193</f>
        <v>10365.459999999999</v>
      </c>
      <c r="Z193" s="528">
        <f>+'NF-KSF-TRIAL-BAL-2021'!S193+'RA-TRIAL-BAL-2021'!S193+'DES-TRIAL-BAL-2021'!S193+'DMP-TRIAL-BAL-2021'!S193</f>
        <v>0</v>
      </c>
      <c r="AA193" s="347">
        <f>+'NF-KSF-TRIAL-BAL-2021'!T193+'RA-TRIAL-BAL-2021'!T193+'DES-TRIAL-BAL-2021'!T193+'DMP-TRIAL-BAL-2021'!T193</f>
        <v>865.81999999999971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97">
        <f t="shared" si="70"/>
        <v>4557</v>
      </c>
      <c r="AK193" s="951">
        <f>+ROUND(+O193+V193+AC193,2)</f>
        <v>0</v>
      </c>
      <c r="AL193" s="970">
        <f t="shared" si="102"/>
        <v>6029.82</v>
      </c>
      <c r="AM193" s="326">
        <f t="shared" si="104"/>
        <v>203203.72</v>
      </c>
      <c r="AN193" s="970">
        <f t="shared" si="104"/>
        <v>205082.85</v>
      </c>
      <c r="AO193" s="326">
        <f>+S193+Z193+AG193</f>
        <v>0</v>
      </c>
      <c r="AP193" s="28">
        <f t="shared" si="103"/>
        <v>7908.9500000000335</v>
      </c>
      <c r="AQ193" s="43"/>
      <c r="AR193" s="358">
        <f t="shared" si="66"/>
        <v>0</v>
      </c>
      <c r="AS193" s="359">
        <f t="shared" si="67"/>
        <v>0</v>
      </c>
      <c r="AT193" s="360">
        <f t="shared" si="68"/>
        <v>0</v>
      </c>
      <c r="AU193" s="43"/>
      <c r="AV193" s="2120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64"/>
        <v>4558</v>
      </c>
      <c r="O194" s="120"/>
      <c r="P194" s="121"/>
      <c r="Q194" s="325"/>
      <c r="R194" s="324"/>
      <c r="S194" s="27">
        <f>+IF(ABS(+O194+Q194)&gt;=ABS(P194+R194),+O194-P194+Q194-R194,0)</f>
        <v>0</v>
      </c>
      <c r="T194" s="28">
        <f t="shared" si="93"/>
        <v>0</v>
      </c>
      <c r="U194" s="51"/>
      <c r="V194" s="541">
        <f>+'NF-KSF-TRIAL-BAL-2021'!O194+'RA-TRIAL-BAL-2021'!O194+'DES-TRIAL-BAL-2021'!O194+'DMP-TRIAL-BAL-2021'!O194</f>
        <v>0</v>
      </c>
      <c r="W194" s="529">
        <f>+'NF-KSF-TRIAL-BAL-2021'!P194+'RA-TRIAL-BAL-2021'!P194+'DES-TRIAL-BAL-2021'!P194+'DMP-TRIAL-BAL-2021'!P194</f>
        <v>0</v>
      </c>
      <c r="X194" s="528">
        <f>+'NF-KSF-TRIAL-BAL-2021'!Q194+'RA-TRIAL-BAL-2021'!Q194+'DES-TRIAL-BAL-2021'!Q194+'DMP-TRIAL-BAL-2021'!Q194</f>
        <v>0</v>
      </c>
      <c r="Y194" s="529">
        <f>+'NF-KSF-TRIAL-BAL-2021'!R194+'RA-TRIAL-BAL-2021'!R194+'DES-TRIAL-BAL-2021'!R194+'DMP-TRIAL-BAL-2021'!R194</f>
        <v>0</v>
      </c>
      <c r="Z194" s="528">
        <f>+'NF-KSF-TRIAL-BAL-2021'!S194+'RA-TRIAL-BAL-2021'!S194+'DES-TRIAL-BAL-2021'!S194+'DMP-TRIAL-BAL-2021'!S194</f>
        <v>0</v>
      </c>
      <c r="AA194" s="347">
        <f>+'NF-KSF-TRIAL-BAL-2021'!T194+'RA-TRIAL-BAL-2021'!T194+'DES-TRIAL-BAL-2021'!T194+'DMP-TRIAL-BAL-2021'!T194</f>
        <v>0</v>
      </c>
      <c r="AB194" s="51"/>
      <c r="AC194" s="120"/>
      <c r="AD194" s="121"/>
      <c r="AE194" s="325"/>
      <c r="AF194" s="324"/>
      <c r="AG194" s="27">
        <f t="shared" si="94"/>
        <v>0</v>
      </c>
      <c r="AH194" s="28">
        <f t="shared" si="95"/>
        <v>0</v>
      </c>
      <c r="AI194" s="51"/>
      <c r="AJ194" s="1497">
        <f t="shared" si="70"/>
        <v>4558</v>
      </c>
      <c r="AK194" s="951">
        <f>+ROUND(+O194+V194+AC194,2)</f>
        <v>0</v>
      </c>
      <c r="AL194" s="970">
        <f t="shared" si="102"/>
        <v>0</v>
      </c>
      <c r="AM194" s="326">
        <f t="shared" si="104"/>
        <v>0</v>
      </c>
      <c r="AN194" s="970">
        <f t="shared" si="104"/>
        <v>0</v>
      </c>
      <c r="AO194" s="326">
        <f>+S194+Z194+AG194</f>
        <v>0</v>
      </c>
      <c r="AP194" s="28">
        <f t="shared" si="103"/>
        <v>0</v>
      </c>
      <c r="AQ194" s="43"/>
      <c r="AR194" s="358">
        <f t="shared" si="66"/>
        <v>0</v>
      </c>
      <c r="AS194" s="359">
        <f t="shared" si="67"/>
        <v>0</v>
      </c>
      <c r="AT194" s="360">
        <f t="shared" si="68"/>
        <v>0</v>
      </c>
      <c r="AU194" s="43"/>
      <c r="AV194" s="2120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 t="s">
        <v>265</v>
      </c>
      <c r="N195" s="113">
        <f t="shared" si="64"/>
        <v>4560</v>
      </c>
      <c r="O195" s="575">
        <v>0</v>
      </c>
      <c r="P195" s="576"/>
      <c r="Q195" s="325"/>
      <c r="R195" s="324"/>
      <c r="S195" s="579">
        <v>0</v>
      </c>
      <c r="T195" s="580">
        <f>+IF(ABS(+O195+Q195)&lt;=ABS(P195+R195),-O195+P195-Q195+R195,0)</f>
        <v>0</v>
      </c>
      <c r="U195" s="51"/>
      <c r="V195" s="541">
        <f>+'NF-KSF-TRIAL-BAL-2021'!O195+'RA-TRIAL-BAL-2021'!O195+'DES-TRIAL-BAL-2021'!O195+'DMP-TRIAL-BAL-2021'!O195</f>
        <v>0</v>
      </c>
      <c r="W195" s="529">
        <f>+'NF-KSF-TRIAL-BAL-2021'!P195+'RA-TRIAL-BAL-2021'!P195+'DES-TRIAL-BAL-2021'!P195+'DMP-TRIAL-BAL-2021'!P195</f>
        <v>0</v>
      </c>
      <c r="X195" s="587">
        <f>+'NF-KSF-TRIAL-BAL-2021'!Q195+'RA-TRIAL-BAL-2021'!Q195+'DES-TRIAL-BAL-2021'!Q195+'DMP-TRIAL-BAL-2021'!Q195</f>
        <v>0</v>
      </c>
      <c r="Y195" s="586">
        <f>+'NF-KSF-TRIAL-BAL-2021'!R195+'RA-TRIAL-BAL-2021'!R195+'DES-TRIAL-BAL-2021'!R195+'DMP-TRIAL-BAL-2021'!R195</f>
        <v>0</v>
      </c>
      <c r="Z195" s="587">
        <f>+'NF-KSF-TRIAL-BAL-2021'!S195+'RA-TRIAL-BAL-2021'!S195+'DES-TRIAL-BAL-2021'!S195+'DMP-TRIAL-BAL-2021'!S195</f>
        <v>0</v>
      </c>
      <c r="AA195" s="588">
        <f>+'NF-KSF-TRIAL-BAL-2021'!T195+'RA-TRIAL-BAL-2021'!T195+'DES-TRIAL-BAL-2021'!T195+'DMP-TRIAL-BAL-2021'!T195</f>
        <v>0</v>
      </c>
      <c r="AB195" s="51"/>
      <c r="AC195" s="575">
        <v>0</v>
      </c>
      <c r="AD195" s="576"/>
      <c r="AE195" s="325"/>
      <c r="AF195" s="324"/>
      <c r="AG195" s="579">
        <v>0</v>
      </c>
      <c r="AH195" s="580">
        <f>+IF(ABS(+AC195+AE195)&lt;=ABS(AD195+AF195),-AC195+AD195-AE195+AF195,0)</f>
        <v>0</v>
      </c>
      <c r="AI195" s="51"/>
      <c r="AJ195" s="1497">
        <f t="shared" si="70"/>
        <v>4560</v>
      </c>
      <c r="AK195" s="8">
        <v>0</v>
      </c>
      <c r="AL195" s="970">
        <f t="shared" si="102"/>
        <v>0</v>
      </c>
      <c r="AM195" s="326">
        <f t="shared" ref="AM195:AN199" si="105">+ROUND(+Q195+X195+AE195,2)</f>
        <v>0</v>
      </c>
      <c r="AN195" s="970">
        <f t="shared" si="105"/>
        <v>0</v>
      </c>
      <c r="AO195" s="29">
        <v>0</v>
      </c>
      <c r="AP195" s="28">
        <f t="shared" si="103"/>
        <v>0</v>
      </c>
      <c r="AQ195" s="43"/>
      <c r="AR195" s="358">
        <f>+ROUND(+SUM(AK195-AL195)-SUM(O195-P195)-SUM(V195-W195)-SUM(AC195-AD195),2)</f>
        <v>0</v>
      </c>
      <c r="AS195" s="359">
        <f>+ROUND(+SUM(AM195-AN195)-SUM(Q195-R195)-SUM(X195-Y195)-SUM(AE195-AF195),2)</f>
        <v>0</v>
      </c>
      <c r="AT195" s="360">
        <f>+ROUND(+SUM(AO195-AP195)-SUM(S195-T195)-SUM(Z195-AA195)-SUM(AG195-AH195),2)</f>
        <v>0</v>
      </c>
      <c r="AU195" s="43"/>
      <c r="AV195" s="2119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119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 t="s">
        <v>265</v>
      </c>
      <c r="N196" s="113">
        <f t="shared" ref="N196:N259" si="106">+A196</f>
        <v>4567</v>
      </c>
      <c r="O196" s="581"/>
      <c r="P196" s="582">
        <v>0</v>
      </c>
      <c r="Q196" s="325"/>
      <c r="R196" s="324"/>
      <c r="S196" s="583">
        <f>+IF(ABS(+O196+Q196)&gt;=ABS(P196+R196),+O196-P196+Q196-R196,0)</f>
        <v>0</v>
      </c>
      <c r="T196" s="584">
        <v>0</v>
      </c>
      <c r="U196" s="51"/>
      <c r="V196" s="541">
        <f>+'NF-KSF-TRIAL-BAL-2021'!O196+'RA-TRIAL-BAL-2021'!O196+'DES-TRIAL-BAL-2021'!O196+'DMP-TRIAL-BAL-2021'!O196</f>
        <v>0</v>
      </c>
      <c r="W196" s="529">
        <f>+'NF-KSF-TRIAL-BAL-2021'!P196+'RA-TRIAL-BAL-2021'!P196+'DES-TRIAL-BAL-2021'!P196+'DMP-TRIAL-BAL-2021'!P196</f>
        <v>0</v>
      </c>
      <c r="X196" s="587">
        <f>+'NF-KSF-TRIAL-BAL-2021'!Q196+'RA-TRIAL-BAL-2021'!Q196+'DES-TRIAL-BAL-2021'!Q196+'DMP-TRIAL-BAL-2021'!Q196</f>
        <v>0</v>
      </c>
      <c r="Y196" s="586">
        <f>+'NF-KSF-TRIAL-BAL-2021'!R196+'RA-TRIAL-BAL-2021'!R196+'DES-TRIAL-BAL-2021'!R196+'DMP-TRIAL-BAL-2021'!R196</f>
        <v>0</v>
      </c>
      <c r="Z196" s="587">
        <f>+'NF-KSF-TRIAL-BAL-2021'!S196+'RA-TRIAL-BAL-2021'!S196+'DES-TRIAL-BAL-2021'!S196+'DMP-TRIAL-BAL-2021'!S196</f>
        <v>0</v>
      </c>
      <c r="AA196" s="588">
        <f>+'NF-KSF-TRIAL-BAL-2021'!T196+'RA-TRIAL-BAL-2021'!T196+'DES-TRIAL-BAL-2021'!T196+'DMP-TRIAL-BAL-2021'!T196</f>
        <v>0</v>
      </c>
      <c r="AB196" s="51"/>
      <c r="AC196" s="581"/>
      <c r="AD196" s="582">
        <v>0</v>
      </c>
      <c r="AE196" s="122"/>
      <c r="AF196" s="324"/>
      <c r="AG196" s="583">
        <f>+IF(ABS(+AC196+AE196)&gt;=ABS(AD196+AF196),+AC196-AD196+AE196-AF196,0)</f>
        <v>0</v>
      </c>
      <c r="AH196" s="584">
        <v>0</v>
      </c>
      <c r="AI196" s="51"/>
      <c r="AJ196" s="1497">
        <f>+N196</f>
        <v>4567</v>
      </c>
      <c r="AK196" s="951">
        <f>+ROUND(+O196+V196+AC196,2)</f>
        <v>0</v>
      </c>
      <c r="AL196" s="9">
        <v>0</v>
      </c>
      <c r="AM196" s="326">
        <f t="shared" si="105"/>
        <v>0</v>
      </c>
      <c r="AN196" s="970">
        <f t="shared" si="105"/>
        <v>0</v>
      </c>
      <c r="AO196" s="326">
        <f>+S196+Z196+AG196</f>
        <v>0</v>
      </c>
      <c r="AP196" s="30">
        <v>0</v>
      </c>
      <c r="AQ196" s="43"/>
      <c r="AR196" s="358">
        <f>+ROUND(+SUM(AK196-AL196)-SUM(O196-P196)-SUM(V196-W196)-SUM(AC196-AD196),2)</f>
        <v>0</v>
      </c>
      <c r="AS196" s="359">
        <f>+ROUND(+SUM(AM196-AN196)-SUM(Q196-R196)-SUM(X196-Y196)-SUM(AE196-AF196),2)</f>
        <v>0</v>
      </c>
      <c r="AT196" s="360">
        <f>+ROUND(+SUM(AO196-AP196)-SUM(S196-T196)-SUM(Z196-AA196)-SUM(AG196-AH196),2)</f>
        <v>0</v>
      </c>
      <c r="AU196" s="43"/>
      <c r="AV196" s="2120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120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 t="s">
        <v>265</v>
      </c>
      <c r="N197" s="113">
        <f t="shared" si="106"/>
        <v>4568</v>
      </c>
      <c r="O197" s="575">
        <v>0</v>
      </c>
      <c r="P197" s="576"/>
      <c r="Q197" s="325"/>
      <c r="R197" s="324"/>
      <c r="S197" s="579">
        <v>0</v>
      </c>
      <c r="T197" s="580">
        <f>+IF(ABS(+O197+Q197)&lt;=ABS(P197+R197),-O197+P197-Q197+R197,0)</f>
        <v>0</v>
      </c>
      <c r="U197" s="51"/>
      <c r="V197" s="541">
        <f>+'NF-KSF-TRIAL-BAL-2021'!O197+'RA-TRIAL-BAL-2021'!O197+'DES-TRIAL-BAL-2021'!O197+'DMP-TRIAL-BAL-2021'!O197</f>
        <v>0</v>
      </c>
      <c r="W197" s="529">
        <f>+'NF-KSF-TRIAL-BAL-2021'!P197+'RA-TRIAL-BAL-2021'!P197+'DES-TRIAL-BAL-2021'!P197+'DMP-TRIAL-BAL-2021'!P197</f>
        <v>0</v>
      </c>
      <c r="X197" s="587">
        <f>+'NF-KSF-TRIAL-BAL-2021'!Q197+'RA-TRIAL-BAL-2021'!Q197+'DES-TRIAL-BAL-2021'!Q197+'DMP-TRIAL-BAL-2021'!Q197</f>
        <v>0</v>
      </c>
      <c r="Y197" s="586">
        <f>+'NF-KSF-TRIAL-BAL-2021'!R197+'RA-TRIAL-BAL-2021'!R197+'DES-TRIAL-BAL-2021'!R197+'DMP-TRIAL-BAL-2021'!R197</f>
        <v>0</v>
      </c>
      <c r="Z197" s="587">
        <f>+'NF-KSF-TRIAL-BAL-2021'!S197+'RA-TRIAL-BAL-2021'!S197+'DES-TRIAL-BAL-2021'!S197+'DMP-TRIAL-BAL-2021'!S197</f>
        <v>0</v>
      </c>
      <c r="AA197" s="588">
        <f>+'NF-KSF-TRIAL-BAL-2021'!T197+'RA-TRIAL-BAL-2021'!T197+'DES-TRIAL-BAL-2021'!T197+'DMP-TRIAL-BAL-2021'!T197</f>
        <v>0</v>
      </c>
      <c r="AB197" s="51"/>
      <c r="AC197" s="575">
        <v>0</v>
      </c>
      <c r="AD197" s="576"/>
      <c r="AE197" s="325"/>
      <c r="AF197" s="324"/>
      <c r="AG197" s="579">
        <v>0</v>
      </c>
      <c r="AH197" s="580">
        <f>+IF(ABS(+AC197+AE197)&lt;=ABS(AD197+AF197),-AC197+AD197-AE197+AF197,0)</f>
        <v>0</v>
      </c>
      <c r="AI197" s="51"/>
      <c r="AJ197" s="1497">
        <f>+N197</f>
        <v>4568</v>
      </c>
      <c r="AK197" s="8">
        <v>0</v>
      </c>
      <c r="AL197" s="970">
        <f t="shared" ref="AL197:AL207" si="107">+ROUND(+P197+W197+AD197,2)</f>
        <v>0</v>
      </c>
      <c r="AM197" s="326">
        <f t="shared" si="105"/>
        <v>0</v>
      </c>
      <c r="AN197" s="970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58">
        <f>+ROUND(+SUM(AK197-AL197)-SUM(O197-P197)-SUM(V197-W197)-SUM(AC197-AD197),2)</f>
        <v>0</v>
      </c>
      <c r="AS197" s="359">
        <f>+ROUND(+SUM(AM197-AN197)-SUM(Q197-R197)-SUM(X197-Y197)-SUM(AE197-AF197),2)</f>
        <v>0</v>
      </c>
      <c r="AT197" s="360">
        <f>+ROUND(+SUM(AO197-AP197)-SUM(S197-T197)-SUM(Z197-AA197)-SUM(AG197-AH197),2)</f>
        <v>0</v>
      </c>
      <c r="AU197" s="43"/>
      <c r="AV197" s="2119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119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 t="s">
        <v>265</v>
      </c>
      <c r="N198" s="113">
        <f t="shared" si="106"/>
        <v>4598</v>
      </c>
      <c r="O198" s="581"/>
      <c r="P198" s="576"/>
      <c r="Q198" s="325"/>
      <c r="R198" s="324"/>
      <c r="S198" s="2286">
        <f>+IF($C$8=9900,+IF(ABS(+O198+Q198)&gt;=ABS(P198+R198),+O198-P198+Q198-R198,0),0)</f>
        <v>0</v>
      </c>
      <c r="T198" s="2287">
        <f>+IF($C$8=9900,0,+IF(ABS(+O198+Q198)&lt;=ABS(P198+R198),-O198+P198-Q198+R198,0))</f>
        <v>0</v>
      </c>
      <c r="U198" s="51"/>
      <c r="V198" s="541">
        <f>+'NF-KSF-TRIAL-BAL-2021'!O198+'RA-TRIAL-BAL-2021'!O198+'DES-TRIAL-BAL-2021'!O198+'DMP-TRIAL-BAL-2021'!O198</f>
        <v>0</v>
      </c>
      <c r="W198" s="529">
        <f>+'NF-KSF-TRIAL-BAL-2021'!P198+'RA-TRIAL-BAL-2021'!P198+'DES-TRIAL-BAL-2021'!P198+'DMP-TRIAL-BAL-2021'!P198</f>
        <v>0</v>
      </c>
      <c r="X198" s="587">
        <f>+'NF-KSF-TRIAL-BAL-2021'!Q198+'RA-TRIAL-BAL-2021'!Q198+'DES-TRIAL-BAL-2021'!Q198+'DMP-TRIAL-BAL-2021'!Q198</f>
        <v>0</v>
      </c>
      <c r="Y198" s="586">
        <f>+'NF-KSF-TRIAL-BAL-2021'!R198+'RA-TRIAL-BAL-2021'!R198+'DES-TRIAL-BAL-2021'!R198+'DMP-TRIAL-BAL-2021'!R198</f>
        <v>0</v>
      </c>
      <c r="Z198" s="587">
        <f>+'NF-KSF-TRIAL-BAL-2021'!S198+'RA-TRIAL-BAL-2021'!S198+'DES-TRIAL-BAL-2021'!S198+'DMP-TRIAL-BAL-2021'!S198</f>
        <v>0</v>
      </c>
      <c r="AA198" s="588">
        <f>+'NF-KSF-TRIAL-BAL-2021'!T198+'RA-TRIAL-BAL-2021'!T198+'DES-TRIAL-BAL-2021'!T198+'DMP-TRIAL-BAL-2021'!T198</f>
        <v>0</v>
      </c>
      <c r="AB198" s="51"/>
      <c r="AC198" s="575">
        <v>0</v>
      </c>
      <c r="AD198" s="576"/>
      <c r="AE198" s="325"/>
      <c r="AF198" s="324"/>
      <c r="AG198" s="579">
        <v>0</v>
      </c>
      <c r="AH198" s="580">
        <f>+IF(ABS(+AC198+AE198)&lt;=ABS(AD198+AF198),-AC198+AD198-AE198+AF198,0)</f>
        <v>0</v>
      </c>
      <c r="AI198" s="51"/>
      <c r="AJ198" s="1497">
        <f t="shared" si="70"/>
        <v>4598</v>
      </c>
      <c r="AK198" s="951">
        <f>+ROUND(+O198+V198+AC198,2)</f>
        <v>0</v>
      </c>
      <c r="AL198" s="970">
        <f t="shared" si="107"/>
        <v>0</v>
      </c>
      <c r="AM198" s="326">
        <f t="shared" si="105"/>
        <v>0</v>
      </c>
      <c r="AN198" s="970">
        <f t="shared" si="105"/>
        <v>0</v>
      </c>
      <c r="AO198" s="326">
        <f>+S198+Z198+AG198</f>
        <v>0</v>
      </c>
      <c r="AP198" s="28">
        <f t="shared" si="108"/>
        <v>0</v>
      </c>
      <c r="AQ198" s="43"/>
      <c r="AR198" s="358">
        <f t="shared" ref="AR198:AR274" si="109">+ROUND(+SUM(AK198-AL198)-SUM(O198-P198)-SUM(V198-W198)-SUM(AC198-AD198),2)</f>
        <v>0</v>
      </c>
      <c r="AS198" s="359">
        <f t="shared" ref="AS198:AS274" si="110">+ROUND(+SUM(AM198-AN198)-SUM(Q198-R198)-SUM(X198-Y198)-SUM(AE198-AF198),2)</f>
        <v>0</v>
      </c>
      <c r="AT198" s="360">
        <f t="shared" ref="AT198:AT274" si="111">+ROUND(+SUM(AO198-AP198)-SUM(S198-T198)-SUM(Z198-AA198)-SUM(AG198-AH198),2)</f>
        <v>0</v>
      </c>
      <c r="AU198" s="43"/>
      <c r="AV198" s="2125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119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 t="s">
        <v>265</v>
      </c>
      <c r="N199" s="113">
        <f t="shared" si="106"/>
        <v>4599</v>
      </c>
      <c r="O199" s="581"/>
      <c r="P199" s="576"/>
      <c r="Q199" s="325">
        <v>38496.949999999997</v>
      </c>
      <c r="R199" s="324">
        <v>38496.949999999997</v>
      </c>
      <c r="S199" s="583">
        <f t="shared" ref="S199:S219" si="112">+IF(ABS(+O199+Q199)&gt;=ABS(P199+R199),+O199-P199+Q199-R199,0)</f>
        <v>0</v>
      </c>
      <c r="T199" s="580">
        <f>+IF(ABS(+O199+Q199)&lt;=ABS(P199+R199),-O199+P199-Q199+R199,0)</f>
        <v>0</v>
      </c>
      <c r="U199" s="51"/>
      <c r="V199" s="541">
        <f>+'NF-KSF-TRIAL-BAL-2021'!O199+'RA-TRIAL-BAL-2021'!O199+'DES-TRIAL-BAL-2021'!O199+'DMP-TRIAL-BAL-2021'!O199</f>
        <v>0</v>
      </c>
      <c r="W199" s="529">
        <f>+'NF-KSF-TRIAL-BAL-2021'!P199+'RA-TRIAL-BAL-2021'!P199+'DES-TRIAL-BAL-2021'!P199+'DMP-TRIAL-BAL-2021'!P199</f>
        <v>0</v>
      </c>
      <c r="X199" s="587">
        <f>+'NF-KSF-TRIAL-BAL-2021'!Q199+'RA-TRIAL-BAL-2021'!Q199+'DES-TRIAL-BAL-2021'!Q199+'DMP-TRIAL-BAL-2021'!Q199</f>
        <v>0</v>
      </c>
      <c r="Y199" s="586">
        <f>+'NF-KSF-TRIAL-BAL-2021'!R199+'RA-TRIAL-BAL-2021'!R199+'DES-TRIAL-BAL-2021'!R199+'DMP-TRIAL-BAL-2021'!R199</f>
        <v>0</v>
      </c>
      <c r="Z199" s="587">
        <f>+'NF-KSF-TRIAL-BAL-2021'!S199+'RA-TRIAL-BAL-2021'!S199+'DES-TRIAL-BAL-2021'!S199+'DMP-TRIAL-BAL-2021'!S199</f>
        <v>0</v>
      </c>
      <c r="AA199" s="588">
        <f>+'NF-KSF-TRIAL-BAL-2021'!T199+'RA-TRIAL-BAL-2021'!T199+'DES-TRIAL-BAL-2021'!T199+'DMP-TRIAL-BAL-2021'!T199</f>
        <v>0</v>
      </c>
      <c r="AB199" s="51"/>
      <c r="AC199" s="581"/>
      <c r="AD199" s="576"/>
      <c r="AE199" s="325"/>
      <c r="AF199" s="324"/>
      <c r="AG199" s="583">
        <f>+IF(ABS(+AC199+AE199)&gt;=ABS(AD199+AF199),+AC199-AD199+AE199-AF199,0)</f>
        <v>0</v>
      </c>
      <c r="AH199" s="580">
        <f>+IF(ABS(+AC199+AE199)&lt;=ABS(AD199+AF199),-AC199+AD199-AE199+AF199,0)</f>
        <v>0</v>
      </c>
      <c r="AI199" s="51"/>
      <c r="AJ199" s="1497">
        <f>+N199</f>
        <v>4599</v>
      </c>
      <c r="AK199" s="951">
        <f t="shared" ref="AK199:AK207" si="113">+ROUND(+O199+V199+AC199,2)</f>
        <v>0</v>
      </c>
      <c r="AL199" s="970">
        <f t="shared" si="107"/>
        <v>0</v>
      </c>
      <c r="AM199" s="326">
        <f t="shared" si="105"/>
        <v>38496.949999999997</v>
      </c>
      <c r="AN199" s="970">
        <f t="shared" si="105"/>
        <v>38496.949999999997</v>
      </c>
      <c r="AO199" s="326">
        <f t="shared" ref="AO199:AO219" si="114">+S199+Z199+AG199</f>
        <v>0</v>
      </c>
      <c r="AP199" s="28">
        <f t="shared" si="108"/>
        <v>0</v>
      </c>
      <c r="AQ199" s="43"/>
      <c r="AR199" s="358">
        <f>+ROUND(+SUM(AK199-AL199)-SUM(O199-P199)-SUM(V199-W199)-SUM(AC199-AD199),2)</f>
        <v>0</v>
      </c>
      <c r="AS199" s="359">
        <f>+ROUND(+SUM(AM199-AN199)-SUM(Q199-R199)-SUM(X199-Y199)-SUM(AE199-AF199),2)</f>
        <v>0</v>
      </c>
      <c r="AT199" s="360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06"/>
        <v>4611</v>
      </c>
      <c r="O200" s="120"/>
      <c r="P200" s="121"/>
      <c r="Q200" s="325">
        <v>3550955.11</v>
      </c>
      <c r="R200" s="324">
        <v>3550955.11</v>
      </c>
      <c r="S200" s="27">
        <f t="shared" si="112"/>
        <v>0</v>
      </c>
      <c r="T200" s="28">
        <f t="shared" si="93"/>
        <v>0</v>
      </c>
      <c r="U200" s="51"/>
      <c r="V200" s="541">
        <f>+'NF-KSF-TRIAL-BAL-2021'!O200+'RA-TRIAL-BAL-2021'!O200+'DES-TRIAL-BAL-2021'!O200+'DMP-TRIAL-BAL-2021'!O200</f>
        <v>0</v>
      </c>
      <c r="W200" s="529">
        <f>+'NF-KSF-TRIAL-BAL-2021'!P200+'RA-TRIAL-BAL-2021'!P200+'DES-TRIAL-BAL-2021'!P200+'DMP-TRIAL-BAL-2021'!P200</f>
        <v>0</v>
      </c>
      <c r="X200" s="528">
        <f>+'NF-KSF-TRIAL-BAL-2021'!Q200+'RA-TRIAL-BAL-2021'!Q200+'DES-TRIAL-BAL-2021'!Q200+'DMP-TRIAL-BAL-2021'!Q200</f>
        <v>0</v>
      </c>
      <c r="Y200" s="529">
        <f>+'NF-KSF-TRIAL-BAL-2021'!R200+'RA-TRIAL-BAL-2021'!R200+'DES-TRIAL-BAL-2021'!R200+'DMP-TRIAL-BAL-2021'!R200</f>
        <v>0</v>
      </c>
      <c r="Z200" s="528">
        <f>+'NF-KSF-TRIAL-BAL-2021'!S200+'RA-TRIAL-BAL-2021'!S200+'DES-TRIAL-BAL-2021'!S200+'DMP-TRIAL-BAL-2021'!S200</f>
        <v>0</v>
      </c>
      <c r="AA200" s="347">
        <f>+'NF-KSF-TRIAL-BAL-2021'!T200+'RA-TRIAL-BAL-2021'!T200+'DES-TRIAL-BAL-2021'!T200+'DMP-TRIAL-BAL-2021'!T200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97">
        <f t="shared" si="70"/>
        <v>4611</v>
      </c>
      <c r="AK200" s="951">
        <f t="shared" si="113"/>
        <v>0</v>
      </c>
      <c r="AL200" s="970">
        <f t="shared" si="107"/>
        <v>0</v>
      </c>
      <c r="AM200" s="326">
        <f t="shared" ref="AM200:AN207" si="115">+ROUND(+Q200+X200+AE200,2)</f>
        <v>3550955.11</v>
      </c>
      <c r="AN200" s="970">
        <f t="shared" si="115"/>
        <v>3550955.11</v>
      </c>
      <c r="AO200" s="326">
        <f t="shared" si="114"/>
        <v>0</v>
      </c>
      <c r="AP200" s="28">
        <f t="shared" si="108"/>
        <v>0</v>
      </c>
      <c r="AQ200" s="43"/>
      <c r="AR200" s="358">
        <f t="shared" si="109"/>
        <v>0</v>
      </c>
      <c r="AS200" s="359">
        <f t="shared" si="110"/>
        <v>0</v>
      </c>
      <c r="AT200" s="360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 t="s">
        <v>265</v>
      </c>
      <c r="N201" s="113">
        <f t="shared" si="106"/>
        <v>4612</v>
      </c>
      <c r="O201" s="581"/>
      <c r="P201" s="576"/>
      <c r="Q201" s="325"/>
      <c r="R201" s="324"/>
      <c r="S201" s="583">
        <f t="shared" si="112"/>
        <v>0</v>
      </c>
      <c r="T201" s="580">
        <f t="shared" si="93"/>
        <v>0</v>
      </c>
      <c r="U201" s="51"/>
      <c r="V201" s="541">
        <f>+'NF-KSF-TRIAL-BAL-2021'!O201+'RA-TRIAL-BAL-2021'!O201+'DES-TRIAL-BAL-2021'!O201+'DMP-TRIAL-BAL-2021'!O201</f>
        <v>0</v>
      </c>
      <c r="W201" s="529">
        <f>+'NF-KSF-TRIAL-BAL-2021'!P201+'RA-TRIAL-BAL-2021'!P201+'DES-TRIAL-BAL-2021'!P201+'DMP-TRIAL-BAL-2021'!P201</f>
        <v>0</v>
      </c>
      <c r="X201" s="587">
        <f>+'NF-KSF-TRIAL-BAL-2021'!Q201+'RA-TRIAL-BAL-2021'!Q201+'DES-TRIAL-BAL-2021'!Q201+'DMP-TRIAL-BAL-2021'!Q201</f>
        <v>0</v>
      </c>
      <c r="Y201" s="586">
        <f>+'NF-KSF-TRIAL-BAL-2021'!R201+'RA-TRIAL-BAL-2021'!R201+'DES-TRIAL-BAL-2021'!R201+'DMP-TRIAL-BAL-2021'!R201</f>
        <v>0</v>
      </c>
      <c r="Z201" s="587">
        <f>+'NF-KSF-TRIAL-BAL-2021'!S201+'RA-TRIAL-BAL-2021'!S201+'DES-TRIAL-BAL-2021'!S201+'DMP-TRIAL-BAL-2021'!S201</f>
        <v>0</v>
      </c>
      <c r="AA201" s="588">
        <f>+'NF-KSF-TRIAL-BAL-2021'!T201+'RA-TRIAL-BAL-2021'!T201+'DES-TRIAL-BAL-2021'!T201+'DMP-TRIAL-BAL-2021'!T201</f>
        <v>0</v>
      </c>
      <c r="AB201" s="51"/>
      <c r="AC201" s="581"/>
      <c r="AD201" s="576"/>
      <c r="AE201" s="325"/>
      <c r="AF201" s="324"/>
      <c r="AG201" s="583">
        <f t="shared" si="94"/>
        <v>0</v>
      </c>
      <c r="AH201" s="580">
        <f t="shared" si="95"/>
        <v>0</v>
      </c>
      <c r="AI201" s="51"/>
      <c r="AJ201" s="1497">
        <f t="shared" si="70"/>
        <v>4612</v>
      </c>
      <c r="AK201" s="951">
        <f t="shared" si="113"/>
        <v>0</v>
      </c>
      <c r="AL201" s="970">
        <f t="shared" si="107"/>
        <v>0</v>
      </c>
      <c r="AM201" s="326">
        <f t="shared" si="115"/>
        <v>0</v>
      </c>
      <c r="AN201" s="970">
        <f t="shared" si="115"/>
        <v>0</v>
      </c>
      <c r="AO201" s="326">
        <f t="shared" si="114"/>
        <v>0</v>
      </c>
      <c r="AP201" s="28">
        <f t="shared" si="108"/>
        <v>0</v>
      </c>
      <c r="AQ201" s="43"/>
      <c r="AR201" s="358">
        <f t="shared" si="109"/>
        <v>0</v>
      </c>
      <c r="AS201" s="359">
        <f t="shared" si="110"/>
        <v>0</v>
      </c>
      <c r="AT201" s="360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06"/>
        <v>4614</v>
      </c>
      <c r="O202" s="120"/>
      <c r="P202" s="121"/>
      <c r="Q202" s="325"/>
      <c r="R202" s="324"/>
      <c r="S202" s="27">
        <f t="shared" si="112"/>
        <v>0</v>
      </c>
      <c r="T202" s="28">
        <f t="shared" si="93"/>
        <v>0</v>
      </c>
      <c r="U202" s="51"/>
      <c r="V202" s="541">
        <f>+'NF-KSF-TRIAL-BAL-2021'!O202+'RA-TRIAL-BAL-2021'!O202+'DES-TRIAL-BAL-2021'!O202+'DMP-TRIAL-BAL-2021'!O202</f>
        <v>0</v>
      </c>
      <c r="W202" s="529">
        <f>+'NF-KSF-TRIAL-BAL-2021'!P202+'RA-TRIAL-BAL-2021'!P202+'DES-TRIAL-BAL-2021'!P202+'DMP-TRIAL-BAL-2021'!P202</f>
        <v>76497.42</v>
      </c>
      <c r="X202" s="528">
        <f>+'NF-KSF-TRIAL-BAL-2021'!Q202+'RA-TRIAL-BAL-2021'!Q202+'DES-TRIAL-BAL-2021'!Q202+'DMP-TRIAL-BAL-2021'!Q202</f>
        <v>208754.97</v>
      </c>
      <c r="Y202" s="529">
        <f>+'NF-KSF-TRIAL-BAL-2021'!R202+'RA-TRIAL-BAL-2021'!R202+'DES-TRIAL-BAL-2021'!R202+'DMP-TRIAL-BAL-2021'!R202</f>
        <v>516342.8</v>
      </c>
      <c r="Z202" s="528">
        <f>+'NF-KSF-TRIAL-BAL-2021'!S202+'RA-TRIAL-BAL-2021'!S202+'DES-TRIAL-BAL-2021'!S202+'DMP-TRIAL-BAL-2021'!S202</f>
        <v>0</v>
      </c>
      <c r="AA202" s="347">
        <f>+'NF-KSF-TRIAL-BAL-2021'!T202+'RA-TRIAL-BAL-2021'!T202+'DES-TRIAL-BAL-2021'!T202+'DMP-TRIAL-BAL-2021'!T202</f>
        <v>384085.25</v>
      </c>
      <c r="AB202" s="51"/>
      <c r="AC202" s="120">
        <v>20000</v>
      </c>
      <c r="AD202" s="121"/>
      <c r="AE202" s="325">
        <v>230000</v>
      </c>
      <c r="AF202" s="324">
        <v>20000</v>
      </c>
      <c r="AG202" s="27">
        <f t="shared" si="94"/>
        <v>230000</v>
      </c>
      <c r="AH202" s="28">
        <f t="shared" si="95"/>
        <v>0</v>
      </c>
      <c r="AI202" s="51"/>
      <c r="AJ202" s="1497">
        <f t="shared" si="70"/>
        <v>4614</v>
      </c>
      <c r="AK202" s="951">
        <f t="shared" si="113"/>
        <v>20000</v>
      </c>
      <c r="AL202" s="970">
        <f t="shared" si="107"/>
        <v>76497.42</v>
      </c>
      <c r="AM202" s="326">
        <f t="shared" si="115"/>
        <v>438754.97</v>
      </c>
      <c r="AN202" s="970">
        <f t="shared" si="115"/>
        <v>536342.80000000005</v>
      </c>
      <c r="AO202" s="326">
        <f t="shared" si="114"/>
        <v>230000</v>
      </c>
      <c r="AP202" s="28">
        <f t="shared" si="108"/>
        <v>384085.25</v>
      </c>
      <c r="AQ202" s="43"/>
      <c r="AR202" s="358">
        <f t="shared" si="109"/>
        <v>0</v>
      </c>
      <c r="AS202" s="359">
        <f t="shared" si="110"/>
        <v>0</v>
      </c>
      <c r="AT202" s="360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06"/>
        <v>4615</v>
      </c>
      <c r="O203" s="120"/>
      <c r="P203" s="121"/>
      <c r="Q203" s="325"/>
      <c r="R203" s="324"/>
      <c r="S203" s="27">
        <f t="shared" si="112"/>
        <v>0</v>
      </c>
      <c r="T203" s="28">
        <f t="shared" si="93"/>
        <v>0</v>
      </c>
      <c r="U203" s="51"/>
      <c r="V203" s="541">
        <f>+'NF-KSF-TRIAL-BAL-2021'!O203+'RA-TRIAL-BAL-2021'!O203+'DES-TRIAL-BAL-2021'!O203+'DMP-TRIAL-BAL-2021'!O203</f>
        <v>0</v>
      </c>
      <c r="W203" s="529">
        <f>+'NF-KSF-TRIAL-BAL-2021'!P203+'RA-TRIAL-BAL-2021'!P203+'DES-TRIAL-BAL-2021'!P203+'DMP-TRIAL-BAL-2021'!P203</f>
        <v>0</v>
      </c>
      <c r="X203" s="528">
        <f>+'NF-KSF-TRIAL-BAL-2021'!Q203+'RA-TRIAL-BAL-2021'!Q203+'DES-TRIAL-BAL-2021'!Q203+'DMP-TRIAL-BAL-2021'!Q203</f>
        <v>0</v>
      </c>
      <c r="Y203" s="529">
        <f>+'NF-KSF-TRIAL-BAL-2021'!R203+'RA-TRIAL-BAL-2021'!R203+'DES-TRIAL-BAL-2021'!R203+'DMP-TRIAL-BAL-2021'!R203</f>
        <v>0</v>
      </c>
      <c r="Z203" s="528">
        <f>+'NF-KSF-TRIAL-BAL-2021'!S203+'RA-TRIAL-BAL-2021'!S203+'DES-TRIAL-BAL-2021'!S203+'DMP-TRIAL-BAL-2021'!S203</f>
        <v>0</v>
      </c>
      <c r="AA203" s="347">
        <f>+'NF-KSF-TRIAL-BAL-2021'!T203+'RA-TRIAL-BAL-2021'!T203+'DES-TRIAL-BAL-2021'!T203+'DMP-TRIAL-BAL-2021'!T203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97">
        <f t="shared" si="70"/>
        <v>4615</v>
      </c>
      <c r="AK203" s="951">
        <f t="shared" si="113"/>
        <v>0</v>
      </c>
      <c r="AL203" s="970">
        <f t="shared" si="107"/>
        <v>0</v>
      </c>
      <c r="AM203" s="326">
        <f t="shared" si="115"/>
        <v>0</v>
      </c>
      <c r="AN203" s="970">
        <f t="shared" si="115"/>
        <v>0</v>
      </c>
      <c r="AO203" s="326">
        <f t="shared" si="114"/>
        <v>0</v>
      </c>
      <c r="AP203" s="28">
        <f t="shared" si="108"/>
        <v>0</v>
      </c>
      <c r="AQ203" s="43"/>
      <c r="AR203" s="358">
        <f t="shared" si="109"/>
        <v>0</v>
      </c>
      <c r="AS203" s="359">
        <f t="shared" si="110"/>
        <v>0</v>
      </c>
      <c r="AT203" s="360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06"/>
        <v>4622</v>
      </c>
      <c r="O204" s="120"/>
      <c r="P204" s="121"/>
      <c r="Q204" s="325"/>
      <c r="R204" s="324"/>
      <c r="S204" s="27">
        <f t="shared" si="112"/>
        <v>0</v>
      </c>
      <c r="T204" s="28">
        <f t="shared" si="93"/>
        <v>0</v>
      </c>
      <c r="U204" s="51"/>
      <c r="V204" s="541">
        <f>+'NF-KSF-TRIAL-BAL-2021'!O204+'RA-TRIAL-BAL-2021'!O204+'DES-TRIAL-BAL-2021'!O204+'DMP-TRIAL-BAL-2021'!O204</f>
        <v>0</v>
      </c>
      <c r="W204" s="529">
        <f>+'NF-KSF-TRIAL-BAL-2021'!P204+'RA-TRIAL-BAL-2021'!P204+'DES-TRIAL-BAL-2021'!P204+'DMP-TRIAL-BAL-2021'!P204</f>
        <v>0</v>
      </c>
      <c r="X204" s="528">
        <f>+'NF-KSF-TRIAL-BAL-2021'!Q204+'RA-TRIAL-BAL-2021'!Q204+'DES-TRIAL-BAL-2021'!Q204+'DMP-TRIAL-BAL-2021'!Q204</f>
        <v>0</v>
      </c>
      <c r="Y204" s="529">
        <f>+'NF-KSF-TRIAL-BAL-2021'!R204+'RA-TRIAL-BAL-2021'!R204+'DES-TRIAL-BAL-2021'!R204+'DMP-TRIAL-BAL-2021'!R204</f>
        <v>0</v>
      </c>
      <c r="Z204" s="528">
        <f>+'NF-KSF-TRIAL-BAL-2021'!S204+'RA-TRIAL-BAL-2021'!S204+'DES-TRIAL-BAL-2021'!S204+'DMP-TRIAL-BAL-2021'!S204</f>
        <v>0</v>
      </c>
      <c r="AA204" s="347">
        <f>+'NF-KSF-TRIAL-BAL-2021'!T204+'RA-TRIAL-BAL-2021'!T204+'DES-TRIAL-BAL-2021'!T204+'DMP-TRIAL-BAL-2021'!T204</f>
        <v>0</v>
      </c>
      <c r="AB204" s="51"/>
      <c r="AC204" s="120"/>
      <c r="AD204" s="121"/>
      <c r="AE204" s="325"/>
      <c r="AF204" s="324"/>
      <c r="AG204" s="27">
        <f t="shared" si="94"/>
        <v>0</v>
      </c>
      <c r="AH204" s="28">
        <f t="shared" si="95"/>
        <v>0</v>
      </c>
      <c r="AI204" s="51"/>
      <c r="AJ204" s="1497">
        <f t="shared" si="70"/>
        <v>4622</v>
      </c>
      <c r="AK204" s="951">
        <f t="shared" si="113"/>
        <v>0</v>
      </c>
      <c r="AL204" s="970">
        <f t="shared" si="107"/>
        <v>0</v>
      </c>
      <c r="AM204" s="326">
        <f t="shared" si="115"/>
        <v>0</v>
      </c>
      <c r="AN204" s="970">
        <f t="shared" si="115"/>
        <v>0</v>
      </c>
      <c r="AO204" s="326">
        <f t="shared" si="114"/>
        <v>0</v>
      </c>
      <c r="AP204" s="28">
        <f t="shared" si="108"/>
        <v>0</v>
      </c>
      <c r="AQ204" s="43"/>
      <c r="AR204" s="358">
        <f t="shared" si="109"/>
        <v>0</v>
      </c>
      <c r="AS204" s="359">
        <f t="shared" si="110"/>
        <v>0</v>
      </c>
      <c r="AT204" s="360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06"/>
        <v>4624</v>
      </c>
      <c r="O205" s="120">
        <v>76497.42</v>
      </c>
      <c r="P205" s="121">
        <v>0</v>
      </c>
      <c r="Q205" s="325">
        <v>492645.22</v>
      </c>
      <c r="R205" s="324">
        <v>185057.39</v>
      </c>
      <c r="S205" s="27">
        <f t="shared" si="112"/>
        <v>384085.25</v>
      </c>
      <c r="T205" s="28">
        <f t="shared" si="93"/>
        <v>0</v>
      </c>
      <c r="U205" s="51"/>
      <c r="V205" s="541">
        <f>+'NF-KSF-TRIAL-BAL-2021'!O205+'RA-TRIAL-BAL-2021'!O205+'DES-TRIAL-BAL-2021'!O205+'DMP-TRIAL-BAL-2021'!O205</f>
        <v>0</v>
      </c>
      <c r="W205" s="529">
        <f>+'NF-KSF-TRIAL-BAL-2021'!P205+'RA-TRIAL-BAL-2021'!P205+'DES-TRIAL-BAL-2021'!P205+'DMP-TRIAL-BAL-2021'!P205</f>
        <v>0</v>
      </c>
      <c r="X205" s="528">
        <f>+'NF-KSF-TRIAL-BAL-2021'!Q205+'RA-TRIAL-BAL-2021'!Q205+'DES-TRIAL-BAL-2021'!Q205+'DMP-TRIAL-BAL-2021'!Q205</f>
        <v>0</v>
      </c>
      <c r="Y205" s="529">
        <f>+'NF-KSF-TRIAL-BAL-2021'!R205+'RA-TRIAL-BAL-2021'!R205+'DES-TRIAL-BAL-2021'!R205+'DMP-TRIAL-BAL-2021'!R205</f>
        <v>0</v>
      </c>
      <c r="Z205" s="528">
        <f>+'NF-KSF-TRIAL-BAL-2021'!S205+'RA-TRIAL-BAL-2021'!S205+'DES-TRIAL-BAL-2021'!S205+'DMP-TRIAL-BAL-2021'!S205</f>
        <v>0</v>
      </c>
      <c r="AA205" s="347">
        <f>+'NF-KSF-TRIAL-BAL-2021'!T205+'RA-TRIAL-BAL-2021'!T205+'DES-TRIAL-BAL-2021'!T205+'DMP-TRIAL-BAL-2021'!T205</f>
        <v>0</v>
      </c>
      <c r="AB205" s="51"/>
      <c r="AC205" s="120"/>
      <c r="AD205" s="121"/>
      <c r="AE205" s="325"/>
      <c r="AF205" s="324"/>
      <c r="AG205" s="27">
        <f t="shared" si="94"/>
        <v>0</v>
      </c>
      <c r="AH205" s="28">
        <f t="shared" si="95"/>
        <v>0</v>
      </c>
      <c r="AI205" s="51"/>
      <c r="AJ205" s="1497">
        <f t="shared" si="70"/>
        <v>4624</v>
      </c>
      <c r="AK205" s="951">
        <f t="shared" si="113"/>
        <v>76497.42</v>
      </c>
      <c r="AL205" s="970">
        <f t="shared" si="107"/>
        <v>0</v>
      </c>
      <c r="AM205" s="326">
        <f t="shared" si="115"/>
        <v>492645.22</v>
      </c>
      <c r="AN205" s="970">
        <f t="shared" si="115"/>
        <v>185057.39</v>
      </c>
      <c r="AO205" s="326">
        <f t="shared" si="114"/>
        <v>384085.25</v>
      </c>
      <c r="AP205" s="28">
        <f t="shared" si="108"/>
        <v>0</v>
      </c>
      <c r="AQ205" s="43"/>
      <c r="AR205" s="358">
        <f t="shared" si="109"/>
        <v>0</v>
      </c>
      <c r="AS205" s="359">
        <f t="shared" si="110"/>
        <v>0</v>
      </c>
      <c r="AT205" s="360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 t="s">
        <v>265</v>
      </c>
      <c r="N206" s="113">
        <f t="shared" si="106"/>
        <v>4625</v>
      </c>
      <c r="O206" s="581"/>
      <c r="P206" s="576"/>
      <c r="Q206" s="325"/>
      <c r="R206" s="324"/>
      <c r="S206" s="583">
        <f t="shared" si="112"/>
        <v>0</v>
      </c>
      <c r="T206" s="580">
        <f>+IF(ABS(+O206+Q206)&lt;=ABS(P206+R206),-O206+P206-Q206+R206,0)</f>
        <v>0</v>
      </c>
      <c r="U206" s="51"/>
      <c r="V206" s="541">
        <f>+'NF-KSF-TRIAL-BAL-2021'!O206+'RA-TRIAL-BAL-2021'!O206+'DES-TRIAL-BAL-2021'!O206+'DMP-TRIAL-BAL-2021'!O206</f>
        <v>0</v>
      </c>
      <c r="W206" s="529">
        <f>+'NF-KSF-TRIAL-BAL-2021'!P206+'RA-TRIAL-BAL-2021'!P206+'DES-TRIAL-BAL-2021'!P206+'DMP-TRIAL-BAL-2021'!P206</f>
        <v>0</v>
      </c>
      <c r="X206" s="587">
        <f>+'NF-KSF-TRIAL-BAL-2021'!Q206+'RA-TRIAL-BAL-2021'!Q206+'DES-TRIAL-BAL-2021'!Q206+'DMP-TRIAL-BAL-2021'!Q206</f>
        <v>0</v>
      </c>
      <c r="Y206" s="586">
        <f>+'NF-KSF-TRIAL-BAL-2021'!R206+'RA-TRIAL-BAL-2021'!R206+'DES-TRIAL-BAL-2021'!R206+'DMP-TRIAL-BAL-2021'!R206</f>
        <v>0</v>
      </c>
      <c r="Z206" s="587">
        <f>+'NF-KSF-TRIAL-BAL-2021'!S206+'RA-TRIAL-BAL-2021'!S206+'DES-TRIAL-BAL-2021'!S206+'DMP-TRIAL-BAL-2021'!S206</f>
        <v>0</v>
      </c>
      <c r="AA206" s="588">
        <f>+'NF-KSF-TRIAL-BAL-2021'!T206+'RA-TRIAL-BAL-2021'!T206+'DES-TRIAL-BAL-2021'!T206+'DMP-TRIAL-BAL-2021'!T206</f>
        <v>0</v>
      </c>
      <c r="AB206" s="51"/>
      <c r="AC206" s="581"/>
      <c r="AD206" s="576"/>
      <c r="AE206" s="122"/>
      <c r="AF206" s="121"/>
      <c r="AG206" s="583">
        <f>+IF(ABS(+AC206+AE206)&gt;=ABS(AD206+AF206),+AC206-AD206+AE206-AF206,0)</f>
        <v>0</v>
      </c>
      <c r="AH206" s="580">
        <f>+IF(ABS(+AC206+AE206)&lt;=ABS(AD206+AF206),-AC206+AD206-AE206+AF206,0)</f>
        <v>0</v>
      </c>
      <c r="AI206" s="51"/>
      <c r="AJ206" s="1497">
        <f>+N206</f>
        <v>4625</v>
      </c>
      <c r="AK206" s="951">
        <f t="shared" si="113"/>
        <v>0</v>
      </c>
      <c r="AL206" s="970">
        <f t="shared" si="107"/>
        <v>0</v>
      </c>
      <c r="AM206" s="326">
        <f t="shared" si="115"/>
        <v>0</v>
      </c>
      <c r="AN206" s="970">
        <f t="shared" si="115"/>
        <v>0</v>
      </c>
      <c r="AO206" s="326">
        <f t="shared" si="114"/>
        <v>0</v>
      </c>
      <c r="AP206" s="28">
        <f t="shared" si="108"/>
        <v>0</v>
      </c>
      <c r="AQ206" s="43"/>
      <c r="AR206" s="358">
        <f>+ROUND(+SUM(AK206-AL206)-SUM(O206-P206)-SUM(V206-W206)-SUM(AC206-AD206),2)</f>
        <v>0</v>
      </c>
      <c r="AS206" s="359">
        <f>+ROUND(+SUM(AM206-AN206)-SUM(Q206-R206)-SUM(X206-Y206)-SUM(AE206-AF206),2)</f>
        <v>0</v>
      </c>
      <c r="AT206" s="360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 t="s">
        <v>265</v>
      </c>
      <c r="N207" s="113">
        <f t="shared" si="106"/>
        <v>4630</v>
      </c>
      <c r="O207" s="581">
        <v>0</v>
      </c>
      <c r="P207" s="576">
        <v>20000</v>
      </c>
      <c r="Q207" s="325">
        <v>20000</v>
      </c>
      <c r="R207" s="324">
        <v>230000</v>
      </c>
      <c r="S207" s="583">
        <f t="shared" si="112"/>
        <v>0</v>
      </c>
      <c r="T207" s="580">
        <f t="shared" si="93"/>
        <v>230000</v>
      </c>
      <c r="U207" s="51"/>
      <c r="V207" s="541">
        <f>+'NF-KSF-TRIAL-BAL-2021'!O207+'RA-TRIAL-BAL-2021'!O207+'DES-TRIAL-BAL-2021'!O207+'DMP-TRIAL-BAL-2021'!O207</f>
        <v>0</v>
      </c>
      <c r="W207" s="529">
        <f>+'NF-KSF-TRIAL-BAL-2021'!P207+'RA-TRIAL-BAL-2021'!P207+'DES-TRIAL-BAL-2021'!P207+'DMP-TRIAL-BAL-2021'!P207</f>
        <v>0</v>
      </c>
      <c r="X207" s="587">
        <f>+'NF-KSF-TRIAL-BAL-2021'!Q207+'RA-TRIAL-BAL-2021'!Q207+'DES-TRIAL-BAL-2021'!Q207+'DMP-TRIAL-BAL-2021'!Q207</f>
        <v>0</v>
      </c>
      <c r="Y207" s="586">
        <f>+'NF-KSF-TRIAL-BAL-2021'!R207+'RA-TRIAL-BAL-2021'!R207+'DES-TRIAL-BAL-2021'!R207+'DMP-TRIAL-BAL-2021'!R207</f>
        <v>0</v>
      </c>
      <c r="Z207" s="587">
        <f>+'NF-KSF-TRIAL-BAL-2021'!S207+'RA-TRIAL-BAL-2021'!S207+'DES-TRIAL-BAL-2021'!S207+'DMP-TRIAL-BAL-2021'!S207</f>
        <v>0</v>
      </c>
      <c r="AA207" s="588">
        <f>+'NF-KSF-TRIAL-BAL-2021'!T207+'RA-TRIAL-BAL-2021'!T207+'DES-TRIAL-BAL-2021'!T207+'DMP-TRIAL-BAL-2021'!T207</f>
        <v>0</v>
      </c>
      <c r="AB207" s="51"/>
      <c r="AC207" s="581"/>
      <c r="AD207" s="576"/>
      <c r="AE207" s="325"/>
      <c r="AF207" s="324"/>
      <c r="AG207" s="583">
        <f t="shared" si="94"/>
        <v>0</v>
      </c>
      <c r="AH207" s="580">
        <f t="shared" si="95"/>
        <v>0</v>
      </c>
      <c r="AI207" s="51"/>
      <c r="AJ207" s="1497">
        <f t="shared" si="70"/>
        <v>4630</v>
      </c>
      <c r="AK207" s="951">
        <f t="shared" si="113"/>
        <v>0</v>
      </c>
      <c r="AL207" s="970">
        <f t="shared" si="107"/>
        <v>20000</v>
      </c>
      <c r="AM207" s="326">
        <f t="shared" si="115"/>
        <v>20000</v>
      </c>
      <c r="AN207" s="970">
        <f t="shared" si="115"/>
        <v>230000</v>
      </c>
      <c r="AO207" s="326">
        <f t="shared" si="114"/>
        <v>0</v>
      </c>
      <c r="AP207" s="28">
        <f t="shared" si="108"/>
        <v>230000</v>
      </c>
      <c r="AQ207" s="43"/>
      <c r="AR207" s="358">
        <f t="shared" si="109"/>
        <v>0</v>
      </c>
      <c r="AS207" s="359">
        <f t="shared" si="110"/>
        <v>0</v>
      </c>
      <c r="AT207" s="360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 t="s">
        <v>265</v>
      </c>
      <c r="N208" s="113">
        <f t="shared" si="106"/>
        <v>4651</v>
      </c>
      <c r="O208" s="581"/>
      <c r="P208" s="576"/>
      <c r="Q208" s="325"/>
      <c r="R208" s="324"/>
      <c r="S208" s="583">
        <f t="shared" si="112"/>
        <v>0</v>
      </c>
      <c r="T208" s="580">
        <f>+IF(ABS(+O208+Q208)&lt;=ABS(P208+R208),-O208+P208-Q208+R208,0)</f>
        <v>0</v>
      </c>
      <c r="U208" s="51"/>
      <c r="V208" s="541">
        <f>+'NF-KSF-TRIAL-BAL-2021'!O208+'RA-TRIAL-BAL-2021'!O208+'DES-TRIAL-BAL-2021'!O208+'DMP-TRIAL-BAL-2021'!O208</f>
        <v>0</v>
      </c>
      <c r="W208" s="529">
        <f>+'NF-KSF-TRIAL-BAL-2021'!P208+'RA-TRIAL-BAL-2021'!P208+'DES-TRIAL-BAL-2021'!P208+'DMP-TRIAL-BAL-2021'!P208</f>
        <v>0</v>
      </c>
      <c r="X208" s="587">
        <f>+'NF-KSF-TRIAL-BAL-2021'!Q208+'RA-TRIAL-BAL-2021'!Q208+'DES-TRIAL-BAL-2021'!Q208+'DMP-TRIAL-BAL-2021'!Q208</f>
        <v>0</v>
      </c>
      <c r="Y208" s="586">
        <f>+'NF-KSF-TRIAL-BAL-2021'!R208+'RA-TRIAL-BAL-2021'!R208+'DES-TRIAL-BAL-2021'!R208+'DMP-TRIAL-BAL-2021'!R208</f>
        <v>0</v>
      </c>
      <c r="Z208" s="587">
        <f>+'NF-KSF-TRIAL-BAL-2021'!S208+'RA-TRIAL-BAL-2021'!S208+'DES-TRIAL-BAL-2021'!S208+'DMP-TRIAL-BAL-2021'!S208</f>
        <v>0</v>
      </c>
      <c r="AA208" s="588">
        <f>+'NF-KSF-TRIAL-BAL-2021'!T208+'RA-TRIAL-BAL-2021'!T208+'DES-TRIAL-BAL-2021'!T208+'DMP-TRIAL-BAL-2021'!T208</f>
        <v>0</v>
      </c>
      <c r="AB208" s="51"/>
      <c r="AC208" s="581"/>
      <c r="AD208" s="576"/>
      <c r="AE208" s="325"/>
      <c r="AF208" s="324"/>
      <c r="AG208" s="583">
        <f>+IF(ABS(+AC208+AE208)&gt;=ABS(AD208+AF208),+AC208-AD208+AE208-AF208,0)</f>
        <v>0</v>
      </c>
      <c r="AH208" s="580">
        <f>+IF(ABS(+AC208+AE208)&lt;=ABS(AD208+AF208),-AC208+AD208-AE208+AF208,0)</f>
        <v>0</v>
      </c>
      <c r="AI208" s="51"/>
      <c r="AJ208" s="1497">
        <f>+N208</f>
        <v>4651</v>
      </c>
      <c r="AK208" s="951">
        <f t="shared" ref="AK208:AN210" si="116">+ROUND(+O208+V208+AC208,2)</f>
        <v>0</v>
      </c>
      <c r="AL208" s="970">
        <f t="shared" si="116"/>
        <v>0</v>
      </c>
      <c r="AM208" s="326">
        <f t="shared" si="116"/>
        <v>0</v>
      </c>
      <c r="AN208" s="970">
        <f t="shared" si="116"/>
        <v>0</v>
      </c>
      <c r="AO208" s="326">
        <f t="shared" si="114"/>
        <v>0</v>
      </c>
      <c r="AP208" s="28">
        <f t="shared" si="108"/>
        <v>0</v>
      </c>
      <c r="AQ208" s="43"/>
      <c r="AR208" s="358">
        <f>+ROUND(+SUM(AK208-AL208)-SUM(O208-P208)-SUM(V208-W208)-SUM(AC208-AD208),2)</f>
        <v>0</v>
      </c>
      <c r="AS208" s="359">
        <f>+ROUND(+SUM(AM208-AN208)-SUM(Q208-R208)-SUM(X208-Y208)-SUM(AE208-AF208),2)</f>
        <v>0</v>
      </c>
      <c r="AT208" s="360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 t="s">
        <v>265</v>
      </c>
      <c r="N209" s="113">
        <f t="shared" si="106"/>
        <v>4655</v>
      </c>
      <c r="O209" s="581"/>
      <c r="P209" s="576"/>
      <c r="Q209" s="325"/>
      <c r="R209" s="324"/>
      <c r="S209" s="583">
        <f t="shared" si="112"/>
        <v>0</v>
      </c>
      <c r="T209" s="580">
        <f>+IF(ABS(+O209+Q209)&lt;=ABS(P209+R209),-O209+P209-Q209+R209,0)</f>
        <v>0</v>
      </c>
      <c r="U209" s="51"/>
      <c r="V209" s="541">
        <f>+'NF-KSF-TRIAL-BAL-2021'!O209+'RA-TRIAL-BAL-2021'!O209+'DES-TRIAL-BAL-2021'!O209+'DMP-TRIAL-BAL-2021'!O209</f>
        <v>0</v>
      </c>
      <c r="W209" s="529">
        <f>+'NF-KSF-TRIAL-BAL-2021'!P209+'RA-TRIAL-BAL-2021'!P209+'DES-TRIAL-BAL-2021'!P209+'DMP-TRIAL-BAL-2021'!P209</f>
        <v>0</v>
      </c>
      <c r="X209" s="587">
        <f>+'NF-KSF-TRIAL-BAL-2021'!Q209+'RA-TRIAL-BAL-2021'!Q209+'DES-TRIAL-BAL-2021'!Q209+'DMP-TRIAL-BAL-2021'!Q209</f>
        <v>0</v>
      </c>
      <c r="Y209" s="586">
        <f>+'NF-KSF-TRIAL-BAL-2021'!R209+'RA-TRIAL-BAL-2021'!R209+'DES-TRIAL-BAL-2021'!R209+'DMP-TRIAL-BAL-2021'!R209</f>
        <v>0</v>
      </c>
      <c r="Z209" s="587">
        <f>+'NF-KSF-TRIAL-BAL-2021'!S209+'RA-TRIAL-BAL-2021'!S209+'DES-TRIAL-BAL-2021'!S209+'DMP-TRIAL-BAL-2021'!S209</f>
        <v>0</v>
      </c>
      <c r="AA209" s="588">
        <f>+'NF-KSF-TRIAL-BAL-2021'!T209+'RA-TRIAL-BAL-2021'!T209+'DES-TRIAL-BAL-2021'!T209+'DMP-TRIAL-BAL-2021'!T209</f>
        <v>0</v>
      </c>
      <c r="AB209" s="51"/>
      <c r="AC209" s="581"/>
      <c r="AD209" s="576"/>
      <c r="AE209" s="325"/>
      <c r="AF209" s="324"/>
      <c r="AG209" s="583">
        <f>+IF(ABS(+AC209+AE209)&gt;=ABS(AD209+AF209),+AC209-AD209+AE209-AF209,0)</f>
        <v>0</v>
      </c>
      <c r="AH209" s="580">
        <f>+IF(ABS(+AC209+AE209)&lt;=ABS(AD209+AF209),-AC209+AD209-AE209+AF209,0)</f>
        <v>0</v>
      </c>
      <c r="AI209" s="51"/>
      <c r="AJ209" s="1497">
        <f>+N209</f>
        <v>4655</v>
      </c>
      <c r="AK209" s="951">
        <f>+ROUND(+O209+V209+AC209,2)</f>
        <v>0</v>
      </c>
      <c r="AL209" s="970">
        <f t="shared" si="116"/>
        <v>0</v>
      </c>
      <c r="AM209" s="326">
        <f t="shared" si="116"/>
        <v>0</v>
      </c>
      <c r="AN209" s="970">
        <f t="shared" si="116"/>
        <v>0</v>
      </c>
      <c r="AO209" s="326">
        <f t="shared" si="114"/>
        <v>0</v>
      </c>
      <c r="AP209" s="28">
        <f t="shared" si="108"/>
        <v>0</v>
      </c>
      <c r="AQ209" s="43"/>
      <c r="AR209" s="358">
        <f>+ROUND(+SUM(AK209-AL209)-SUM(O209-P209)-SUM(V209-W209)-SUM(AC209-AD209),2)</f>
        <v>0</v>
      </c>
      <c r="AS209" s="359">
        <f>+ROUND(+SUM(AM209-AN209)-SUM(Q209-R209)-SUM(X209-Y209)-SUM(AE209-AF209),2)</f>
        <v>0</v>
      </c>
      <c r="AT209" s="360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 t="s">
        <v>265</v>
      </c>
      <c r="N210" s="113">
        <f t="shared" si="106"/>
        <v>4659</v>
      </c>
      <c r="O210" s="581"/>
      <c r="P210" s="576"/>
      <c r="Q210" s="325"/>
      <c r="R210" s="324"/>
      <c r="S210" s="583">
        <f t="shared" si="112"/>
        <v>0</v>
      </c>
      <c r="T210" s="580">
        <f>+IF(ABS(+O210+Q210)&lt;=ABS(P210+R210),-O210+P210-Q210+R210,0)</f>
        <v>0</v>
      </c>
      <c r="U210" s="51"/>
      <c r="V210" s="541">
        <f>+'NF-KSF-TRIAL-BAL-2021'!O210+'RA-TRIAL-BAL-2021'!O210+'DES-TRIAL-BAL-2021'!O210+'DMP-TRIAL-BAL-2021'!O210</f>
        <v>0</v>
      </c>
      <c r="W210" s="529">
        <f>+'NF-KSF-TRIAL-BAL-2021'!P210+'RA-TRIAL-BAL-2021'!P210+'DES-TRIAL-BAL-2021'!P210+'DMP-TRIAL-BAL-2021'!P210</f>
        <v>0</v>
      </c>
      <c r="X210" s="587">
        <f>+'NF-KSF-TRIAL-BAL-2021'!Q210+'RA-TRIAL-BAL-2021'!Q210+'DES-TRIAL-BAL-2021'!Q210+'DMP-TRIAL-BAL-2021'!Q210</f>
        <v>0</v>
      </c>
      <c r="Y210" s="586">
        <f>+'NF-KSF-TRIAL-BAL-2021'!R210+'RA-TRIAL-BAL-2021'!R210+'DES-TRIAL-BAL-2021'!R210+'DMP-TRIAL-BAL-2021'!R210</f>
        <v>0</v>
      </c>
      <c r="Z210" s="587">
        <f>+'NF-KSF-TRIAL-BAL-2021'!S210+'RA-TRIAL-BAL-2021'!S210+'DES-TRIAL-BAL-2021'!S210+'DMP-TRIAL-BAL-2021'!S210</f>
        <v>0</v>
      </c>
      <c r="AA210" s="588">
        <f>+'NF-KSF-TRIAL-BAL-2021'!T210+'RA-TRIAL-BAL-2021'!T210+'DES-TRIAL-BAL-2021'!T210+'DMP-TRIAL-BAL-2021'!T210</f>
        <v>0</v>
      </c>
      <c r="AB210" s="51"/>
      <c r="AC210" s="581"/>
      <c r="AD210" s="576"/>
      <c r="AE210" s="122"/>
      <c r="AF210" s="121"/>
      <c r="AG210" s="583">
        <f>+IF(ABS(+AC210+AE210)&gt;=ABS(AD210+AF210),+AC210-AD210+AE210-AF210,0)</f>
        <v>0</v>
      </c>
      <c r="AH210" s="580">
        <f>+IF(ABS(+AC210+AE210)&lt;=ABS(AD210+AF210),-AC210+AD210-AE210+AF210,0)</f>
        <v>0</v>
      </c>
      <c r="AI210" s="51"/>
      <c r="AJ210" s="1497">
        <f>+N210</f>
        <v>4659</v>
      </c>
      <c r="AK210" s="951">
        <f t="shared" si="116"/>
        <v>0</v>
      </c>
      <c r="AL210" s="970">
        <f t="shared" si="116"/>
        <v>0</v>
      </c>
      <c r="AM210" s="326">
        <f t="shared" si="116"/>
        <v>0</v>
      </c>
      <c r="AN210" s="970">
        <f t="shared" si="116"/>
        <v>0</v>
      </c>
      <c r="AO210" s="326">
        <f t="shared" si="114"/>
        <v>0</v>
      </c>
      <c r="AP210" s="28">
        <f t="shared" si="108"/>
        <v>0</v>
      </c>
      <c r="AQ210" s="43"/>
      <c r="AR210" s="358">
        <f>+ROUND(+SUM(AK210-AL210)-SUM(O210-P210)-SUM(V210-W210)-SUM(AC210-AD210),2)</f>
        <v>0</v>
      </c>
      <c r="AS210" s="359">
        <f>+ROUND(+SUM(AM210-AN210)-SUM(Q210-R210)-SUM(X210-Y210)-SUM(AE210-AF210),2)</f>
        <v>0</v>
      </c>
      <c r="AT210" s="360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 t="s">
        <v>265</v>
      </c>
      <c r="N211" s="113">
        <f t="shared" si="106"/>
        <v>4671</v>
      </c>
      <c r="O211" s="581"/>
      <c r="P211" s="576"/>
      <c r="Q211" s="325"/>
      <c r="R211" s="324"/>
      <c r="S211" s="583">
        <f t="shared" si="112"/>
        <v>0</v>
      </c>
      <c r="T211" s="580">
        <f t="shared" si="93"/>
        <v>0</v>
      </c>
      <c r="U211" s="51"/>
      <c r="V211" s="541">
        <f>+'NF-KSF-TRIAL-BAL-2021'!O211+'RA-TRIAL-BAL-2021'!O211+'DES-TRIAL-BAL-2021'!O211+'DMP-TRIAL-BAL-2021'!O211</f>
        <v>0</v>
      </c>
      <c r="W211" s="529">
        <f>+'NF-KSF-TRIAL-BAL-2021'!P211+'RA-TRIAL-BAL-2021'!P211+'DES-TRIAL-BAL-2021'!P211+'DMP-TRIAL-BAL-2021'!P211</f>
        <v>0</v>
      </c>
      <c r="X211" s="587">
        <f>+'NF-KSF-TRIAL-BAL-2021'!Q211+'RA-TRIAL-BAL-2021'!Q211+'DES-TRIAL-BAL-2021'!Q211+'DMP-TRIAL-BAL-2021'!Q211</f>
        <v>0</v>
      </c>
      <c r="Y211" s="586">
        <f>+'NF-KSF-TRIAL-BAL-2021'!R211+'RA-TRIAL-BAL-2021'!R211+'DES-TRIAL-BAL-2021'!R211+'DMP-TRIAL-BAL-2021'!R211</f>
        <v>0</v>
      </c>
      <c r="Z211" s="587">
        <f>+'NF-KSF-TRIAL-BAL-2021'!S211+'RA-TRIAL-BAL-2021'!S211+'DES-TRIAL-BAL-2021'!S211+'DMP-TRIAL-BAL-2021'!S211</f>
        <v>0</v>
      </c>
      <c r="AA211" s="588">
        <f>+'NF-KSF-TRIAL-BAL-2021'!T211+'RA-TRIAL-BAL-2021'!T211+'DES-TRIAL-BAL-2021'!T211+'DMP-TRIAL-BAL-2021'!T211</f>
        <v>0</v>
      </c>
      <c r="AB211" s="51"/>
      <c r="AC211" s="581"/>
      <c r="AD211" s="576"/>
      <c r="AE211" s="325"/>
      <c r="AF211" s="324"/>
      <c r="AG211" s="583">
        <f t="shared" si="94"/>
        <v>0</v>
      </c>
      <c r="AH211" s="580">
        <f t="shared" si="95"/>
        <v>0</v>
      </c>
      <c r="AI211" s="51"/>
      <c r="AJ211" s="1497">
        <f t="shared" si="70"/>
        <v>4671</v>
      </c>
      <c r="AK211" s="951">
        <f t="shared" ref="AK211:AL218" si="117">+ROUND(+O211+V211+AC211,2)</f>
        <v>0</v>
      </c>
      <c r="AL211" s="970">
        <f t="shared" si="117"/>
        <v>0</v>
      </c>
      <c r="AM211" s="326">
        <f t="shared" ref="AM211:AN218" si="118">+ROUND(+Q211+X211+AE211,2)</f>
        <v>0</v>
      </c>
      <c r="AN211" s="970">
        <f t="shared" si="118"/>
        <v>0</v>
      </c>
      <c r="AO211" s="326">
        <f t="shared" si="114"/>
        <v>0</v>
      </c>
      <c r="AP211" s="28">
        <f t="shared" si="108"/>
        <v>0</v>
      </c>
      <c r="AQ211" s="43"/>
      <c r="AR211" s="358">
        <f t="shared" si="109"/>
        <v>0</v>
      </c>
      <c r="AS211" s="359">
        <f t="shared" si="110"/>
        <v>0</v>
      </c>
      <c r="AT211" s="360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 t="s">
        <v>265</v>
      </c>
      <c r="N212" s="113">
        <f t="shared" si="106"/>
        <v>4672</v>
      </c>
      <c r="O212" s="581"/>
      <c r="P212" s="576"/>
      <c r="Q212" s="325"/>
      <c r="R212" s="324"/>
      <c r="S212" s="583">
        <f t="shared" si="112"/>
        <v>0</v>
      </c>
      <c r="T212" s="580">
        <f t="shared" si="93"/>
        <v>0</v>
      </c>
      <c r="U212" s="51"/>
      <c r="V212" s="541">
        <f>+'NF-KSF-TRIAL-BAL-2021'!O212+'RA-TRIAL-BAL-2021'!O212+'DES-TRIAL-BAL-2021'!O212+'DMP-TRIAL-BAL-2021'!O212</f>
        <v>0</v>
      </c>
      <c r="W212" s="529">
        <f>+'NF-KSF-TRIAL-BAL-2021'!P212+'RA-TRIAL-BAL-2021'!P212+'DES-TRIAL-BAL-2021'!P212+'DMP-TRIAL-BAL-2021'!P212</f>
        <v>0</v>
      </c>
      <c r="X212" s="587">
        <f>+'NF-KSF-TRIAL-BAL-2021'!Q212+'RA-TRIAL-BAL-2021'!Q212+'DES-TRIAL-BAL-2021'!Q212+'DMP-TRIAL-BAL-2021'!Q212</f>
        <v>0</v>
      </c>
      <c r="Y212" s="586">
        <f>+'NF-KSF-TRIAL-BAL-2021'!R212+'RA-TRIAL-BAL-2021'!R212+'DES-TRIAL-BAL-2021'!R212+'DMP-TRIAL-BAL-2021'!R212</f>
        <v>0</v>
      </c>
      <c r="Z212" s="587">
        <f>+'NF-KSF-TRIAL-BAL-2021'!S212+'RA-TRIAL-BAL-2021'!S212+'DES-TRIAL-BAL-2021'!S212+'DMP-TRIAL-BAL-2021'!S212</f>
        <v>0</v>
      </c>
      <c r="AA212" s="588">
        <f>+'NF-KSF-TRIAL-BAL-2021'!T212+'RA-TRIAL-BAL-2021'!T212+'DES-TRIAL-BAL-2021'!T212+'DMP-TRIAL-BAL-2021'!T212</f>
        <v>0</v>
      </c>
      <c r="AB212" s="51"/>
      <c r="AC212" s="581"/>
      <c r="AD212" s="576"/>
      <c r="AE212" s="325"/>
      <c r="AF212" s="324"/>
      <c r="AG212" s="583">
        <f t="shared" si="94"/>
        <v>0</v>
      </c>
      <c r="AH212" s="580">
        <f t="shared" si="95"/>
        <v>0</v>
      </c>
      <c r="AI212" s="51"/>
      <c r="AJ212" s="1497">
        <f t="shared" si="70"/>
        <v>4672</v>
      </c>
      <c r="AK212" s="951">
        <f t="shared" si="117"/>
        <v>0</v>
      </c>
      <c r="AL212" s="970">
        <f t="shared" si="117"/>
        <v>0</v>
      </c>
      <c r="AM212" s="326">
        <f t="shared" si="118"/>
        <v>0</v>
      </c>
      <c r="AN212" s="970">
        <f t="shared" si="118"/>
        <v>0</v>
      </c>
      <c r="AO212" s="326">
        <f t="shared" si="114"/>
        <v>0</v>
      </c>
      <c r="AP212" s="28">
        <f t="shared" si="108"/>
        <v>0</v>
      </c>
      <c r="AQ212" s="43"/>
      <c r="AR212" s="358">
        <f t="shared" si="109"/>
        <v>0</v>
      </c>
      <c r="AS212" s="359">
        <f t="shared" si="110"/>
        <v>0</v>
      </c>
      <c r="AT212" s="360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 t="s">
        <v>265</v>
      </c>
      <c r="N213" s="113">
        <f t="shared" si="106"/>
        <v>4674</v>
      </c>
      <c r="O213" s="581"/>
      <c r="P213" s="576"/>
      <c r="Q213" s="325"/>
      <c r="R213" s="324"/>
      <c r="S213" s="583">
        <f t="shared" si="112"/>
        <v>0</v>
      </c>
      <c r="T213" s="580">
        <f t="shared" si="93"/>
        <v>0</v>
      </c>
      <c r="U213" s="51"/>
      <c r="V213" s="541">
        <f>+'NF-KSF-TRIAL-BAL-2021'!O213+'RA-TRIAL-BAL-2021'!O213+'DES-TRIAL-BAL-2021'!O213+'DMP-TRIAL-BAL-2021'!O213</f>
        <v>0</v>
      </c>
      <c r="W213" s="529">
        <f>+'NF-KSF-TRIAL-BAL-2021'!P213+'RA-TRIAL-BAL-2021'!P213+'DES-TRIAL-BAL-2021'!P213+'DMP-TRIAL-BAL-2021'!P213</f>
        <v>0</v>
      </c>
      <c r="X213" s="587">
        <f>+'NF-KSF-TRIAL-BAL-2021'!Q213+'RA-TRIAL-BAL-2021'!Q213+'DES-TRIAL-BAL-2021'!Q213+'DMP-TRIAL-BAL-2021'!Q213</f>
        <v>0</v>
      </c>
      <c r="Y213" s="586">
        <f>+'NF-KSF-TRIAL-BAL-2021'!R213+'RA-TRIAL-BAL-2021'!R213+'DES-TRIAL-BAL-2021'!R213+'DMP-TRIAL-BAL-2021'!R213</f>
        <v>0</v>
      </c>
      <c r="Z213" s="587">
        <f>+'NF-KSF-TRIAL-BAL-2021'!S213+'RA-TRIAL-BAL-2021'!S213+'DES-TRIAL-BAL-2021'!S213+'DMP-TRIAL-BAL-2021'!S213</f>
        <v>0</v>
      </c>
      <c r="AA213" s="588">
        <f>+'NF-KSF-TRIAL-BAL-2021'!T213+'RA-TRIAL-BAL-2021'!T213+'DES-TRIAL-BAL-2021'!T213+'DMP-TRIAL-BAL-2021'!T213</f>
        <v>0</v>
      </c>
      <c r="AB213" s="51"/>
      <c r="AC213" s="581"/>
      <c r="AD213" s="576"/>
      <c r="AE213" s="122"/>
      <c r="AF213" s="121"/>
      <c r="AG213" s="583">
        <f t="shared" si="94"/>
        <v>0</v>
      </c>
      <c r="AH213" s="580">
        <f t="shared" si="95"/>
        <v>0</v>
      </c>
      <c r="AI213" s="51"/>
      <c r="AJ213" s="1497">
        <f t="shared" si="70"/>
        <v>4674</v>
      </c>
      <c r="AK213" s="951">
        <f t="shared" si="117"/>
        <v>0</v>
      </c>
      <c r="AL213" s="970">
        <f t="shared" si="117"/>
        <v>0</v>
      </c>
      <c r="AM213" s="326">
        <f t="shared" si="118"/>
        <v>0</v>
      </c>
      <c r="AN213" s="970">
        <f t="shared" si="118"/>
        <v>0</v>
      </c>
      <c r="AO213" s="326">
        <f t="shared" si="114"/>
        <v>0</v>
      </c>
      <c r="AP213" s="28">
        <f t="shared" si="108"/>
        <v>0</v>
      </c>
      <c r="AQ213" s="43"/>
      <c r="AR213" s="358">
        <f t="shared" si="109"/>
        <v>0</v>
      </c>
      <c r="AS213" s="359">
        <f t="shared" si="110"/>
        <v>0</v>
      </c>
      <c r="AT213" s="360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 t="s">
        <v>265</v>
      </c>
      <c r="N214" s="113">
        <f t="shared" si="106"/>
        <v>4675</v>
      </c>
      <c r="O214" s="581"/>
      <c r="P214" s="576"/>
      <c r="Q214" s="325"/>
      <c r="R214" s="324"/>
      <c r="S214" s="583">
        <f t="shared" si="112"/>
        <v>0</v>
      </c>
      <c r="T214" s="580">
        <f>+IF(ABS(+O214+Q214)&lt;=ABS(P214+R214),-O214+P214-Q214+R214,0)</f>
        <v>0</v>
      </c>
      <c r="U214" s="51"/>
      <c r="V214" s="541">
        <f>+'NF-KSF-TRIAL-BAL-2021'!O214+'RA-TRIAL-BAL-2021'!O214+'DES-TRIAL-BAL-2021'!O214+'DMP-TRIAL-BAL-2021'!O214</f>
        <v>0</v>
      </c>
      <c r="W214" s="529">
        <f>+'NF-KSF-TRIAL-BAL-2021'!P214+'RA-TRIAL-BAL-2021'!P214+'DES-TRIAL-BAL-2021'!P214+'DMP-TRIAL-BAL-2021'!P214</f>
        <v>0</v>
      </c>
      <c r="X214" s="587">
        <f>+'NF-KSF-TRIAL-BAL-2021'!Q214+'RA-TRIAL-BAL-2021'!Q214+'DES-TRIAL-BAL-2021'!Q214+'DMP-TRIAL-BAL-2021'!Q214</f>
        <v>0</v>
      </c>
      <c r="Y214" s="586">
        <f>+'NF-KSF-TRIAL-BAL-2021'!R214+'RA-TRIAL-BAL-2021'!R214+'DES-TRIAL-BAL-2021'!R214+'DMP-TRIAL-BAL-2021'!R214</f>
        <v>0</v>
      </c>
      <c r="Z214" s="587">
        <f>+'NF-KSF-TRIAL-BAL-2021'!S214+'RA-TRIAL-BAL-2021'!S214+'DES-TRIAL-BAL-2021'!S214+'DMP-TRIAL-BAL-2021'!S214</f>
        <v>0</v>
      </c>
      <c r="AA214" s="588">
        <f>+'NF-KSF-TRIAL-BAL-2021'!T214+'RA-TRIAL-BAL-2021'!T214+'DES-TRIAL-BAL-2021'!T214+'DMP-TRIAL-BAL-2021'!T214</f>
        <v>0</v>
      </c>
      <c r="AB214" s="51"/>
      <c r="AC214" s="581"/>
      <c r="AD214" s="576"/>
      <c r="AE214" s="325"/>
      <c r="AF214" s="324"/>
      <c r="AG214" s="583">
        <f>+IF(ABS(+AC214+AE214)&gt;=ABS(AD214+AF214),+AC214-AD214+AE214-AF214,0)</f>
        <v>0</v>
      </c>
      <c r="AH214" s="580">
        <f>+IF(ABS(+AC214+AE214)&lt;=ABS(AD214+AF214),-AC214+AD214-AE214+AF214,0)</f>
        <v>0</v>
      </c>
      <c r="AI214" s="51"/>
      <c r="AJ214" s="1497">
        <f>+N214</f>
        <v>4675</v>
      </c>
      <c r="AK214" s="951">
        <f t="shared" si="117"/>
        <v>0</v>
      </c>
      <c r="AL214" s="970">
        <f t="shared" si="117"/>
        <v>0</v>
      </c>
      <c r="AM214" s="326">
        <f t="shared" si="118"/>
        <v>0</v>
      </c>
      <c r="AN214" s="970">
        <f t="shared" si="118"/>
        <v>0</v>
      </c>
      <c r="AO214" s="326">
        <f t="shared" si="114"/>
        <v>0</v>
      </c>
      <c r="AP214" s="28">
        <f t="shared" si="108"/>
        <v>0</v>
      </c>
      <c r="AQ214" s="43"/>
      <c r="AR214" s="358">
        <f>+ROUND(+SUM(AK214-AL214)-SUM(O214-P214)-SUM(V214-W214)-SUM(AC214-AD214),2)</f>
        <v>0</v>
      </c>
      <c r="AS214" s="359">
        <f>+ROUND(+SUM(AM214-AN214)-SUM(Q214-R214)-SUM(X214-Y214)-SUM(AE214-AF214),2)</f>
        <v>0</v>
      </c>
      <c r="AT214" s="360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 t="s">
        <v>265</v>
      </c>
      <c r="N215" s="113">
        <f t="shared" si="106"/>
        <v>4679</v>
      </c>
      <c r="O215" s="581"/>
      <c r="P215" s="576"/>
      <c r="Q215" s="325"/>
      <c r="R215" s="324"/>
      <c r="S215" s="583">
        <f t="shared" si="112"/>
        <v>0</v>
      </c>
      <c r="T215" s="580">
        <f t="shared" si="93"/>
        <v>0</v>
      </c>
      <c r="U215" s="51"/>
      <c r="V215" s="541">
        <f>+'NF-KSF-TRIAL-BAL-2021'!O215+'RA-TRIAL-BAL-2021'!O215+'DES-TRIAL-BAL-2021'!O215+'DMP-TRIAL-BAL-2021'!O215</f>
        <v>0</v>
      </c>
      <c r="W215" s="529">
        <f>+'NF-KSF-TRIAL-BAL-2021'!P215+'RA-TRIAL-BAL-2021'!P215+'DES-TRIAL-BAL-2021'!P215+'DMP-TRIAL-BAL-2021'!P215</f>
        <v>0</v>
      </c>
      <c r="X215" s="587">
        <f>+'NF-KSF-TRIAL-BAL-2021'!Q215+'RA-TRIAL-BAL-2021'!Q215+'DES-TRIAL-BAL-2021'!Q215+'DMP-TRIAL-BAL-2021'!Q215</f>
        <v>0</v>
      </c>
      <c r="Y215" s="586">
        <f>+'NF-KSF-TRIAL-BAL-2021'!R215+'RA-TRIAL-BAL-2021'!R215+'DES-TRIAL-BAL-2021'!R215+'DMP-TRIAL-BAL-2021'!R215</f>
        <v>0</v>
      </c>
      <c r="Z215" s="587">
        <f>+'NF-KSF-TRIAL-BAL-2021'!S215+'RA-TRIAL-BAL-2021'!S215+'DES-TRIAL-BAL-2021'!S215+'DMP-TRIAL-BAL-2021'!S215</f>
        <v>0</v>
      </c>
      <c r="AA215" s="588">
        <f>+'NF-KSF-TRIAL-BAL-2021'!T215+'RA-TRIAL-BAL-2021'!T215+'DES-TRIAL-BAL-2021'!T215+'DMP-TRIAL-BAL-2021'!T215</f>
        <v>0</v>
      </c>
      <c r="AB215" s="51"/>
      <c r="AC215" s="581"/>
      <c r="AD215" s="576"/>
      <c r="AE215" s="325"/>
      <c r="AF215" s="324"/>
      <c r="AG215" s="583">
        <f t="shared" si="94"/>
        <v>0</v>
      </c>
      <c r="AH215" s="580">
        <f t="shared" si="95"/>
        <v>0</v>
      </c>
      <c r="AI215" s="51"/>
      <c r="AJ215" s="1497">
        <f t="shared" si="70"/>
        <v>4679</v>
      </c>
      <c r="AK215" s="951">
        <f t="shared" si="117"/>
        <v>0</v>
      </c>
      <c r="AL215" s="970">
        <f t="shared" si="117"/>
        <v>0</v>
      </c>
      <c r="AM215" s="326">
        <f t="shared" si="118"/>
        <v>0</v>
      </c>
      <c r="AN215" s="970">
        <f t="shared" si="118"/>
        <v>0</v>
      </c>
      <c r="AO215" s="326">
        <f t="shared" si="114"/>
        <v>0</v>
      </c>
      <c r="AP215" s="28">
        <f t="shared" si="108"/>
        <v>0</v>
      </c>
      <c r="AQ215" s="43"/>
      <c r="AR215" s="358">
        <f t="shared" si="109"/>
        <v>0</v>
      </c>
      <c r="AS215" s="359">
        <f t="shared" si="110"/>
        <v>0</v>
      </c>
      <c r="AT215" s="360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 t="s">
        <v>265</v>
      </c>
      <c r="N216" s="113">
        <f t="shared" si="106"/>
        <v>4682</v>
      </c>
      <c r="O216" s="581">
        <v>0</v>
      </c>
      <c r="P216" s="576">
        <v>9774.81</v>
      </c>
      <c r="Q216" s="325">
        <v>10200.26</v>
      </c>
      <c r="R216" s="324">
        <v>5508.6</v>
      </c>
      <c r="S216" s="583">
        <f t="shared" si="112"/>
        <v>0</v>
      </c>
      <c r="T216" s="580">
        <f t="shared" si="93"/>
        <v>5083.1499999999996</v>
      </c>
      <c r="U216" s="51"/>
      <c r="V216" s="541">
        <f>+'NF-KSF-TRIAL-BAL-2021'!O216+'RA-TRIAL-BAL-2021'!O216+'DES-TRIAL-BAL-2021'!O216+'DMP-TRIAL-BAL-2021'!O216</f>
        <v>9774.81</v>
      </c>
      <c r="W216" s="529">
        <f>+'NF-KSF-TRIAL-BAL-2021'!P216+'RA-TRIAL-BAL-2021'!P216+'DES-TRIAL-BAL-2021'!P216+'DMP-TRIAL-BAL-2021'!P216</f>
        <v>0</v>
      </c>
      <c r="X216" s="587">
        <f>+'NF-KSF-TRIAL-BAL-2021'!Q216+'RA-TRIAL-BAL-2021'!Q216+'DES-TRIAL-BAL-2021'!Q216+'DMP-TRIAL-BAL-2021'!Q216</f>
        <v>5061</v>
      </c>
      <c r="Y216" s="586">
        <f>+'NF-KSF-TRIAL-BAL-2021'!R216+'RA-TRIAL-BAL-2021'!R216+'DES-TRIAL-BAL-2021'!R216+'DMP-TRIAL-BAL-2021'!R216</f>
        <v>9752.66</v>
      </c>
      <c r="Z216" s="587">
        <f>+'NF-KSF-TRIAL-BAL-2021'!S216+'RA-TRIAL-BAL-2021'!S216+'DES-TRIAL-BAL-2021'!S216+'DMP-TRIAL-BAL-2021'!S216</f>
        <v>5083.1499999999996</v>
      </c>
      <c r="AA216" s="588">
        <f>+'NF-KSF-TRIAL-BAL-2021'!T216+'RA-TRIAL-BAL-2021'!T216+'DES-TRIAL-BAL-2021'!T216+'DMP-TRIAL-BAL-2021'!T216</f>
        <v>0</v>
      </c>
      <c r="AB216" s="51"/>
      <c r="AC216" s="581"/>
      <c r="AD216" s="576"/>
      <c r="AE216" s="122"/>
      <c r="AF216" s="121"/>
      <c r="AG216" s="583">
        <f t="shared" si="94"/>
        <v>0</v>
      </c>
      <c r="AH216" s="580">
        <f t="shared" si="95"/>
        <v>0</v>
      </c>
      <c r="AI216" s="51"/>
      <c r="AJ216" s="1497">
        <f t="shared" si="70"/>
        <v>4682</v>
      </c>
      <c r="AK216" s="951">
        <f t="shared" si="117"/>
        <v>9774.81</v>
      </c>
      <c r="AL216" s="970">
        <f t="shared" si="117"/>
        <v>9774.81</v>
      </c>
      <c r="AM216" s="326">
        <f t="shared" si="118"/>
        <v>15261.26</v>
      </c>
      <c r="AN216" s="970">
        <f t="shared" si="118"/>
        <v>15261.26</v>
      </c>
      <c r="AO216" s="326">
        <f t="shared" si="114"/>
        <v>5083.1499999999996</v>
      </c>
      <c r="AP216" s="28">
        <f t="shared" si="108"/>
        <v>5083.1499999999996</v>
      </c>
      <c r="AQ216" s="43"/>
      <c r="AR216" s="358">
        <f t="shared" si="109"/>
        <v>0</v>
      </c>
      <c r="AS216" s="359">
        <f t="shared" si="110"/>
        <v>0</v>
      </c>
      <c r="AT216" s="360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 t="s">
        <v>265</v>
      </c>
      <c r="N217" s="113">
        <f t="shared" si="106"/>
        <v>4684</v>
      </c>
      <c r="O217" s="581">
        <v>0</v>
      </c>
      <c r="P217" s="576">
        <v>146049.57</v>
      </c>
      <c r="Q217" s="325">
        <v>202001.35</v>
      </c>
      <c r="R217" s="324">
        <v>82575.22</v>
      </c>
      <c r="S217" s="583">
        <f t="shared" si="112"/>
        <v>0</v>
      </c>
      <c r="T217" s="580">
        <f t="shared" si="93"/>
        <v>26623.440000000002</v>
      </c>
      <c r="U217" s="51"/>
      <c r="V217" s="541">
        <f>+'NF-KSF-TRIAL-BAL-2021'!O217+'RA-TRIAL-BAL-2021'!O217+'DES-TRIAL-BAL-2021'!O217+'DMP-TRIAL-BAL-2021'!O217</f>
        <v>146049.32999999999</v>
      </c>
      <c r="W217" s="529">
        <f>+'NF-KSF-TRIAL-BAL-2021'!P217+'RA-TRIAL-BAL-2021'!P217+'DES-TRIAL-BAL-2021'!P217+'DMP-TRIAL-BAL-2021'!P217</f>
        <v>0</v>
      </c>
      <c r="X217" s="587">
        <f>+'NF-KSF-TRIAL-BAL-2021'!Q217+'RA-TRIAL-BAL-2021'!Q217+'DES-TRIAL-BAL-2021'!Q217+'DMP-TRIAL-BAL-2021'!Q217</f>
        <v>86863.260000000009</v>
      </c>
      <c r="Y217" s="586">
        <f>+'NF-KSF-TRIAL-BAL-2021'!R217+'RA-TRIAL-BAL-2021'!R217+'DES-TRIAL-BAL-2021'!R217+'DMP-TRIAL-BAL-2021'!R217</f>
        <v>206289.15</v>
      </c>
      <c r="Z217" s="587">
        <f>+'NF-KSF-TRIAL-BAL-2021'!S217+'RA-TRIAL-BAL-2021'!S217+'DES-TRIAL-BAL-2021'!S217+'DMP-TRIAL-BAL-2021'!S217</f>
        <v>26623.439999999995</v>
      </c>
      <c r="AA217" s="588">
        <f>+'NF-KSF-TRIAL-BAL-2021'!T217+'RA-TRIAL-BAL-2021'!T217+'DES-TRIAL-BAL-2021'!T217+'DMP-TRIAL-BAL-2021'!T217</f>
        <v>0</v>
      </c>
      <c r="AB217" s="51"/>
      <c r="AC217" s="581"/>
      <c r="AD217" s="576"/>
      <c r="AE217" s="325"/>
      <c r="AF217" s="324"/>
      <c r="AG217" s="583">
        <f t="shared" si="94"/>
        <v>0</v>
      </c>
      <c r="AH217" s="580">
        <f t="shared" si="95"/>
        <v>0</v>
      </c>
      <c r="AI217" s="51"/>
      <c r="AJ217" s="1497">
        <f t="shared" si="70"/>
        <v>4684</v>
      </c>
      <c r="AK217" s="951">
        <f t="shared" si="117"/>
        <v>146049.32999999999</v>
      </c>
      <c r="AL217" s="970">
        <f t="shared" si="117"/>
        <v>146049.57</v>
      </c>
      <c r="AM217" s="326">
        <f t="shared" si="118"/>
        <v>288864.61</v>
      </c>
      <c r="AN217" s="970">
        <f t="shared" si="118"/>
        <v>288864.37</v>
      </c>
      <c r="AO217" s="326">
        <f t="shared" si="114"/>
        <v>26623.439999999995</v>
      </c>
      <c r="AP217" s="28">
        <f t="shared" si="108"/>
        <v>26623.440000000002</v>
      </c>
      <c r="AQ217" s="43"/>
      <c r="AR217" s="358">
        <f t="shared" si="109"/>
        <v>0</v>
      </c>
      <c r="AS217" s="359">
        <f t="shared" si="110"/>
        <v>0</v>
      </c>
      <c r="AT217" s="360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 t="s">
        <v>265</v>
      </c>
      <c r="N218" s="113">
        <f t="shared" si="106"/>
        <v>4685</v>
      </c>
      <c r="O218" s="581"/>
      <c r="P218" s="576"/>
      <c r="Q218" s="325"/>
      <c r="R218" s="324"/>
      <c r="S218" s="583">
        <f t="shared" si="112"/>
        <v>0</v>
      </c>
      <c r="T218" s="580">
        <f t="shared" si="93"/>
        <v>0</v>
      </c>
      <c r="U218" s="51"/>
      <c r="V218" s="541">
        <f>+'NF-KSF-TRIAL-BAL-2021'!O218+'RA-TRIAL-BAL-2021'!O218+'DES-TRIAL-BAL-2021'!O218+'DMP-TRIAL-BAL-2021'!O218</f>
        <v>0</v>
      </c>
      <c r="W218" s="529">
        <f>+'NF-KSF-TRIAL-BAL-2021'!P218+'RA-TRIAL-BAL-2021'!P218+'DES-TRIAL-BAL-2021'!P218+'DMP-TRIAL-BAL-2021'!P218</f>
        <v>0</v>
      </c>
      <c r="X218" s="587">
        <f>+'NF-KSF-TRIAL-BAL-2021'!Q218+'RA-TRIAL-BAL-2021'!Q218+'DES-TRIAL-BAL-2021'!Q218+'DMP-TRIAL-BAL-2021'!Q218</f>
        <v>0</v>
      </c>
      <c r="Y218" s="586">
        <f>+'NF-KSF-TRIAL-BAL-2021'!R218+'RA-TRIAL-BAL-2021'!R218+'DES-TRIAL-BAL-2021'!R218+'DMP-TRIAL-BAL-2021'!R218</f>
        <v>0</v>
      </c>
      <c r="Z218" s="587">
        <f>+'NF-KSF-TRIAL-BAL-2021'!S218+'RA-TRIAL-BAL-2021'!S218+'DES-TRIAL-BAL-2021'!S218+'DMP-TRIAL-BAL-2021'!S218</f>
        <v>0</v>
      </c>
      <c r="AA218" s="588">
        <f>+'NF-KSF-TRIAL-BAL-2021'!T218+'RA-TRIAL-BAL-2021'!T218+'DES-TRIAL-BAL-2021'!T218+'DMP-TRIAL-BAL-2021'!T218</f>
        <v>0</v>
      </c>
      <c r="AB218" s="51"/>
      <c r="AC218" s="581"/>
      <c r="AD218" s="576"/>
      <c r="AE218" s="325"/>
      <c r="AF218" s="324"/>
      <c r="AG218" s="583">
        <f t="shared" si="94"/>
        <v>0</v>
      </c>
      <c r="AH218" s="580">
        <f t="shared" si="95"/>
        <v>0</v>
      </c>
      <c r="AI218" s="51"/>
      <c r="AJ218" s="1497">
        <f t="shared" si="70"/>
        <v>4685</v>
      </c>
      <c r="AK218" s="951">
        <f t="shared" si="117"/>
        <v>0</v>
      </c>
      <c r="AL218" s="970">
        <f t="shared" si="117"/>
        <v>0</v>
      </c>
      <c r="AM218" s="326">
        <f t="shared" si="118"/>
        <v>0</v>
      </c>
      <c r="AN218" s="970">
        <f t="shared" si="118"/>
        <v>0</v>
      </c>
      <c r="AO218" s="326">
        <f t="shared" si="114"/>
        <v>0</v>
      </c>
      <c r="AP218" s="28">
        <f t="shared" si="108"/>
        <v>0</v>
      </c>
      <c r="AQ218" s="43"/>
      <c r="AR218" s="358">
        <f t="shared" si="109"/>
        <v>0</v>
      </c>
      <c r="AS218" s="359">
        <f t="shared" si="110"/>
        <v>0</v>
      </c>
      <c r="AT218" s="360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 t="s">
        <v>265</v>
      </c>
      <c r="N219" s="113">
        <f t="shared" si="106"/>
        <v>4691</v>
      </c>
      <c r="O219" s="581">
        <v>131951.16</v>
      </c>
      <c r="P219" s="582">
        <v>0</v>
      </c>
      <c r="Q219" s="325"/>
      <c r="R219" s="324">
        <v>17249.900000000001</v>
      </c>
      <c r="S219" s="583">
        <f t="shared" si="112"/>
        <v>114701.26000000001</v>
      </c>
      <c r="T219" s="584">
        <v>0</v>
      </c>
      <c r="U219" s="51"/>
      <c r="V219" s="541">
        <f>+'NF-KSF-TRIAL-BAL-2021'!O219+'RA-TRIAL-BAL-2021'!O219+'DES-TRIAL-BAL-2021'!O219+'DMP-TRIAL-BAL-2021'!O219</f>
        <v>0</v>
      </c>
      <c r="W219" s="529">
        <f>+'NF-KSF-TRIAL-BAL-2021'!P219+'RA-TRIAL-BAL-2021'!P219+'DES-TRIAL-BAL-2021'!P219+'DMP-TRIAL-BAL-2021'!P219</f>
        <v>0</v>
      </c>
      <c r="X219" s="587">
        <f>+'NF-KSF-TRIAL-BAL-2021'!Q219+'RA-TRIAL-BAL-2021'!Q219+'DES-TRIAL-BAL-2021'!Q219+'DMP-TRIAL-BAL-2021'!Q219</f>
        <v>0</v>
      </c>
      <c r="Y219" s="586">
        <f>+'NF-KSF-TRIAL-BAL-2021'!R219+'RA-TRIAL-BAL-2021'!R219+'DES-TRIAL-BAL-2021'!R219+'DMP-TRIAL-BAL-2021'!R219</f>
        <v>0</v>
      </c>
      <c r="Z219" s="587">
        <f>+'NF-KSF-TRIAL-BAL-2021'!S219+'RA-TRIAL-BAL-2021'!S219+'DES-TRIAL-BAL-2021'!S219+'DMP-TRIAL-BAL-2021'!S219</f>
        <v>0</v>
      </c>
      <c r="AA219" s="588">
        <f>+'NF-KSF-TRIAL-BAL-2021'!T219+'RA-TRIAL-BAL-2021'!T219+'DES-TRIAL-BAL-2021'!T219+'DMP-TRIAL-BAL-2021'!T219</f>
        <v>0</v>
      </c>
      <c r="AB219" s="51"/>
      <c r="AC219" s="581"/>
      <c r="AD219" s="582">
        <v>0</v>
      </c>
      <c r="AE219" s="325"/>
      <c r="AF219" s="324"/>
      <c r="AG219" s="583">
        <f t="shared" si="94"/>
        <v>0</v>
      </c>
      <c r="AH219" s="584">
        <v>0</v>
      </c>
      <c r="AI219" s="51"/>
      <c r="AJ219" s="1497">
        <f t="shared" ref="AJ219:AJ224" si="119">+N219</f>
        <v>4691</v>
      </c>
      <c r="AK219" s="951">
        <f>+ROUND(+O219+V219+AC219,2)</f>
        <v>131951.16</v>
      </c>
      <c r="AL219" s="9">
        <v>0</v>
      </c>
      <c r="AM219" s="326">
        <f t="shared" ref="AM219:AN224" si="120">+ROUND(+Q219+X219+AE219,2)</f>
        <v>0</v>
      </c>
      <c r="AN219" s="970">
        <f t="shared" si="120"/>
        <v>17249.900000000001</v>
      </c>
      <c r="AO219" s="326">
        <f t="shared" si="114"/>
        <v>114701.26000000001</v>
      </c>
      <c r="AP219" s="30">
        <v>0</v>
      </c>
      <c r="AQ219" s="43"/>
      <c r="AR219" s="358">
        <f t="shared" ref="AR219:AR224" si="121">+ROUND(+SUM(AK219-AL219)-SUM(O219-P219)-SUM(V219-W219)-SUM(AC219-AD219),2)</f>
        <v>0</v>
      </c>
      <c r="AS219" s="359">
        <f t="shared" ref="AS219:AS224" si="122">+ROUND(+SUM(AM219-AN219)-SUM(Q219-R219)-SUM(X219-Y219)-SUM(AE219-AF219),2)</f>
        <v>0</v>
      </c>
      <c r="AT219" s="360">
        <f t="shared" ref="AT219:AT224" si="123">+ROUND(+SUM(AO219-AP219)-SUM(S219-T219)-SUM(Z219-AA219)-SUM(AG219-AH219),2)</f>
        <v>0</v>
      </c>
      <c r="AU219" s="43"/>
      <c r="AV219" s="2120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120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 t="s">
        <v>265</v>
      </c>
      <c r="N220" s="113">
        <f t="shared" si="106"/>
        <v>4692</v>
      </c>
      <c r="O220" s="575">
        <v>0</v>
      </c>
      <c r="P220" s="576"/>
      <c r="Q220" s="325"/>
      <c r="R220" s="324"/>
      <c r="S220" s="579">
        <v>0</v>
      </c>
      <c r="T220" s="580">
        <f>+IF(ABS(+O220+Q220)&lt;=ABS(P220+R220),-O220+P220-Q220+R220,0)</f>
        <v>0</v>
      </c>
      <c r="U220" s="51"/>
      <c r="V220" s="541">
        <f>+'NF-KSF-TRIAL-BAL-2021'!O220+'RA-TRIAL-BAL-2021'!O220+'DES-TRIAL-BAL-2021'!O220+'DMP-TRIAL-BAL-2021'!O220</f>
        <v>0</v>
      </c>
      <c r="W220" s="529">
        <f>+'NF-KSF-TRIAL-BAL-2021'!P220+'RA-TRIAL-BAL-2021'!P220+'DES-TRIAL-BAL-2021'!P220+'DMP-TRIAL-BAL-2021'!P220</f>
        <v>0</v>
      </c>
      <c r="X220" s="587">
        <f>+'NF-KSF-TRIAL-BAL-2021'!Q220+'RA-TRIAL-BAL-2021'!Q220+'DES-TRIAL-BAL-2021'!Q220+'DMP-TRIAL-BAL-2021'!Q220</f>
        <v>0</v>
      </c>
      <c r="Y220" s="586">
        <f>+'NF-KSF-TRIAL-BAL-2021'!R220+'RA-TRIAL-BAL-2021'!R220+'DES-TRIAL-BAL-2021'!R220+'DMP-TRIAL-BAL-2021'!R220</f>
        <v>0</v>
      </c>
      <c r="Z220" s="587">
        <f>+'NF-KSF-TRIAL-BAL-2021'!S220+'RA-TRIAL-BAL-2021'!S220+'DES-TRIAL-BAL-2021'!S220+'DMP-TRIAL-BAL-2021'!S220</f>
        <v>0</v>
      </c>
      <c r="AA220" s="588">
        <f>+'NF-KSF-TRIAL-BAL-2021'!T220+'RA-TRIAL-BAL-2021'!T220+'DES-TRIAL-BAL-2021'!T220+'DMP-TRIAL-BAL-2021'!T220</f>
        <v>0</v>
      </c>
      <c r="AB220" s="51"/>
      <c r="AC220" s="575">
        <v>0</v>
      </c>
      <c r="AD220" s="576"/>
      <c r="AE220" s="122"/>
      <c r="AF220" s="324"/>
      <c r="AG220" s="579">
        <v>0</v>
      </c>
      <c r="AH220" s="580">
        <f>+IF(ABS(+AC220+AE220)&lt;=ABS(AD220+AF220),-AC220+AD220-AE220+AF220,0)</f>
        <v>0</v>
      </c>
      <c r="AI220" s="51"/>
      <c r="AJ220" s="1497">
        <f t="shared" si="119"/>
        <v>4692</v>
      </c>
      <c r="AK220" s="8">
        <v>0</v>
      </c>
      <c r="AL220" s="970">
        <f>+ROUND(+P220+W220+AD220,2)</f>
        <v>0</v>
      </c>
      <c r="AM220" s="326">
        <f t="shared" si="120"/>
        <v>0</v>
      </c>
      <c r="AN220" s="970">
        <f t="shared" si="120"/>
        <v>0</v>
      </c>
      <c r="AO220" s="29">
        <v>0</v>
      </c>
      <c r="AP220" s="28">
        <f>+T220+AA220+AH220</f>
        <v>0</v>
      </c>
      <c r="AQ220" s="43"/>
      <c r="AR220" s="358">
        <f t="shared" si="121"/>
        <v>0</v>
      </c>
      <c r="AS220" s="359">
        <f t="shared" si="122"/>
        <v>0</v>
      </c>
      <c r="AT220" s="360">
        <f t="shared" si="123"/>
        <v>0</v>
      </c>
      <c r="AU220" s="43"/>
      <c r="AV220" s="2119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119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 t="s">
        <v>265</v>
      </c>
      <c r="N221" s="113">
        <f t="shared" si="106"/>
        <v>4693</v>
      </c>
      <c r="O221" s="581"/>
      <c r="P221" s="582">
        <v>0</v>
      </c>
      <c r="Q221" s="325"/>
      <c r="R221" s="324"/>
      <c r="S221" s="583">
        <f>+IF(ABS(+O221+Q221)&gt;=ABS(P221+R221),+O221-P221+Q221-R221,0)</f>
        <v>0</v>
      </c>
      <c r="T221" s="584">
        <v>0</v>
      </c>
      <c r="U221" s="51"/>
      <c r="V221" s="541">
        <f>+'NF-KSF-TRIAL-BAL-2021'!O221+'RA-TRIAL-BAL-2021'!O221+'DES-TRIAL-BAL-2021'!O221+'DMP-TRIAL-BAL-2021'!O221</f>
        <v>0</v>
      </c>
      <c r="W221" s="529">
        <f>+'NF-KSF-TRIAL-BAL-2021'!P221+'RA-TRIAL-BAL-2021'!P221+'DES-TRIAL-BAL-2021'!P221+'DMP-TRIAL-BAL-2021'!P221</f>
        <v>0</v>
      </c>
      <c r="X221" s="587">
        <f>+'NF-KSF-TRIAL-BAL-2021'!Q221+'RA-TRIAL-BAL-2021'!Q221+'DES-TRIAL-BAL-2021'!Q221+'DMP-TRIAL-BAL-2021'!Q221</f>
        <v>0</v>
      </c>
      <c r="Y221" s="586">
        <f>+'NF-KSF-TRIAL-BAL-2021'!R221+'RA-TRIAL-BAL-2021'!R221+'DES-TRIAL-BAL-2021'!R221+'DMP-TRIAL-BAL-2021'!R221</f>
        <v>0</v>
      </c>
      <c r="Z221" s="587">
        <f>+'NF-KSF-TRIAL-BAL-2021'!S221+'RA-TRIAL-BAL-2021'!S221+'DES-TRIAL-BAL-2021'!S221+'DMP-TRIAL-BAL-2021'!S221</f>
        <v>0</v>
      </c>
      <c r="AA221" s="588">
        <f>+'NF-KSF-TRIAL-BAL-2021'!T221+'RA-TRIAL-BAL-2021'!T221+'DES-TRIAL-BAL-2021'!T221+'DMP-TRIAL-BAL-2021'!T221</f>
        <v>0</v>
      </c>
      <c r="AB221" s="51"/>
      <c r="AC221" s="581"/>
      <c r="AD221" s="582">
        <v>0</v>
      </c>
      <c r="AE221" s="325"/>
      <c r="AF221" s="324"/>
      <c r="AG221" s="583">
        <f>+IF(ABS(+AC221+AE221)&gt;=ABS(AD221+AF221),+AC221-AD221+AE221-AF221,0)</f>
        <v>0</v>
      </c>
      <c r="AH221" s="584">
        <v>0</v>
      </c>
      <c r="AI221" s="51"/>
      <c r="AJ221" s="1497">
        <f t="shared" si="119"/>
        <v>4693</v>
      </c>
      <c r="AK221" s="951">
        <f>+ROUND(+O221+V221+AC221,2)</f>
        <v>0</v>
      </c>
      <c r="AL221" s="9">
        <v>0</v>
      </c>
      <c r="AM221" s="326">
        <f t="shared" si="120"/>
        <v>0</v>
      </c>
      <c r="AN221" s="970">
        <f t="shared" si="120"/>
        <v>0</v>
      </c>
      <c r="AO221" s="326">
        <f>+S221+Z221+AG221</f>
        <v>0</v>
      </c>
      <c r="AP221" s="30">
        <v>0</v>
      </c>
      <c r="AQ221" s="43"/>
      <c r="AR221" s="358">
        <f t="shared" si="121"/>
        <v>0</v>
      </c>
      <c r="AS221" s="359">
        <f t="shared" si="122"/>
        <v>0</v>
      </c>
      <c r="AT221" s="360">
        <f t="shared" si="123"/>
        <v>0</v>
      </c>
      <c r="AU221" s="43"/>
      <c r="AV221" s="2120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120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 t="s">
        <v>265</v>
      </c>
      <c r="N222" s="113">
        <f t="shared" si="106"/>
        <v>4694</v>
      </c>
      <c r="O222" s="575">
        <v>0</v>
      </c>
      <c r="P222" s="576"/>
      <c r="Q222" s="325"/>
      <c r="R222" s="324"/>
      <c r="S222" s="579">
        <v>0</v>
      </c>
      <c r="T222" s="580">
        <f>+IF(ABS(+O222+Q222)&lt;=ABS(P222+R222),-O222+P222-Q222+R222,0)</f>
        <v>0</v>
      </c>
      <c r="U222" s="51"/>
      <c r="V222" s="541">
        <f>+'NF-KSF-TRIAL-BAL-2021'!O222+'RA-TRIAL-BAL-2021'!O222+'DES-TRIAL-BAL-2021'!O222+'DMP-TRIAL-BAL-2021'!O222</f>
        <v>0</v>
      </c>
      <c r="W222" s="529">
        <f>+'NF-KSF-TRIAL-BAL-2021'!P222+'RA-TRIAL-BAL-2021'!P222+'DES-TRIAL-BAL-2021'!P222+'DMP-TRIAL-BAL-2021'!P222</f>
        <v>0</v>
      </c>
      <c r="X222" s="587">
        <f>+'NF-KSF-TRIAL-BAL-2021'!Q222+'RA-TRIAL-BAL-2021'!Q222+'DES-TRIAL-BAL-2021'!Q222+'DMP-TRIAL-BAL-2021'!Q222</f>
        <v>0</v>
      </c>
      <c r="Y222" s="586">
        <f>+'NF-KSF-TRIAL-BAL-2021'!R222+'RA-TRIAL-BAL-2021'!R222+'DES-TRIAL-BAL-2021'!R222+'DMP-TRIAL-BAL-2021'!R222</f>
        <v>0</v>
      </c>
      <c r="Z222" s="587">
        <f>+'NF-KSF-TRIAL-BAL-2021'!S222+'RA-TRIAL-BAL-2021'!S222+'DES-TRIAL-BAL-2021'!S222+'DMP-TRIAL-BAL-2021'!S222</f>
        <v>0</v>
      </c>
      <c r="AA222" s="588">
        <f>+'NF-KSF-TRIAL-BAL-2021'!T222+'RA-TRIAL-BAL-2021'!T222+'DES-TRIAL-BAL-2021'!T222+'DMP-TRIAL-BAL-2021'!T222</f>
        <v>0</v>
      </c>
      <c r="AB222" s="51"/>
      <c r="AC222" s="575">
        <v>0</v>
      </c>
      <c r="AD222" s="576"/>
      <c r="AE222" s="325"/>
      <c r="AF222" s="324"/>
      <c r="AG222" s="579">
        <v>0</v>
      </c>
      <c r="AH222" s="580">
        <f>+IF(ABS(+AC222+AE222)&lt;=ABS(AD222+AF222),-AC222+AD222-AE222+AF222,0)</f>
        <v>0</v>
      </c>
      <c r="AI222" s="51"/>
      <c r="AJ222" s="1497">
        <f t="shared" si="119"/>
        <v>4694</v>
      </c>
      <c r="AK222" s="8">
        <v>0</v>
      </c>
      <c r="AL222" s="970">
        <f>+ROUND(+P222+W222+AD222,2)</f>
        <v>0</v>
      </c>
      <c r="AM222" s="326">
        <f t="shared" si="120"/>
        <v>0</v>
      </c>
      <c r="AN222" s="970">
        <f t="shared" si="120"/>
        <v>0</v>
      </c>
      <c r="AO222" s="29">
        <v>0</v>
      </c>
      <c r="AP222" s="28">
        <f>+T222+AA222+AH222</f>
        <v>0</v>
      </c>
      <c r="AQ222" s="43"/>
      <c r="AR222" s="358">
        <f t="shared" si="121"/>
        <v>0</v>
      </c>
      <c r="AS222" s="359">
        <f t="shared" si="122"/>
        <v>0</v>
      </c>
      <c r="AT222" s="360">
        <f t="shared" si="123"/>
        <v>0</v>
      </c>
      <c r="AU222" s="43"/>
      <c r="AV222" s="2119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119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 t="s">
        <v>265</v>
      </c>
      <c r="N223" s="113">
        <f t="shared" si="106"/>
        <v>4695</v>
      </c>
      <c r="O223" s="581"/>
      <c r="P223" s="582">
        <v>0</v>
      </c>
      <c r="Q223" s="325"/>
      <c r="R223" s="324"/>
      <c r="S223" s="583">
        <f>+IF(ABS(+O223+Q223)&gt;=ABS(P223+R223),+O223-P223+Q223-R223,0)</f>
        <v>0</v>
      </c>
      <c r="T223" s="584">
        <v>0</v>
      </c>
      <c r="U223" s="51"/>
      <c r="V223" s="541">
        <f>+'NF-KSF-TRIAL-BAL-2021'!O223+'RA-TRIAL-BAL-2021'!O223+'DES-TRIAL-BAL-2021'!O223+'DMP-TRIAL-BAL-2021'!O223</f>
        <v>0</v>
      </c>
      <c r="W223" s="529">
        <f>+'NF-KSF-TRIAL-BAL-2021'!P223+'RA-TRIAL-BAL-2021'!P223+'DES-TRIAL-BAL-2021'!P223+'DMP-TRIAL-BAL-2021'!P223</f>
        <v>0</v>
      </c>
      <c r="X223" s="587">
        <f>+'NF-KSF-TRIAL-BAL-2021'!Q223+'RA-TRIAL-BAL-2021'!Q223+'DES-TRIAL-BAL-2021'!Q223+'DMP-TRIAL-BAL-2021'!Q223</f>
        <v>0</v>
      </c>
      <c r="Y223" s="586">
        <f>+'NF-KSF-TRIAL-BAL-2021'!R223+'RA-TRIAL-BAL-2021'!R223+'DES-TRIAL-BAL-2021'!R223+'DMP-TRIAL-BAL-2021'!R223</f>
        <v>0</v>
      </c>
      <c r="Z223" s="587">
        <f>+'NF-KSF-TRIAL-BAL-2021'!S223+'RA-TRIAL-BAL-2021'!S223+'DES-TRIAL-BAL-2021'!S223+'DMP-TRIAL-BAL-2021'!S223</f>
        <v>0</v>
      </c>
      <c r="AA223" s="588">
        <f>+'NF-KSF-TRIAL-BAL-2021'!T223+'RA-TRIAL-BAL-2021'!T223+'DES-TRIAL-BAL-2021'!T223+'DMP-TRIAL-BAL-2021'!T223</f>
        <v>0</v>
      </c>
      <c r="AB223" s="51"/>
      <c r="AC223" s="581"/>
      <c r="AD223" s="582">
        <v>0</v>
      </c>
      <c r="AE223" s="122"/>
      <c r="AF223" s="324"/>
      <c r="AG223" s="583">
        <f>+IF(ABS(+AC223+AE223)&gt;=ABS(AD223+AF223),+AC223-AD223+AE223-AF223,0)</f>
        <v>0</v>
      </c>
      <c r="AH223" s="584">
        <v>0</v>
      </c>
      <c r="AI223" s="51"/>
      <c r="AJ223" s="1497">
        <f t="shared" si="119"/>
        <v>4695</v>
      </c>
      <c r="AK223" s="951">
        <f>+ROUND(+O223+V223+AC223,2)</f>
        <v>0</v>
      </c>
      <c r="AL223" s="9">
        <v>0</v>
      </c>
      <c r="AM223" s="326">
        <f t="shared" si="120"/>
        <v>0</v>
      </c>
      <c r="AN223" s="970">
        <f t="shared" si="120"/>
        <v>0</v>
      </c>
      <c r="AO223" s="326">
        <f>+S223+Z223+AG223</f>
        <v>0</v>
      </c>
      <c r="AP223" s="30">
        <v>0</v>
      </c>
      <c r="AQ223" s="43"/>
      <c r="AR223" s="358">
        <f t="shared" si="121"/>
        <v>0</v>
      </c>
      <c r="AS223" s="359">
        <f t="shared" si="122"/>
        <v>0</v>
      </c>
      <c r="AT223" s="360">
        <f t="shared" si="123"/>
        <v>0</v>
      </c>
      <c r="AU223" s="43"/>
      <c r="AV223" s="2120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120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 t="s">
        <v>265</v>
      </c>
      <c r="N224" s="113">
        <f t="shared" si="106"/>
        <v>4696</v>
      </c>
      <c r="O224" s="575">
        <v>0</v>
      </c>
      <c r="P224" s="576"/>
      <c r="Q224" s="325"/>
      <c r="R224" s="324"/>
      <c r="S224" s="579">
        <v>0</v>
      </c>
      <c r="T224" s="580">
        <f>+IF(ABS(+O224+Q224)&lt;=ABS(P224+R224),-O224+P224-Q224+R224,0)</f>
        <v>0</v>
      </c>
      <c r="U224" s="51"/>
      <c r="V224" s="541">
        <f>+'NF-KSF-TRIAL-BAL-2021'!O224+'RA-TRIAL-BAL-2021'!O224+'DES-TRIAL-BAL-2021'!O224+'DMP-TRIAL-BAL-2021'!O224</f>
        <v>0</v>
      </c>
      <c r="W224" s="529">
        <f>+'NF-KSF-TRIAL-BAL-2021'!P224+'RA-TRIAL-BAL-2021'!P224+'DES-TRIAL-BAL-2021'!P224+'DMP-TRIAL-BAL-2021'!P224</f>
        <v>0</v>
      </c>
      <c r="X224" s="587">
        <f>+'NF-KSF-TRIAL-BAL-2021'!Q224+'RA-TRIAL-BAL-2021'!Q224+'DES-TRIAL-BAL-2021'!Q224+'DMP-TRIAL-BAL-2021'!Q224</f>
        <v>0</v>
      </c>
      <c r="Y224" s="586">
        <f>+'NF-KSF-TRIAL-BAL-2021'!R224+'RA-TRIAL-BAL-2021'!R224+'DES-TRIAL-BAL-2021'!R224+'DMP-TRIAL-BAL-2021'!R224</f>
        <v>0</v>
      </c>
      <c r="Z224" s="587">
        <f>+'NF-KSF-TRIAL-BAL-2021'!S224+'RA-TRIAL-BAL-2021'!S224+'DES-TRIAL-BAL-2021'!S224+'DMP-TRIAL-BAL-2021'!S224</f>
        <v>0</v>
      </c>
      <c r="AA224" s="588">
        <f>+'NF-KSF-TRIAL-BAL-2021'!T224+'RA-TRIAL-BAL-2021'!T224+'DES-TRIAL-BAL-2021'!T224+'DMP-TRIAL-BAL-2021'!T224</f>
        <v>0</v>
      </c>
      <c r="AB224" s="51"/>
      <c r="AC224" s="575">
        <v>0</v>
      </c>
      <c r="AD224" s="576"/>
      <c r="AE224" s="325"/>
      <c r="AF224" s="324"/>
      <c r="AG224" s="579">
        <v>0</v>
      </c>
      <c r="AH224" s="580">
        <f>+IF(ABS(+AC224+AE224)&lt;=ABS(AD224+AF224),-AC224+AD224-AE224+AF224,0)</f>
        <v>0</v>
      </c>
      <c r="AI224" s="51"/>
      <c r="AJ224" s="1497">
        <f t="shared" si="119"/>
        <v>4696</v>
      </c>
      <c r="AK224" s="8">
        <v>0</v>
      </c>
      <c r="AL224" s="970">
        <f>+ROUND(+P224+W224+AD224,2)</f>
        <v>0</v>
      </c>
      <c r="AM224" s="326">
        <f t="shared" si="120"/>
        <v>0</v>
      </c>
      <c r="AN224" s="970">
        <f t="shared" si="120"/>
        <v>0</v>
      </c>
      <c r="AO224" s="29">
        <v>0</v>
      </c>
      <c r="AP224" s="28">
        <f>+T224+AA224+AH224</f>
        <v>0</v>
      </c>
      <c r="AQ224" s="43"/>
      <c r="AR224" s="358">
        <f t="shared" si="121"/>
        <v>0</v>
      </c>
      <c r="AS224" s="359">
        <f t="shared" si="122"/>
        <v>0</v>
      </c>
      <c r="AT224" s="360">
        <f t="shared" si="123"/>
        <v>0</v>
      </c>
      <c r="AU224" s="43"/>
      <c r="AV224" s="2119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119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 t="s">
        <v>265</v>
      </c>
      <c r="N225" s="113">
        <f t="shared" si="106"/>
        <v>4830</v>
      </c>
      <c r="O225" s="575">
        <v>0</v>
      </c>
      <c r="P225" s="576"/>
      <c r="Q225" s="325"/>
      <c r="R225" s="324"/>
      <c r="S225" s="579">
        <v>0</v>
      </c>
      <c r="T225" s="580">
        <f>+IF(ABS(+O225+Q225)&lt;=ABS(P225+R225),-O225+P225-Q225+R225,0)</f>
        <v>0</v>
      </c>
      <c r="U225" s="51"/>
      <c r="V225" s="541">
        <f>+'NF-KSF-TRIAL-BAL-2021'!O225+'RA-TRIAL-BAL-2021'!O225+'DES-TRIAL-BAL-2021'!O225+'DMP-TRIAL-BAL-2021'!O225</f>
        <v>0</v>
      </c>
      <c r="W225" s="529">
        <f>+'NF-KSF-TRIAL-BAL-2021'!P225+'RA-TRIAL-BAL-2021'!P225+'DES-TRIAL-BAL-2021'!P225+'DMP-TRIAL-BAL-2021'!P225</f>
        <v>0</v>
      </c>
      <c r="X225" s="587">
        <f>+'NF-KSF-TRIAL-BAL-2021'!Q225+'RA-TRIAL-BAL-2021'!Q225+'DES-TRIAL-BAL-2021'!Q225+'DMP-TRIAL-BAL-2021'!Q225</f>
        <v>0</v>
      </c>
      <c r="Y225" s="586">
        <f>+'NF-KSF-TRIAL-BAL-2021'!R225+'RA-TRIAL-BAL-2021'!R225+'DES-TRIAL-BAL-2021'!R225+'DMP-TRIAL-BAL-2021'!R225</f>
        <v>0</v>
      </c>
      <c r="Z225" s="587">
        <f>+'NF-KSF-TRIAL-BAL-2021'!S225+'RA-TRIAL-BAL-2021'!S225+'DES-TRIAL-BAL-2021'!S225+'DMP-TRIAL-BAL-2021'!S225</f>
        <v>0</v>
      </c>
      <c r="AA225" s="588">
        <f>+'NF-KSF-TRIAL-BAL-2021'!T225+'RA-TRIAL-BAL-2021'!T225+'DES-TRIAL-BAL-2021'!T225+'DMP-TRIAL-BAL-2021'!T225</f>
        <v>0</v>
      </c>
      <c r="AB225" s="51"/>
      <c r="AC225" s="575">
        <v>0</v>
      </c>
      <c r="AD225" s="576"/>
      <c r="AE225" s="325"/>
      <c r="AF225" s="324"/>
      <c r="AG225" s="579">
        <v>0</v>
      </c>
      <c r="AH225" s="580">
        <f>+IF(ABS(+AC225+AE225)&lt;=ABS(AD225+AF225),-AC225+AD225-AE225+AF225,0)</f>
        <v>0</v>
      </c>
      <c r="AI225" s="51"/>
      <c r="AJ225" s="1497">
        <f t="shared" ref="AJ225:AJ325" si="124">+N225</f>
        <v>4830</v>
      </c>
      <c r="AK225" s="8">
        <v>0</v>
      </c>
      <c r="AL225" s="970">
        <f>+ROUND(+P225+W225+AD225,2)</f>
        <v>0</v>
      </c>
      <c r="AM225" s="326">
        <f t="shared" ref="AM225:AN228" si="125">+ROUND(+Q225+X225+AE225,2)</f>
        <v>0</v>
      </c>
      <c r="AN225" s="970">
        <f t="shared" si="125"/>
        <v>0</v>
      </c>
      <c r="AO225" s="29">
        <v>0</v>
      </c>
      <c r="AP225" s="28">
        <f>+T225+AA225+AH225</f>
        <v>0</v>
      </c>
      <c r="AQ225" s="43"/>
      <c r="AR225" s="358">
        <f t="shared" si="109"/>
        <v>0</v>
      </c>
      <c r="AS225" s="359">
        <f t="shared" si="110"/>
        <v>0</v>
      </c>
      <c r="AT225" s="360">
        <f t="shared" si="111"/>
        <v>0</v>
      </c>
      <c r="AU225" s="43"/>
      <c r="AV225" s="2119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119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 t="s">
        <v>265</v>
      </c>
      <c r="N226" s="113">
        <f t="shared" si="106"/>
        <v>4831</v>
      </c>
      <c r="O226" s="575">
        <v>0</v>
      </c>
      <c r="P226" s="576"/>
      <c r="Q226" s="325"/>
      <c r="R226" s="324"/>
      <c r="S226" s="579">
        <v>0</v>
      </c>
      <c r="T226" s="580">
        <f>+IF(ABS(+O226+Q226)&lt;=ABS(P226+R226),-O226+P226-Q226+R226,0)</f>
        <v>0</v>
      </c>
      <c r="U226" s="51"/>
      <c r="V226" s="541">
        <f>+'NF-KSF-TRIAL-BAL-2021'!O226+'RA-TRIAL-BAL-2021'!O226+'DES-TRIAL-BAL-2021'!O226+'DMP-TRIAL-BAL-2021'!O226</f>
        <v>0</v>
      </c>
      <c r="W226" s="529">
        <f>+'NF-KSF-TRIAL-BAL-2021'!P226+'RA-TRIAL-BAL-2021'!P226+'DES-TRIAL-BAL-2021'!P226+'DMP-TRIAL-BAL-2021'!P226</f>
        <v>0</v>
      </c>
      <c r="X226" s="587">
        <f>+'NF-KSF-TRIAL-BAL-2021'!Q226+'RA-TRIAL-BAL-2021'!Q226+'DES-TRIAL-BAL-2021'!Q226+'DMP-TRIAL-BAL-2021'!Q226</f>
        <v>0</v>
      </c>
      <c r="Y226" s="586">
        <f>+'NF-KSF-TRIAL-BAL-2021'!R226+'RA-TRIAL-BAL-2021'!R226+'DES-TRIAL-BAL-2021'!R226+'DMP-TRIAL-BAL-2021'!R226</f>
        <v>0</v>
      </c>
      <c r="Z226" s="587">
        <f>+'NF-KSF-TRIAL-BAL-2021'!S226+'RA-TRIAL-BAL-2021'!S226+'DES-TRIAL-BAL-2021'!S226+'DMP-TRIAL-BAL-2021'!S226</f>
        <v>0</v>
      </c>
      <c r="AA226" s="588">
        <f>+'NF-KSF-TRIAL-BAL-2021'!T226+'RA-TRIAL-BAL-2021'!T226+'DES-TRIAL-BAL-2021'!T226+'DMP-TRIAL-BAL-2021'!T226</f>
        <v>0</v>
      </c>
      <c r="AB226" s="51"/>
      <c r="AC226" s="575">
        <v>0</v>
      </c>
      <c r="AD226" s="576">
        <v>613067.97</v>
      </c>
      <c r="AE226" s="122">
        <v>16916.29</v>
      </c>
      <c r="AF226" s="324">
        <v>19612.7</v>
      </c>
      <c r="AG226" s="579">
        <v>0</v>
      </c>
      <c r="AH226" s="580">
        <f>+IF(ABS(+AC226+AE226)&lt;=ABS(AD226+AF226),-AC226+AD226-AE226+AF226,0)</f>
        <v>615764.37999999989</v>
      </c>
      <c r="AI226" s="51"/>
      <c r="AJ226" s="1497">
        <f t="shared" si="124"/>
        <v>4831</v>
      </c>
      <c r="AK226" s="8">
        <v>0</v>
      </c>
      <c r="AL226" s="970">
        <f>+ROUND(+P226+W226+AD226,2)</f>
        <v>613067.97</v>
      </c>
      <c r="AM226" s="326">
        <f t="shared" si="125"/>
        <v>16916.29</v>
      </c>
      <c r="AN226" s="970">
        <f t="shared" si="125"/>
        <v>19612.7</v>
      </c>
      <c r="AO226" s="29">
        <v>0</v>
      </c>
      <c r="AP226" s="28">
        <f>+T226+AA226+AH226</f>
        <v>615764.37999999989</v>
      </c>
      <c r="AQ226" s="43"/>
      <c r="AR226" s="358">
        <f t="shared" si="109"/>
        <v>0</v>
      </c>
      <c r="AS226" s="359">
        <f t="shared" si="110"/>
        <v>0</v>
      </c>
      <c r="AT226" s="360">
        <f t="shared" si="111"/>
        <v>0</v>
      </c>
      <c r="AU226" s="43"/>
      <c r="AV226" s="2119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119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 t="s">
        <v>265</v>
      </c>
      <c r="N227" s="113">
        <f t="shared" si="106"/>
        <v>4832</v>
      </c>
      <c r="O227" s="575">
        <v>0</v>
      </c>
      <c r="P227" s="576"/>
      <c r="Q227" s="325"/>
      <c r="R227" s="324"/>
      <c r="S227" s="579">
        <v>0</v>
      </c>
      <c r="T227" s="580">
        <f>+IF(ABS(+O227+Q227)&lt;=ABS(P227+R227),-O227+P227-Q227+R227,0)</f>
        <v>0</v>
      </c>
      <c r="U227" s="51"/>
      <c r="V227" s="541">
        <f>+'NF-KSF-TRIAL-BAL-2021'!O227+'RA-TRIAL-BAL-2021'!O227+'DES-TRIAL-BAL-2021'!O227+'DMP-TRIAL-BAL-2021'!O227</f>
        <v>0</v>
      </c>
      <c r="W227" s="529">
        <f>+'NF-KSF-TRIAL-BAL-2021'!P227+'RA-TRIAL-BAL-2021'!P227+'DES-TRIAL-BAL-2021'!P227+'DMP-TRIAL-BAL-2021'!P227</f>
        <v>0</v>
      </c>
      <c r="X227" s="587">
        <f>+'NF-KSF-TRIAL-BAL-2021'!Q227+'RA-TRIAL-BAL-2021'!Q227+'DES-TRIAL-BAL-2021'!Q227+'DMP-TRIAL-BAL-2021'!Q227</f>
        <v>0</v>
      </c>
      <c r="Y227" s="586">
        <f>+'NF-KSF-TRIAL-BAL-2021'!R227+'RA-TRIAL-BAL-2021'!R227+'DES-TRIAL-BAL-2021'!R227+'DMP-TRIAL-BAL-2021'!R227</f>
        <v>0</v>
      </c>
      <c r="Z227" s="587">
        <f>+'NF-KSF-TRIAL-BAL-2021'!S227+'RA-TRIAL-BAL-2021'!S227+'DES-TRIAL-BAL-2021'!S227+'DMP-TRIAL-BAL-2021'!S227</f>
        <v>0</v>
      </c>
      <c r="AA227" s="588">
        <f>+'NF-KSF-TRIAL-BAL-2021'!T227+'RA-TRIAL-BAL-2021'!T227+'DES-TRIAL-BAL-2021'!T227+'DMP-TRIAL-BAL-2021'!T227</f>
        <v>0</v>
      </c>
      <c r="AB227" s="51"/>
      <c r="AC227" s="575">
        <v>0</v>
      </c>
      <c r="AD227" s="576"/>
      <c r="AE227" s="325"/>
      <c r="AF227" s="324"/>
      <c r="AG227" s="579">
        <v>0</v>
      </c>
      <c r="AH227" s="580">
        <f>+IF(ABS(+AC227+AE227)&lt;=ABS(AD227+AF227),-AC227+AD227-AE227+AF227,0)</f>
        <v>0</v>
      </c>
      <c r="AI227" s="51"/>
      <c r="AJ227" s="1497">
        <f t="shared" si="124"/>
        <v>4832</v>
      </c>
      <c r="AK227" s="8">
        <v>0</v>
      </c>
      <c r="AL227" s="970">
        <f>+ROUND(+P227+W227+AD227,2)</f>
        <v>0</v>
      </c>
      <c r="AM227" s="326">
        <f t="shared" si="125"/>
        <v>0</v>
      </c>
      <c r="AN227" s="970">
        <f t="shared" si="125"/>
        <v>0</v>
      </c>
      <c r="AO227" s="29">
        <v>0</v>
      </c>
      <c r="AP227" s="28">
        <f>+T227+AA227+AH227</f>
        <v>0</v>
      </c>
      <c r="AQ227" s="43"/>
      <c r="AR227" s="358">
        <f t="shared" si="109"/>
        <v>0</v>
      </c>
      <c r="AS227" s="359">
        <f t="shared" si="110"/>
        <v>0</v>
      </c>
      <c r="AT227" s="360">
        <f t="shared" si="111"/>
        <v>0</v>
      </c>
      <c r="AU227" s="43"/>
      <c r="AV227" s="2119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119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 t="s">
        <v>265</v>
      </c>
      <c r="N228" s="113">
        <f t="shared" si="106"/>
        <v>4835</v>
      </c>
      <c r="O228" s="575">
        <v>0</v>
      </c>
      <c r="P228" s="576"/>
      <c r="Q228" s="325"/>
      <c r="R228" s="324"/>
      <c r="S228" s="579">
        <v>0</v>
      </c>
      <c r="T228" s="580">
        <f>+IF(ABS(+O228+Q228)&lt;=ABS(P228+R228),-O228+P228-Q228+R228,0)</f>
        <v>0</v>
      </c>
      <c r="U228" s="51"/>
      <c r="V228" s="541">
        <f>+'NF-KSF-TRIAL-BAL-2021'!O228+'RA-TRIAL-BAL-2021'!O228+'DES-TRIAL-BAL-2021'!O228+'DMP-TRIAL-BAL-2021'!O228</f>
        <v>0</v>
      </c>
      <c r="W228" s="529">
        <f>+'NF-KSF-TRIAL-BAL-2021'!P228+'RA-TRIAL-BAL-2021'!P228+'DES-TRIAL-BAL-2021'!P228+'DMP-TRIAL-BAL-2021'!P228</f>
        <v>0</v>
      </c>
      <c r="X228" s="587">
        <f>+'NF-KSF-TRIAL-BAL-2021'!Q228+'RA-TRIAL-BAL-2021'!Q228+'DES-TRIAL-BAL-2021'!Q228+'DMP-TRIAL-BAL-2021'!Q228</f>
        <v>0</v>
      </c>
      <c r="Y228" s="586">
        <f>+'NF-KSF-TRIAL-BAL-2021'!R228+'RA-TRIAL-BAL-2021'!R228+'DES-TRIAL-BAL-2021'!R228+'DMP-TRIAL-BAL-2021'!R228</f>
        <v>0</v>
      </c>
      <c r="Z228" s="587">
        <f>+'NF-KSF-TRIAL-BAL-2021'!S228+'RA-TRIAL-BAL-2021'!S228+'DES-TRIAL-BAL-2021'!S228+'DMP-TRIAL-BAL-2021'!S228</f>
        <v>0</v>
      </c>
      <c r="AA228" s="588">
        <f>+'NF-KSF-TRIAL-BAL-2021'!T228+'RA-TRIAL-BAL-2021'!T228+'DES-TRIAL-BAL-2021'!T228+'DMP-TRIAL-BAL-2021'!T228</f>
        <v>0</v>
      </c>
      <c r="AB228" s="51"/>
      <c r="AC228" s="575">
        <v>0</v>
      </c>
      <c r="AD228" s="576"/>
      <c r="AE228" s="325"/>
      <c r="AF228" s="324"/>
      <c r="AG228" s="579">
        <v>0</v>
      </c>
      <c r="AH228" s="580">
        <f>+IF(ABS(+AC228+AE228)&lt;=ABS(AD228+AF228),-AC228+AD228-AE228+AF228,0)</f>
        <v>0</v>
      </c>
      <c r="AI228" s="51"/>
      <c r="AJ228" s="1497">
        <f t="shared" si="124"/>
        <v>4835</v>
      </c>
      <c r="AK228" s="8">
        <v>0</v>
      </c>
      <c r="AL228" s="970">
        <f>+ROUND(+P228+W228+AD228,2)</f>
        <v>0</v>
      </c>
      <c r="AM228" s="326">
        <f t="shared" si="125"/>
        <v>0</v>
      </c>
      <c r="AN228" s="970">
        <f t="shared" si="125"/>
        <v>0</v>
      </c>
      <c r="AO228" s="29">
        <v>0</v>
      </c>
      <c r="AP228" s="28">
        <f>+T228+AA228+AH228</f>
        <v>0</v>
      </c>
      <c r="AQ228" s="43"/>
      <c r="AR228" s="358">
        <f t="shared" si="109"/>
        <v>0</v>
      </c>
      <c r="AS228" s="359">
        <f t="shared" si="110"/>
        <v>0</v>
      </c>
      <c r="AT228" s="360">
        <f t="shared" si="111"/>
        <v>0</v>
      </c>
      <c r="AU228" s="43"/>
      <c r="AV228" s="2119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119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 t="s">
        <v>265</v>
      </c>
      <c r="N229" s="113">
        <f t="shared" si="106"/>
        <v>4841</v>
      </c>
      <c r="O229" s="581"/>
      <c r="P229" s="582">
        <v>0</v>
      </c>
      <c r="Q229" s="325"/>
      <c r="R229" s="324"/>
      <c r="S229" s="583">
        <f>+IF(ABS(+O229+Q229)&gt;=ABS(P229+R229),+O229-P229+Q229-R229,0)</f>
        <v>0</v>
      </c>
      <c r="T229" s="584">
        <v>0</v>
      </c>
      <c r="U229" s="51"/>
      <c r="V229" s="541">
        <f>+'NF-KSF-TRIAL-BAL-2021'!O229+'RA-TRIAL-BAL-2021'!O229+'DES-TRIAL-BAL-2021'!O229+'DMP-TRIAL-BAL-2021'!O229</f>
        <v>0</v>
      </c>
      <c r="W229" s="529">
        <f>+'NF-KSF-TRIAL-BAL-2021'!P229+'RA-TRIAL-BAL-2021'!P229+'DES-TRIAL-BAL-2021'!P229+'DMP-TRIAL-BAL-2021'!P229</f>
        <v>0</v>
      </c>
      <c r="X229" s="587">
        <f>+'NF-KSF-TRIAL-BAL-2021'!Q229+'RA-TRIAL-BAL-2021'!Q229+'DES-TRIAL-BAL-2021'!Q229+'DMP-TRIAL-BAL-2021'!Q229</f>
        <v>0</v>
      </c>
      <c r="Y229" s="586">
        <f>+'NF-KSF-TRIAL-BAL-2021'!R229+'RA-TRIAL-BAL-2021'!R229+'DES-TRIAL-BAL-2021'!R229+'DMP-TRIAL-BAL-2021'!R229</f>
        <v>0</v>
      </c>
      <c r="Z229" s="587">
        <f>+'NF-KSF-TRIAL-BAL-2021'!S229+'RA-TRIAL-BAL-2021'!S229+'DES-TRIAL-BAL-2021'!S229+'DMP-TRIAL-BAL-2021'!S229</f>
        <v>0</v>
      </c>
      <c r="AA229" s="588">
        <f>+'NF-KSF-TRIAL-BAL-2021'!T229+'RA-TRIAL-BAL-2021'!T229+'DES-TRIAL-BAL-2021'!T229+'DMP-TRIAL-BAL-2021'!T229</f>
        <v>0</v>
      </c>
      <c r="AB229" s="51"/>
      <c r="AC229" s="581"/>
      <c r="AD229" s="582">
        <v>0</v>
      </c>
      <c r="AE229" s="325"/>
      <c r="AF229" s="324"/>
      <c r="AG229" s="583">
        <f>+IF(ABS(+AC229+AE229)&gt;=ABS(AD229+AF229),+AC229-AD229+AE229-AF229,0)</f>
        <v>0</v>
      </c>
      <c r="AH229" s="584">
        <v>0</v>
      </c>
      <c r="AI229" s="51"/>
      <c r="AJ229" s="1497">
        <f t="shared" ref="AJ229:AJ235" si="126">+N229</f>
        <v>4841</v>
      </c>
      <c r="AK229" s="951">
        <f>+ROUND(+O229+V229+AC229,2)</f>
        <v>0</v>
      </c>
      <c r="AL229" s="9">
        <v>0</v>
      </c>
      <c r="AM229" s="326">
        <f t="shared" ref="AM229:AN235" si="127">+ROUND(+Q229+X229+AE229,2)</f>
        <v>0</v>
      </c>
      <c r="AN229" s="970">
        <f t="shared" si="127"/>
        <v>0</v>
      </c>
      <c r="AO229" s="326">
        <f>+S229+Z229+AG229</f>
        <v>0</v>
      </c>
      <c r="AP229" s="30">
        <v>0</v>
      </c>
      <c r="AQ229" s="43"/>
      <c r="AR229" s="358">
        <f t="shared" ref="AR229:AR234" si="128">+ROUND(+SUM(AK229-AL229)-SUM(O229-P229)-SUM(V229-W229)-SUM(AC229-AD229),2)</f>
        <v>0</v>
      </c>
      <c r="AS229" s="359">
        <f t="shared" ref="AS229:AS234" si="129">+ROUND(+SUM(AM229-AN229)-SUM(Q229-R229)-SUM(X229-Y229)-SUM(AE229-AF229),2)</f>
        <v>0</v>
      </c>
      <c r="AT229" s="360">
        <f t="shared" ref="AT229:AT234" si="130">+ROUND(+SUM(AO229-AP229)-SUM(S229-T229)-SUM(Z229-AA229)-SUM(AG229-AH229),2)</f>
        <v>0</v>
      </c>
      <c r="AU229" s="43"/>
      <c r="AV229" s="2120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120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 t="s">
        <v>265</v>
      </c>
      <c r="N230" s="113">
        <f t="shared" si="106"/>
        <v>4843</v>
      </c>
      <c r="O230" s="581"/>
      <c r="P230" s="582">
        <v>0</v>
      </c>
      <c r="Q230" s="325"/>
      <c r="R230" s="324"/>
      <c r="S230" s="583">
        <f>+IF(ABS(+O230+Q230)&gt;=ABS(P230+R230),+O230-P230+Q230-R230,0)</f>
        <v>0</v>
      </c>
      <c r="T230" s="584">
        <v>0</v>
      </c>
      <c r="U230" s="51"/>
      <c r="V230" s="541">
        <f>+'NF-KSF-TRIAL-BAL-2021'!O230+'RA-TRIAL-BAL-2021'!O230+'DES-TRIAL-BAL-2021'!O230+'DMP-TRIAL-BAL-2021'!O230</f>
        <v>0</v>
      </c>
      <c r="W230" s="529">
        <f>+'NF-KSF-TRIAL-BAL-2021'!P230+'RA-TRIAL-BAL-2021'!P230+'DES-TRIAL-BAL-2021'!P230+'DMP-TRIAL-BAL-2021'!P230</f>
        <v>0</v>
      </c>
      <c r="X230" s="587">
        <f>+'NF-KSF-TRIAL-BAL-2021'!Q230+'RA-TRIAL-BAL-2021'!Q230+'DES-TRIAL-BAL-2021'!Q230+'DMP-TRIAL-BAL-2021'!Q230</f>
        <v>0</v>
      </c>
      <c r="Y230" s="586">
        <f>+'NF-KSF-TRIAL-BAL-2021'!R230+'RA-TRIAL-BAL-2021'!R230+'DES-TRIAL-BAL-2021'!R230+'DMP-TRIAL-BAL-2021'!R230</f>
        <v>0</v>
      </c>
      <c r="Z230" s="587">
        <f>+'NF-KSF-TRIAL-BAL-2021'!S230+'RA-TRIAL-BAL-2021'!S230+'DES-TRIAL-BAL-2021'!S230+'DMP-TRIAL-BAL-2021'!S230</f>
        <v>0</v>
      </c>
      <c r="AA230" s="588">
        <f>+'NF-KSF-TRIAL-BAL-2021'!T230+'RA-TRIAL-BAL-2021'!T230+'DES-TRIAL-BAL-2021'!T230+'DMP-TRIAL-BAL-2021'!T230</f>
        <v>0</v>
      </c>
      <c r="AB230" s="51"/>
      <c r="AC230" s="581"/>
      <c r="AD230" s="582">
        <v>0</v>
      </c>
      <c r="AE230" s="122"/>
      <c r="AF230" s="324"/>
      <c r="AG230" s="583">
        <f>+IF(ABS(+AC230+AE230)&gt;=ABS(AD230+AF230),+AC230-AD230+AE230-AF230,0)</f>
        <v>0</v>
      </c>
      <c r="AH230" s="584">
        <v>0</v>
      </c>
      <c r="AI230" s="51"/>
      <c r="AJ230" s="1497">
        <f t="shared" si="126"/>
        <v>4843</v>
      </c>
      <c r="AK230" s="951">
        <f>+ROUND(+O230+V230+AC230,2)</f>
        <v>0</v>
      </c>
      <c r="AL230" s="9">
        <v>0</v>
      </c>
      <c r="AM230" s="326">
        <f t="shared" si="127"/>
        <v>0</v>
      </c>
      <c r="AN230" s="970">
        <f t="shared" si="127"/>
        <v>0</v>
      </c>
      <c r="AO230" s="326">
        <f>+S230+Z230+AG230</f>
        <v>0</v>
      </c>
      <c r="AP230" s="30">
        <v>0</v>
      </c>
      <c r="AQ230" s="43"/>
      <c r="AR230" s="358">
        <f t="shared" si="128"/>
        <v>0</v>
      </c>
      <c r="AS230" s="359">
        <f t="shared" si="129"/>
        <v>0</v>
      </c>
      <c r="AT230" s="360">
        <f t="shared" si="130"/>
        <v>0</v>
      </c>
      <c r="AU230" s="43"/>
      <c r="AV230" s="2120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120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 t="s">
        <v>265</v>
      </c>
      <c r="N231" s="113">
        <f t="shared" si="106"/>
        <v>4844</v>
      </c>
      <c r="O231" s="581"/>
      <c r="P231" s="582">
        <v>0</v>
      </c>
      <c r="Q231" s="325"/>
      <c r="R231" s="324"/>
      <c r="S231" s="583">
        <f>+IF(ABS(+O231+Q231)&gt;=ABS(P231+R231),+O231-P231+Q231-R231,0)</f>
        <v>0</v>
      </c>
      <c r="T231" s="584">
        <v>0</v>
      </c>
      <c r="U231" s="51"/>
      <c r="V231" s="541">
        <f>+'NF-KSF-TRIAL-BAL-2021'!O231+'RA-TRIAL-BAL-2021'!O231+'DES-TRIAL-BAL-2021'!O231+'DMP-TRIAL-BAL-2021'!O231</f>
        <v>0</v>
      </c>
      <c r="W231" s="529">
        <f>+'NF-KSF-TRIAL-BAL-2021'!P231+'RA-TRIAL-BAL-2021'!P231+'DES-TRIAL-BAL-2021'!P231+'DMP-TRIAL-BAL-2021'!P231</f>
        <v>0</v>
      </c>
      <c r="X231" s="587">
        <f>+'NF-KSF-TRIAL-BAL-2021'!Q231+'RA-TRIAL-BAL-2021'!Q231+'DES-TRIAL-BAL-2021'!Q231+'DMP-TRIAL-BAL-2021'!Q231</f>
        <v>0</v>
      </c>
      <c r="Y231" s="586">
        <f>+'NF-KSF-TRIAL-BAL-2021'!R231+'RA-TRIAL-BAL-2021'!R231+'DES-TRIAL-BAL-2021'!R231+'DMP-TRIAL-BAL-2021'!R231</f>
        <v>0</v>
      </c>
      <c r="Z231" s="587">
        <f>+'NF-KSF-TRIAL-BAL-2021'!S231+'RA-TRIAL-BAL-2021'!S231+'DES-TRIAL-BAL-2021'!S231+'DMP-TRIAL-BAL-2021'!S231</f>
        <v>0</v>
      </c>
      <c r="AA231" s="588">
        <f>+'NF-KSF-TRIAL-BAL-2021'!T231+'RA-TRIAL-BAL-2021'!T231+'DES-TRIAL-BAL-2021'!T231+'DMP-TRIAL-BAL-2021'!T231</f>
        <v>0</v>
      </c>
      <c r="AB231" s="51"/>
      <c r="AC231" s="581"/>
      <c r="AD231" s="582">
        <v>0</v>
      </c>
      <c r="AE231" s="325"/>
      <c r="AF231" s="324"/>
      <c r="AG231" s="583">
        <f>+IF(ABS(+AC231+AE231)&gt;=ABS(AD231+AF231),+AC231-AD231+AE231-AF231,0)</f>
        <v>0</v>
      </c>
      <c r="AH231" s="584">
        <v>0</v>
      </c>
      <c r="AI231" s="51"/>
      <c r="AJ231" s="1497">
        <f t="shared" si="126"/>
        <v>4844</v>
      </c>
      <c r="AK231" s="951">
        <f>+ROUND(+O231+V231+AC231,2)</f>
        <v>0</v>
      </c>
      <c r="AL231" s="9">
        <v>0</v>
      </c>
      <c r="AM231" s="326">
        <f t="shared" si="127"/>
        <v>0</v>
      </c>
      <c r="AN231" s="970">
        <f t="shared" si="127"/>
        <v>0</v>
      </c>
      <c r="AO231" s="326">
        <f>+S231+Z231+AG231</f>
        <v>0</v>
      </c>
      <c r="AP231" s="30">
        <v>0</v>
      </c>
      <c r="AQ231" s="43"/>
      <c r="AR231" s="358">
        <f t="shared" si="128"/>
        <v>0</v>
      </c>
      <c r="AS231" s="359">
        <f t="shared" si="129"/>
        <v>0</v>
      </c>
      <c r="AT231" s="360">
        <f t="shared" si="130"/>
        <v>0</v>
      </c>
      <c r="AU231" s="43"/>
      <c r="AV231" s="2120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120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 t="s">
        <v>265</v>
      </c>
      <c r="N232" s="113">
        <f t="shared" si="106"/>
        <v>4845</v>
      </c>
      <c r="O232" s="575">
        <v>0</v>
      </c>
      <c r="P232" s="576"/>
      <c r="Q232" s="325"/>
      <c r="R232" s="324"/>
      <c r="S232" s="579">
        <v>0</v>
      </c>
      <c r="T232" s="580">
        <f>+IF(ABS(+O232+Q232)&lt;=ABS(P232+R232),-O232+P232-Q232+R232,0)</f>
        <v>0</v>
      </c>
      <c r="U232" s="51"/>
      <c r="V232" s="541">
        <f>+'NF-KSF-TRIAL-BAL-2021'!O232+'RA-TRIAL-BAL-2021'!O232+'DES-TRIAL-BAL-2021'!O232+'DMP-TRIAL-BAL-2021'!O232</f>
        <v>0</v>
      </c>
      <c r="W232" s="529">
        <f>+'NF-KSF-TRIAL-BAL-2021'!P232+'RA-TRIAL-BAL-2021'!P232+'DES-TRIAL-BAL-2021'!P232+'DMP-TRIAL-BAL-2021'!P232</f>
        <v>0</v>
      </c>
      <c r="X232" s="587">
        <f>+'NF-KSF-TRIAL-BAL-2021'!Q232+'RA-TRIAL-BAL-2021'!Q232+'DES-TRIAL-BAL-2021'!Q232+'DMP-TRIAL-BAL-2021'!Q232</f>
        <v>0</v>
      </c>
      <c r="Y232" s="586">
        <f>+'NF-KSF-TRIAL-BAL-2021'!R232+'RA-TRIAL-BAL-2021'!R232+'DES-TRIAL-BAL-2021'!R232+'DMP-TRIAL-BAL-2021'!R232</f>
        <v>0</v>
      </c>
      <c r="Z232" s="587">
        <f>+'NF-KSF-TRIAL-BAL-2021'!S232+'RA-TRIAL-BAL-2021'!S232+'DES-TRIAL-BAL-2021'!S232+'DMP-TRIAL-BAL-2021'!S232</f>
        <v>0</v>
      </c>
      <c r="AA232" s="588">
        <f>+'NF-KSF-TRIAL-BAL-2021'!T232+'RA-TRIAL-BAL-2021'!T232+'DES-TRIAL-BAL-2021'!T232+'DMP-TRIAL-BAL-2021'!T232</f>
        <v>0</v>
      </c>
      <c r="AB232" s="51"/>
      <c r="AC232" s="575">
        <v>0</v>
      </c>
      <c r="AD232" s="576"/>
      <c r="AE232" s="325"/>
      <c r="AF232" s="324"/>
      <c r="AG232" s="579">
        <v>0</v>
      </c>
      <c r="AH232" s="580">
        <f>+IF(ABS(+AC232+AE232)&lt;=ABS(AD232+AF232),-AC232+AD232-AE232+AF232,0)</f>
        <v>0</v>
      </c>
      <c r="AI232" s="51"/>
      <c r="AJ232" s="1497">
        <f t="shared" si="126"/>
        <v>4845</v>
      </c>
      <c r="AK232" s="8">
        <v>0</v>
      </c>
      <c r="AL232" s="970">
        <f>+ROUND(+P232+W232+AD232,2)</f>
        <v>0</v>
      </c>
      <c r="AM232" s="326">
        <f t="shared" si="127"/>
        <v>0</v>
      </c>
      <c r="AN232" s="970">
        <f t="shared" si="127"/>
        <v>0</v>
      </c>
      <c r="AO232" s="29">
        <v>0</v>
      </c>
      <c r="AP232" s="28">
        <f>+T232+AA232+AH232</f>
        <v>0</v>
      </c>
      <c r="AQ232" s="43"/>
      <c r="AR232" s="358">
        <f t="shared" si="128"/>
        <v>0</v>
      </c>
      <c r="AS232" s="359">
        <f t="shared" si="129"/>
        <v>0</v>
      </c>
      <c r="AT232" s="360">
        <f t="shared" si="130"/>
        <v>0</v>
      </c>
      <c r="AU232" s="43"/>
      <c r="AV232" s="2119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119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 t="s">
        <v>265</v>
      </c>
      <c r="N233" s="113">
        <f t="shared" si="106"/>
        <v>4847</v>
      </c>
      <c r="O233" s="575">
        <v>0</v>
      </c>
      <c r="P233" s="576"/>
      <c r="Q233" s="325"/>
      <c r="R233" s="324"/>
      <c r="S233" s="579">
        <v>0</v>
      </c>
      <c r="T233" s="580">
        <f>+IF(ABS(+O233+Q233)&lt;=ABS(P233+R233),-O233+P233-Q233+R233,0)</f>
        <v>0</v>
      </c>
      <c r="U233" s="51"/>
      <c r="V233" s="541">
        <f>+'NF-KSF-TRIAL-BAL-2021'!O233+'RA-TRIAL-BAL-2021'!O233+'DES-TRIAL-BAL-2021'!O233+'DMP-TRIAL-BAL-2021'!O233</f>
        <v>0</v>
      </c>
      <c r="W233" s="529">
        <f>+'NF-KSF-TRIAL-BAL-2021'!P233+'RA-TRIAL-BAL-2021'!P233+'DES-TRIAL-BAL-2021'!P233+'DMP-TRIAL-BAL-2021'!P233</f>
        <v>0</v>
      </c>
      <c r="X233" s="587">
        <f>+'NF-KSF-TRIAL-BAL-2021'!Q233+'RA-TRIAL-BAL-2021'!Q233+'DES-TRIAL-BAL-2021'!Q233+'DMP-TRIAL-BAL-2021'!Q233</f>
        <v>0</v>
      </c>
      <c r="Y233" s="586">
        <f>+'NF-KSF-TRIAL-BAL-2021'!R233+'RA-TRIAL-BAL-2021'!R233+'DES-TRIAL-BAL-2021'!R233+'DMP-TRIAL-BAL-2021'!R233</f>
        <v>0</v>
      </c>
      <c r="Z233" s="587">
        <f>+'NF-KSF-TRIAL-BAL-2021'!S233+'RA-TRIAL-BAL-2021'!S233+'DES-TRIAL-BAL-2021'!S233+'DMP-TRIAL-BAL-2021'!S233</f>
        <v>0</v>
      </c>
      <c r="AA233" s="588">
        <f>+'NF-KSF-TRIAL-BAL-2021'!T233+'RA-TRIAL-BAL-2021'!T233+'DES-TRIAL-BAL-2021'!T233+'DMP-TRIAL-BAL-2021'!T233</f>
        <v>0</v>
      </c>
      <c r="AB233" s="51"/>
      <c r="AC233" s="575">
        <v>0</v>
      </c>
      <c r="AD233" s="576"/>
      <c r="AE233" s="122"/>
      <c r="AF233" s="324"/>
      <c r="AG233" s="579">
        <v>0</v>
      </c>
      <c r="AH233" s="580">
        <f>+IF(ABS(+AC233+AE233)&lt;=ABS(AD233+AF233),-AC233+AD233-AE233+AF233,0)</f>
        <v>0</v>
      </c>
      <c r="AI233" s="51"/>
      <c r="AJ233" s="1497">
        <f t="shared" si="126"/>
        <v>4847</v>
      </c>
      <c r="AK233" s="8">
        <v>0</v>
      </c>
      <c r="AL233" s="970">
        <f>+ROUND(+P233+W233+AD233,2)</f>
        <v>0</v>
      </c>
      <c r="AM233" s="326">
        <f t="shared" si="127"/>
        <v>0</v>
      </c>
      <c r="AN233" s="970">
        <f t="shared" si="127"/>
        <v>0</v>
      </c>
      <c r="AO233" s="29">
        <v>0</v>
      </c>
      <c r="AP233" s="28">
        <f>+T233+AA233+AH233</f>
        <v>0</v>
      </c>
      <c r="AQ233" s="43"/>
      <c r="AR233" s="358">
        <f t="shared" si="128"/>
        <v>0</v>
      </c>
      <c r="AS233" s="359">
        <f t="shared" si="129"/>
        <v>0</v>
      </c>
      <c r="AT233" s="360">
        <f t="shared" si="130"/>
        <v>0</v>
      </c>
      <c r="AU233" s="43"/>
      <c r="AV233" s="2119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119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 t="s">
        <v>265</v>
      </c>
      <c r="N234" s="113">
        <f t="shared" si="106"/>
        <v>4848</v>
      </c>
      <c r="O234" s="575">
        <v>0</v>
      </c>
      <c r="P234" s="576"/>
      <c r="Q234" s="325"/>
      <c r="R234" s="324"/>
      <c r="S234" s="579">
        <v>0</v>
      </c>
      <c r="T234" s="580">
        <f>+IF(ABS(+O234+Q234)&lt;=ABS(P234+R234),-O234+P234-Q234+R234,0)</f>
        <v>0</v>
      </c>
      <c r="U234" s="51"/>
      <c r="V234" s="541">
        <f>+'NF-KSF-TRIAL-BAL-2021'!O234+'RA-TRIAL-BAL-2021'!O234+'DES-TRIAL-BAL-2021'!O234+'DMP-TRIAL-BAL-2021'!O234</f>
        <v>0</v>
      </c>
      <c r="W234" s="529">
        <f>+'NF-KSF-TRIAL-BAL-2021'!P234+'RA-TRIAL-BAL-2021'!P234+'DES-TRIAL-BAL-2021'!P234+'DMP-TRIAL-BAL-2021'!P234</f>
        <v>0</v>
      </c>
      <c r="X234" s="587">
        <f>+'NF-KSF-TRIAL-BAL-2021'!Q234+'RA-TRIAL-BAL-2021'!Q234+'DES-TRIAL-BAL-2021'!Q234+'DMP-TRIAL-BAL-2021'!Q234</f>
        <v>0</v>
      </c>
      <c r="Y234" s="586">
        <f>+'NF-KSF-TRIAL-BAL-2021'!R234+'RA-TRIAL-BAL-2021'!R234+'DES-TRIAL-BAL-2021'!R234+'DMP-TRIAL-BAL-2021'!R234</f>
        <v>0</v>
      </c>
      <c r="Z234" s="587">
        <f>+'NF-KSF-TRIAL-BAL-2021'!S234+'RA-TRIAL-BAL-2021'!S234+'DES-TRIAL-BAL-2021'!S234+'DMP-TRIAL-BAL-2021'!S234</f>
        <v>0</v>
      </c>
      <c r="AA234" s="588">
        <f>+'NF-KSF-TRIAL-BAL-2021'!T234+'RA-TRIAL-BAL-2021'!T234+'DES-TRIAL-BAL-2021'!T234+'DMP-TRIAL-BAL-2021'!T234</f>
        <v>0</v>
      </c>
      <c r="AB234" s="51"/>
      <c r="AC234" s="575">
        <v>0</v>
      </c>
      <c r="AD234" s="576"/>
      <c r="AE234" s="325"/>
      <c r="AF234" s="324"/>
      <c r="AG234" s="579">
        <v>0</v>
      </c>
      <c r="AH234" s="580">
        <f>+IF(ABS(+AC234+AE234)&lt;=ABS(AD234+AF234),-AC234+AD234-AE234+AF234,0)</f>
        <v>0</v>
      </c>
      <c r="AI234" s="51"/>
      <c r="AJ234" s="1497">
        <f t="shared" si="126"/>
        <v>4848</v>
      </c>
      <c r="AK234" s="8">
        <v>0</v>
      </c>
      <c r="AL234" s="970">
        <f>+ROUND(+P234+W234+AD234,2)</f>
        <v>0</v>
      </c>
      <c r="AM234" s="326">
        <f t="shared" si="127"/>
        <v>0</v>
      </c>
      <c r="AN234" s="970">
        <f t="shared" si="127"/>
        <v>0</v>
      </c>
      <c r="AO234" s="29">
        <v>0</v>
      </c>
      <c r="AP234" s="28">
        <f>+T234+AA234+AH234</f>
        <v>0</v>
      </c>
      <c r="AQ234" s="43"/>
      <c r="AR234" s="358">
        <f t="shared" si="128"/>
        <v>0</v>
      </c>
      <c r="AS234" s="359">
        <f t="shared" si="129"/>
        <v>0</v>
      </c>
      <c r="AT234" s="360">
        <f t="shared" si="130"/>
        <v>0</v>
      </c>
      <c r="AU234" s="43"/>
      <c r="AV234" s="2119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119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 t="s">
        <v>265</v>
      </c>
      <c r="N235" s="113">
        <f t="shared" si="106"/>
        <v>4851</v>
      </c>
      <c r="O235" s="575">
        <v>0</v>
      </c>
      <c r="P235" s="576"/>
      <c r="Q235" s="325"/>
      <c r="R235" s="324"/>
      <c r="S235" s="579">
        <v>0</v>
      </c>
      <c r="T235" s="580">
        <f>+IF(ABS(+O235+Q235)&lt;=ABS(P235+R235),-O235+P235-Q235+R235,0)</f>
        <v>0</v>
      </c>
      <c r="U235" s="51"/>
      <c r="V235" s="541">
        <f>+'NF-KSF-TRIAL-BAL-2021'!O235+'RA-TRIAL-BAL-2021'!O235+'DES-TRIAL-BAL-2021'!O235+'DMP-TRIAL-BAL-2021'!O235</f>
        <v>0</v>
      </c>
      <c r="W235" s="529">
        <f>+'NF-KSF-TRIAL-BAL-2021'!P235+'RA-TRIAL-BAL-2021'!P235+'DES-TRIAL-BAL-2021'!P235+'DMP-TRIAL-BAL-2021'!P235</f>
        <v>0</v>
      </c>
      <c r="X235" s="587">
        <f>+'NF-KSF-TRIAL-BAL-2021'!Q235+'RA-TRIAL-BAL-2021'!Q235+'DES-TRIAL-BAL-2021'!Q235+'DMP-TRIAL-BAL-2021'!Q235</f>
        <v>0</v>
      </c>
      <c r="Y235" s="586">
        <f>+'NF-KSF-TRIAL-BAL-2021'!R235+'RA-TRIAL-BAL-2021'!R235+'DES-TRIAL-BAL-2021'!R235+'DMP-TRIAL-BAL-2021'!R235</f>
        <v>0</v>
      </c>
      <c r="Z235" s="587">
        <f>+'NF-KSF-TRIAL-BAL-2021'!S235+'RA-TRIAL-BAL-2021'!S235+'DES-TRIAL-BAL-2021'!S235+'DMP-TRIAL-BAL-2021'!S235</f>
        <v>0</v>
      </c>
      <c r="AA235" s="588">
        <f>+'NF-KSF-TRIAL-BAL-2021'!T235+'RA-TRIAL-BAL-2021'!T235+'DES-TRIAL-BAL-2021'!T235+'DMP-TRIAL-BAL-2021'!T235</f>
        <v>0</v>
      </c>
      <c r="AB235" s="51"/>
      <c r="AC235" s="575">
        <v>0</v>
      </c>
      <c r="AD235" s="576"/>
      <c r="AE235" s="325"/>
      <c r="AF235" s="324"/>
      <c r="AG235" s="579">
        <v>0</v>
      </c>
      <c r="AH235" s="580">
        <f>+IF(ABS(+AC235+AE235)&lt;=ABS(AD235+AF235),-AC235+AD235-AE235+AF235,0)</f>
        <v>0</v>
      </c>
      <c r="AI235" s="51"/>
      <c r="AJ235" s="1497">
        <f t="shared" si="126"/>
        <v>4851</v>
      </c>
      <c r="AK235" s="8">
        <v>0</v>
      </c>
      <c r="AL235" s="970">
        <f>+ROUND(+P235+W235+AD235,2)</f>
        <v>0</v>
      </c>
      <c r="AM235" s="326">
        <f t="shared" si="127"/>
        <v>0</v>
      </c>
      <c r="AN235" s="970">
        <f t="shared" si="127"/>
        <v>0</v>
      </c>
      <c r="AO235" s="29">
        <v>0</v>
      </c>
      <c r="AP235" s="28">
        <f>+T235+AA235+AH235</f>
        <v>0</v>
      </c>
      <c r="AQ235" s="43"/>
      <c r="AR235" s="358">
        <f t="shared" si="109"/>
        <v>0</v>
      </c>
      <c r="AS235" s="359">
        <f t="shared" si="110"/>
        <v>0</v>
      </c>
      <c r="AT235" s="360">
        <f t="shared" si="111"/>
        <v>0</v>
      </c>
      <c r="AU235" s="43"/>
      <c r="AV235" s="2119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119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 t="s">
        <v>265</v>
      </c>
      <c r="N236" s="113">
        <f t="shared" si="106"/>
        <v>4852</v>
      </c>
      <c r="O236" s="581"/>
      <c r="P236" s="582">
        <v>0</v>
      </c>
      <c r="Q236" s="325"/>
      <c r="R236" s="324"/>
      <c r="S236" s="583">
        <f>+IF(ABS(+O236+Q236)&gt;=ABS(P236+R236),+O236-P236+Q236-R236,0)</f>
        <v>0</v>
      </c>
      <c r="T236" s="584">
        <v>0</v>
      </c>
      <c r="U236" s="51"/>
      <c r="V236" s="541">
        <f>+'NF-KSF-TRIAL-BAL-2021'!O236+'RA-TRIAL-BAL-2021'!O236+'DES-TRIAL-BAL-2021'!O236+'DMP-TRIAL-BAL-2021'!O236</f>
        <v>0</v>
      </c>
      <c r="W236" s="529">
        <f>+'NF-KSF-TRIAL-BAL-2021'!P236+'RA-TRIAL-BAL-2021'!P236+'DES-TRIAL-BAL-2021'!P236+'DMP-TRIAL-BAL-2021'!P236</f>
        <v>0</v>
      </c>
      <c r="X236" s="587">
        <f>+'NF-KSF-TRIAL-BAL-2021'!Q236+'RA-TRIAL-BAL-2021'!Q236+'DES-TRIAL-BAL-2021'!Q236+'DMP-TRIAL-BAL-2021'!Q236</f>
        <v>0</v>
      </c>
      <c r="Y236" s="586">
        <f>+'NF-KSF-TRIAL-BAL-2021'!R236+'RA-TRIAL-BAL-2021'!R236+'DES-TRIAL-BAL-2021'!R236+'DMP-TRIAL-BAL-2021'!R236</f>
        <v>0</v>
      </c>
      <c r="Z236" s="587">
        <f>+'NF-KSF-TRIAL-BAL-2021'!S236+'RA-TRIAL-BAL-2021'!S236+'DES-TRIAL-BAL-2021'!S236+'DMP-TRIAL-BAL-2021'!S236</f>
        <v>0</v>
      </c>
      <c r="AA236" s="588">
        <f>+'NF-KSF-TRIAL-BAL-2021'!T236+'RA-TRIAL-BAL-2021'!T236+'DES-TRIAL-BAL-2021'!T236+'DMP-TRIAL-BAL-2021'!T236</f>
        <v>0</v>
      </c>
      <c r="AB236" s="51"/>
      <c r="AC236" s="581"/>
      <c r="AD236" s="582">
        <v>0</v>
      </c>
      <c r="AE236" s="122"/>
      <c r="AF236" s="324"/>
      <c r="AG236" s="583">
        <f>+IF(ABS(+AC236+AE236)&gt;=ABS(AD236+AF236),+AC236-AD236+AE236-AF236,0)</f>
        <v>0</v>
      </c>
      <c r="AH236" s="584">
        <v>0</v>
      </c>
      <c r="AI236" s="51"/>
      <c r="AJ236" s="1497">
        <f>+N236</f>
        <v>4852</v>
      </c>
      <c r="AK236" s="951">
        <f>+ROUND(+O236+V236+AC236,2)</f>
        <v>0</v>
      </c>
      <c r="AL236" s="9">
        <v>0</v>
      </c>
      <c r="AM236" s="326">
        <f t="shared" ref="AM236:AN240" si="131">+ROUND(+Q236+X236+AE236,2)</f>
        <v>0</v>
      </c>
      <c r="AN236" s="970">
        <f t="shared" si="131"/>
        <v>0</v>
      </c>
      <c r="AO236" s="326">
        <f>+S236+Z236+AG236</f>
        <v>0</v>
      </c>
      <c r="AP236" s="30">
        <v>0</v>
      </c>
      <c r="AQ236" s="43"/>
      <c r="AR236" s="358">
        <f>+ROUND(+SUM(AK236-AL236)-SUM(O236-P236)-SUM(V236-W236)-SUM(AC236-AD236),2)</f>
        <v>0</v>
      </c>
      <c r="AS236" s="359">
        <f>+ROUND(+SUM(AM236-AN236)-SUM(Q236-R236)-SUM(X236-Y236)-SUM(AE236-AF236),2)</f>
        <v>0</v>
      </c>
      <c r="AT236" s="360">
        <f>+ROUND(+SUM(AO236-AP236)-SUM(S236-T236)-SUM(Z236-AA236)-SUM(AG236-AH236),2)</f>
        <v>0</v>
      </c>
      <c r="AU236" s="43"/>
      <c r="AV236" s="2120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120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 t="s">
        <v>265</v>
      </c>
      <c r="N237" s="113">
        <f t="shared" si="106"/>
        <v>4853</v>
      </c>
      <c r="O237" s="575">
        <v>0</v>
      </c>
      <c r="P237" s="576"/>
      <c r="Q237" s="325"/>
      <c r="R237" s="324"/>
      <c r="S237" s="579">
        <v>0</v>
      </c>
      <c r="T237" s="580">
        <f>+IF(ABS(+O237+Q237)&lt;=ABS(P237+R237),-O237+P237-Q237+R237,0)</f>
        <v>0</v>
      </c>
      <c r="U237" s="51"/>
      <c r="V237" s="541">
        <f>+'NF-KSF-TRIAL-BAL-2021'!O237+'RA-TRIAL-BAL-2021'!O237+'DES-TRIAL-BAL-2021'!O237+'DMP-TRIAL-BAL-2021'!O237</f>
        <v>0</v>
      </c>
      <c r="W237" s="529">
        <f>+'NF-KSF-TRIAL-BAL-2021'!P237+'RA-TRIAL-BAL-2021'!P237+'DES-TRIAL-BAL-2021'!P237+'DMP-TRIAL-BAL-2021'!P237</f>
        <v>0</v>
      </c>
      <c r="X237" s="587">
        <f>+'NF-KSF-TRIAL-BAL-2021'!Q237+'RA-TRIAL-BAL-2021'!Q237+'DES-TRIAL-BAL-2021'!Q237+'DMP-TRIAL-BAL-2021'!Q237</f>
        <v>0</v>
      </c>
      <c r="Y237" s="586">
        <f>+'NF-KSF-TRIAL-BAL-2021'!R237+'RA-TRIAL-BAL-2021'!R237+'DES-TRIAL-BAL-2021'!R237+'DMP-TRIAL-BAL-2021'!R237</f>
        <v>0</v>
      </c>
      <c r="Z237" s="587">
        <f>+'NF-KSF-TRIAL-BAL-2021'!S237+'RA-TRIAL-BAL-2021'!S237+'DES-TRIAL-BAL-2021'!S237+'DMP-TRIAL-BAL-2021'!S237</f>
        <v>0</v>
      </c>
      <c r="AA237" s="588">
        <f>+'NF-KSF-TRIAL-BAL-2021'!T237+'RA-TRIAL-BAL-2021'!T237+'DES-TRIAL-BAL-2021'!T237+'DMP-TRIAL-BAL-2021'!T237</f>
        <v>0</v>
      </c>
      <c r="AB237" s="51"/>
      <c r="AC237" s="575">
        <v>0</v>
      </c>
      <c r="AD237" s="576"/>
      <c r="AE237" s="325"/>
      <c r="AF237" s="324"/>
      <c r="AG237" s="579">
        <v>0</v>
      </c>
      <c r="AH237" s="580">
        <f>+IF(ABS(+AC237+AE237)&lt;=ABS(AD237+AF237),-AC237+AD237-AE237+AF237,0)</f>
        <v>0</v>
      </c>
      <c r="AI237" s="51"/>
      <c r="AJ237" s="1497">
        <f>+N237</f>
        <v>4853</v>
      </c>
      <c r="AK237" s="8">
        <v>0</v>
      </c>
      <c r="AL237" s="970">
        <f>+ROUND(+P237+W237+AD237,2)</f>
        <v>0</v>
      </c>
      <c r="AM237" s="326">
        <f t="shared" si="131"/>
        <v>0</v>
      </c>
      <c r="AN237" s="970">
        <f t="shared" si="131"/>
        <v>0</v>
      </c>
      <c r="AO237" s="29">
        <v>0</v>
      </c>
      <c r="AP237" s="28">
        <f>+T237+AA237+AH237</f>
        <v>0</v>
      </c>
      <c r="AQ237" s="43"/>
      <c r="AR237" s="358">
        <f>+ROUND(+SUM(AK237-AL237)-SUM(O237-P237)-SUM(V237-W237)-SUM(AC237-AD237),2)</f>
        <v>0</v>
      </c>
      <c r="AS237" s="359">
        <f>+ROUND(+SUM(AM237-AN237)-SUM(Q237-R237)-SUM(X237-Y237)-SUM(AE237-AF237),2)</f>
        <v>0</v>
      </c>
      <c r="AT237" s="360">
        <f>+ROUND(+SUM(AO237-AP237)-SUM(S237-T237)-SUM(Z237-AA237)-SUM(AG237-AH237),2)</f>
        <v>0</v>
      </c>
      <c r="AU237" s="43"/>
      <c r="AV237" s="2119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119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 t="s">
        <v>265</v>
      </c>
      <c r="N238" s="113">
        <f t="shared" si="106"/>
        <v>4854</v>
      </c>
      <c r="O238" s="575">
        <v>0</v>
      </c>
      <c r="P238" s="576"/>
      <c r="Q238" s="325"/>
      <c r="R238" s="324"/>
      <c r="S238" s="579">
        <v>0</v>
      </c>
      <c r="T238" s="580">
        <f>+IF(ABS(+O238+Q238)&lt;=ABS(P238+R238),-O238+P238-Q238+R238,0)</f>
        <v>0</v>
      </c>
      <c r="U238" s="51"/>
      <c r="V238" s="541">
        <f>+'NF-KSF-TRIAL-BAL-2021'!O238+'RA-TRIAL-BAL-2021'!O238+'DES-TRIAL-BAL-2021'!O238+'DMP-TRIAL-BAL-2021'!O238</f>
        <v>0</v>
      </c>
      <c r="W238" s="529">
        <f>+'NF-KSF-TRIAL-BAL-2021'!P238+'RA-TRIAL-BAL-2021'!P238+'DES-TRIAL-BAL-2021'!P238+'DMP-TRIAL-BAL-2021'!P238</f>
        <v>0</v>
      </c>
      <c r="X238" s="587">
        <f>+'NF-KSF-TRIAL-BAL-2021'!Q238+'RA-TRIAL-BAL-2021'!Q238+'DES-TRIAL-BAL-2021'!Q238+'DMP-TRIAL-BAL-2021'!Q238</f>
        <v>0</v>
      </c>
      <c r="Y238" s="586">
        <f>+'NF-KSF-TRIAL-BAL-2021'!R238+'RA-TRIAL-BAL-2021'!R238+'DES-TRIAL-BAL-2021'!R238+'DMP-TRIAL-BAL-2021'!R238</f>
        <v>0</v>
      </c>
      <c r="Z238" s="587">
        <f>+'NF-KSF-TRIAL-BAL-2021'!S238+'RA-TRIAL-BAL-2021'!S238+'DES-TRIAL-BAL-2021'!S238+'DMP-TRIAL-BAL-2021'!S238</f>
        <v>0</v>
      </c>
      <c r="AA238" s="588">
        <f>+'NF-KSF-TRIAL-BAL-2021'!T238+'RA-TRIAL-BAL-2021'!T238+'DES-TRIAL-BAL-2021'!T238+'DMP-TRIAL-BAL-2021'!T238</f>
        <v>0</v>
      </c>
      <c r="AB238" s="51"/>
      <c r="AC238" s="575">
        <v>0</v>
      </c>
      <c r="AD238" s="576"/>
      <c r="AE238" s="325"/>
      <c r="AF238" s="324"/>
      <c r="AG238" s="579">
        <v>0</v>
      </c>
      <c r="AH238" s="580">
        <f>+IF(ABS(+AC238+AE238)&lt;=ABS(AD238+AF238),-AC238+AD238-AE238+AF238,0)</f>
        <v>0</v>
      </c>
      <c r="AI238" s="51"/>
      <c r="AJ238" s="1497">
        <f t="shared" si="124"/>
        <v>4854</v>
      </c>
      <c r="AK238" s="8">
        <v>0</v>
      </c>
      <c r="AL238" s="970">
        <f>+ROUND(+P238+W238+AD238,2)</f>
        <v>0</v>
      </c>
      <c r="AM238" s="326">
        <f t="shared" si="131"/>
        <v>0</v>
      </c>
      <c r="AN238" s="970">
        <f t="shared" si="131"/>
        <v>0</v>
      </c>
      <c r="AO238" s="29">
        <v>0</v>
      </c>
      <c r="AP238" s="28">
        <f>+T238+AA238+AH238</f>
        <v>0</v>
      </c>
      <c r="AQ238" s="43"/>
      <c r="AR238" s="358">
        <f t="shared" si="109"/>
        <v>0</v>
      </c>
      <c r="AS238" s="359">
        <f t="shared" si="110"/>
        <v>0</v>
      </c>
      <c r="AT238" s="360">
        <f t="shared" si="111"/>
        <v>0</v>
      </c>
      <c r="AU238" s="43"/>
      <c r="AV238" s="2119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119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 t="s">
        <v>265</v>
      </c>
      <c r="N239" s="113">
        <f t="shared" si="106"/>
        <v>4857</v>
      </c>
      <c r="O239" s="581"/>
      <c r="P239" s="582">
        <v>0</v>
      </c>
      <c r="Q239" s="325"/>
      <c r="R239" s="324"/>
      <c r="S239" s="583">
        <f>+IF(ABS(+O239+Q239)&gt;=ABS(P239+R239),+O239-P239+Q239-R239,0)</f>
        <v>0</v>
      </c>
      <c r="T239" s="584">
        <v>0</v>
      </c>
      <c r="U239" s="51"/>
      <c r="V239" s="541">
        <f>+'NF-KSF-TRIAL-BAL-2021'!O239+'RA-TRIAL-BAL-2021'!O239+'DES-TRIAL-BAL-2021'!O239+'DMP-TRIAL-BAL-2021'!O239</f>
        <v>0</v>
      </c>
      <c r="W239" s="529">
        <f>+'NF-KSF-TRIAL-BAL-2021'!P239+'RA-TRIAL-BAL-2021'!P239+'DES-TRIAL-BAL-2021'!P239+'DMP-TRIAL-BAL-2021'!P239</f>
        <v>0</v>
      </c>
      <c r="X239" s="587">
        <f>+'NF-KSF-TRIAL-BAL-2021'!Q239+'RA-TRIAL-BAL-2021'!Q239+'DES-TRIAL-BAL-2021'!Q239+'DMP-TRIAL-BAL-2021'!Q239</f>
        <v>0</v>
      </c>
      <c r="Y239" s="586">
        <f>+'NF-KSF-TRIAL-BAL-2021'!R239+'RA-TRIAL-BAL-2021'!R239+'DES-TRIAL-BAL-2021'!R239+'DMP-TRIAL-BAL-2021'!R239</f>
        <v>0</v>
      </c>
      <c r="Z239" s="587">
        <f>+'NF-KSF-TRIAL-BAL-2021'!S239+'RA-TRIAL-BAL-2021'!S239+'DES-TRIAL-BAL-2021'!S239+'DMP-TRIAL-BAL-2021'!S239</f>
        <v>0</v>
      </c>
      <c r="AA239" s="588">
        <f>+'NF-KSF-TRIAL-BAL-2021'!T239+'RA-TRIAL-BAL-2021'!T239+'DES-TRIAL-BAL-2021'!T239+'DMP-TRIAL-BAL-2021'!T239</f>
        <v>0</v>
      </c>
      <c r="AB239" s="51"/>
      <c r="AC239" s="581"/>
      <c r="AD239" s="582">
        <v>0</v>
      </c>
      <c r="AE239" s="325"/>
      <c r="AF239" s="324"/>
      <c r="AG239" s="583">
        <f>+IF(ABS(+AC239+AE239)&gt;=ABS(AD239+AF239),+AC239-AD239+AE239-AF239,0)</f>
        <v>0</v>
      </c>
      <c r="AH239" s="584">
        <v>0</v>
      </c>
      <c r="AI239" s="51"/>
      <c r="AJ239" s="1497">
        <f>+N239</f>
        <v>4857</v>
      </c>
      <c r="AK239" s="951">
        <f>+ROUND(+O239+V239+AC239,2)</f>
        <v>0</v>
      </c>
      <c r="AL239" s="9">
        <v>0</v>
      </c>
      <c r="AM239" s="326">
        <f t="shared" si="131"/>
        <v>0</v>
      </c>
      <c r="AN239" s="970">
        <f t="shared" si="131"/>
        <v>0</v>
      </c>
      <c r="AO239" s="326">
        <f>+S239+Z239+AG239</f>
        <v>0</v>
      </c>
      <c r="AP239" s="30">
        <v>0</v>
      </c>
      <c r="AQ239" s="43"/>
      <c r="AR239" s="358">
        <f>+ROUND(+SUM(AK239-AL239)-SUM(O239-P239)-SUM(V239-W239)-SUM(AC239-AD239),2)</f>
        <v>0</v>
      </c>
      <c r="AS239" s="359">
        <f>+ROUND(+SUM(AM239-AN239)-SUM(Q239-R239)-SUM(X239-Y239)-SUM(AE239-AF239),2)</f>
        <v>0</v>
      </c>
      <c r="AT239" s="360">
        <f>+ROUND(+SUM(AO239-AP239)-SUM(S239-T239)-SUM(Z239-AA239)-SUM(AG239-AH239),2)</f>
        <v>0</v>
      </c>
      <c r="AU239" s="43"/>
      <c r="AV239" s="2120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120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 t="s">
        <v>265</v>
      </c>
      <c r="N240" s="113">
        <f t="shared" si="106"/>
        <v>4858</v>
      </c>
      <c r="O240" s="581"/>
      <c r="P240" s="582">
        <v>0</v>
      </c>
      <c r="Q240" s="325"/>
      <c r="R240" s="324"/>
      <c r="S240" s="583">
        <f>+IF(ABS(+O240+Q240)&gt;=ABS(P240+R240),+O240-P240+Q240-R240,0)</f>
        <v>0</v>
      </c>
      <c r="T240" s="584">
        <v>0</v>
      </c>
      <c r="U240" s="51"/>
      <c r="V240" s="541">
        <f>+'NF-KSF-TRIAL-BAL-2021'!O240+'RA-TRIAL-BAL-2021'!O240+'DES-TRIAL-BAL-2021'!O240+'DMP-TRIAL-BAL-2021'!O240</f>
        <v>0</v>
      </c>
      <c r="W240" s="529">
        <f>+'NF-KSF-TRIAL-BAL-2021'!P240+'RA-TRIAL-BAL-2021'!P240+'DES-TRIAL-BAL-2021'!P240+'DMP-TRIAL-BAL-2021'!P240</f>
        <v>0</v>
      </c>
      <c r="X240" s="587">
        <f>+'NF-KSF-TRIAL-BAL-2021'!Q240+'RA-TRIAL-BAL-2021'!Q240+'DES-TRIAL-BAL-2021'!Q240+'DMP-TRIAL-BAL-2021'!Q240</f>
        <v>0</v>
      </c>
      <c r="Y240" s="586">
        <f>+'NF-KSF-TRIAL-BAL-2021'!R240+'RA-TRIAL-BAL-2021'!R240+'DES-TRIAL-BAL-2021'!R240+'DMP-TRIAL-BAL-2021'!R240</f>
        <v>0</v>
      </c>
      <c r="Z240" s="587">
        <f>+'NF-KSF-TRIAL-BAL-2021'!S240+'RA-TRIAL-BAL-2021'!S240+'DES-TRIAL-BAL-2021'!S240+'DMP-TRIAL-BAL-2021'!S240</f>
        <v>0</v>
      </c>
      <c r="AA240" s="588">
        <f>+'NF-KSF-TRIAL-BAL-2021'!T240+'RA-TRIAL-BAL-2021'!T240+'DES-TRIAL-BAL-2021'!T240+'DMP-TRIAL-BAL-2021'!T240</f>
        <v>0</v>
      </c>
      <c r="AB240" s="51"/>
      <c r="AC240" s="581"/>
      <c r="AD240" s="582">
        <v>0</v>
      </c>
      <c r="AE240" s="122"/>
      <c r="AF240" s="324"/>
      <c r="AG240" s="583">
        <f>+IF(ABS(+AC240+AE240)&gt;=ABS(AD240+AF240),+AC240-AD240+AE240-AF240,0)</f>
        <v>0</v>
      </c>
      <c r="AH240" s="584">
        <v>0</v>
      </c>
      <c r="AI240" s="51"/>
      <c r="AJ240" s="1497">
        <f t="shared" si="124"/>
        <v>4858</v>
      </c>
      <c r="AK240" s="951">
        <f>+ROUND(+O240+V240+AC240,2)</f>
        <v>0</v>
      </c>
      <c r="AL240" s="9">
        <v>0</v>
      </c>
      <c r="AM240" s="326">
        <f t="shared" si="131"/>
        <v>0</v>
      </c>
      <c r="AN240" s="970">
        <f t="shared" si="131"/>
        <v>0</v>
      </c>
      <c r="AO240" s="326">
        <f>+S240+Z240+AG240</f>
        <v>0</v>
      </c>
      <c r="AP240" s="30">
        <v>0</v>
      </c>
      <c r="AQ240" s="43"/>
      <c r="AR240" s="358">
        <f t="shared" si="109"/>
        <v>0</v>
      </c>
      <c r="AS240" s="359">
        <f t="shared" si="110"/>
        <v>0</v>
      </c>
      <c r="AT240" s="360">
        <f t="shared" si="111"/>
        <v>0</v>
      </c>
      <c r="AU240" s="43"/>
      <c r="AV240" s="2120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120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 t="s">
        <v>265</v>
      </c>
      <c r="N241" s="113">
        <f t="shared" si="106"/>
        <v>4861</v>
      </c>
      <c r="O241" s="575">
        <v>0</v>
      </c>
      <c r="P241" s="576"/>
      <c r="Q241" s="325"/>
      <c r="R241" s="324"/>
      <c r="S241" s="579">
        <v>0</v>
      </c>
      <c r="T241" s="580">
        <f>+IF(ABS(+O241+Q241)&lt;=ABS(P241+R241),-O241+P241-Q241+R241,0)</f>
        <v>0</v>
      </c>
      <c r="U241" s="51"/>
      <c r="V241" s="541">
        <f>+'NF-KSF-TRIAL-BAL-2021'!O241+'RA-TRIAL-BAL-2021'!O241+'DES-TRIAL-BAL-2021'!O241+'DMP-TRIAL-BAL-2021'!O241</f>
        <v>0</v>
      </c>
      <c r="W241" s="529">
        <f>+'NF-KSF-TRIAL-BAL-2021'!P241+'RA-TRIAL-BAL-2021'!P241+'DES-TRIAL-BAL-2021'!P241+'DMP-TRIAL-BAL-2021'!P241</f>
        <v>0</v>
      </c>
      <c r="X241" s="587">
        <f>+'NF-KSF-TRIAL-BAL-2021'!Q241+'RA-TRIAL-BAL-2021'!Q241+'DES-TRIAL-BAL-2021'!Q241+'DMP-TRIAL-BAL-2021'!Q241</f>
        <v>0</v>
      </c>
      <c r="Y241" s="586">
        <f>+'NF-KSF-TRIAL-BAL-2021'!R241+'RA-TRIAL-BAL-2021'!R241+'DES-TRIAL-BAL-2021'!R241+'DMP-TRIAL-BAL-2021'!R241</f>
        <v>0</v>
      </c>
      <c r="Z241" s="587">
        <f>+'NF-KSF-TRIAL-BAL-2021'!S241+'RA-TRIAL-BAL-2021'!S241+'DES-TRIAL-BAL-2021'!S241+'DMP-TRIAL-BAL-2021'!S241</f>
        <v>0</v>
      </c>
      <c r="AA241" s="588">
        <f>+'NF-KSF-TRIAL-BAL-2021'!T241+'RA-TRIAL-BAL-2021'!T241+'DES-TRIAL-BAL-2021'!T241+'DMP-TRIAL-BAL-2021'!T241</f>
        <v>0</v>
      </c>
      <c r="AB241" s="51"/>
      <c r="AC241" s="575">
        <v>0</v>
      </c>
      <c r="AD241" s="576"/>
      <c r="AE241" s="325"/>
      <c r="AF241" s="324"/>
      <c r="AG241" s="579">
        <v>0</v>
      </c>
      <c r="AH241" s="580">
        <f>+IF(ABS(+AC241+AE241)&lt;=ABS(AD241+AF241),-AC241+AD241-AE241+AF241,0)</f>
        <v>0</v>
      </c>
      <c r="AI241" s="51"/>
      <c r="AJ241" s="1497">
        <f>+N241</f>
        <v>4861</v>
      </c>
      <c r="AK241" s="8">
        <v>0</v>
      </c>
      <c r="AL241" s="970">
        <f t="shared" ref="AL241:AN243" si="132">+ROUND(+P241+W241+AD241,2)</f>
        <v>0</v>
      </c>
      <c r="AM241" s="326">
        <f t="shared" si="132"/>
        <v>0</v>
      </c>
      <c r="AN241" s="970">
        <f t="shared" si="132"/>
        <v>0</v>
      </c>
      <c r="AO241" s="29">
        <v>0</v>
      </c>
      <c r="AP241" s="28">
        <f>+T241+AA241+AH241</f>
        <v>0</v>
      </c>
      <c r="AQ241" s="43"/>
      <c r="AR241" s="358">
        <f t="shared" si="109"/>
        <v>0</v>
      </c>
      <c r="AS241" s="359">
        <f t="shared" si="110"/>
        <v>0</v>
      </c>
      <c r="AT241" s="360">
        <f t="shared" si="111"/>
        <v>0</v>
      </c>
      <c r="AU241" s="43"/>
      <c r="AV241" s="2119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119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 t="s">
        <v>265</v>
      </c>
      <c r="N242" s="113">
        <f t="shared" si="106"/>
        <v>4862</v>
      </c>
      <c r="O242" s="575">
        <v>0</v>
      </c>
      <c r="P242" s="576"/>
      <c r="Q242" s="325"/>
      <c r="R242" s="324"/>
      <c r="S242" s="579">
        <v>0</v>
      </c>
      <c r="T242" s="580">
        <f>+IF(ABS(+O242+Q242)&lt;=ABS(P242+R242),-O242+P242-Q242+R242,0)</f>
        <v>0</v>
      </c>
      <c r="U242" s="51"/>
      <c r="V242" s="541">
        <f>+'NF-KSF-TRIAL-BAL-2021'!O242+'RA-TRIAL-BAL-2021'!O242+'DES-TRIAL-BAL-2021'!O242+'DMP-TRIAL-BAL-2021'!O242</f>
        <v>0</v>
      </c>
      <c r="W242" s="529">
        <f>+'NF-KSF-TRIAL-BAL-2021'!P242+'RA-TRIAL-BAL-2021'!P242+'DES-TRIAL-BAL-2021'!P242+'DMP-TRIAL-BAL-2021'!P242</f>
        <v>0</v>
      </c>
      <c r="X242" s="587">
        <f>+'NF-KSF-TRIAL-BAL-2021'!Q242+'RA-TRIAL-BAL-2021'!Q242+'DES-TRIAL-BAL-2021'!Q242+'DMP-TRIAL-BAL-2021'!Q242</f>
        <v>0</v>
      </c>
      <c r="Y242" s="586">
        <f>+'NF-KSF-TRIAL-BAL-2021'!R242+'RA-TRIAL-BAL-2021'!R242+'DES-TRIAL-BAL-2021'!R242+'DMP-TRIAL-BAL-2021'!R242</f>
        <v>0</v>
      </c>
      <c r="Z242" s="587">
        <f>+'NF-KSF-TRIAL-BAL-2021'!S242+'RA-TRIAL-BAL-2021'!S242+'DES-TRIAL-BAL-2021'!S242+'DMP-TRIAL-BAL-2021'!S242</f>
        <v>0</v>
      </c>
      <c r="AA242" s="588">
        <f>+'NF-KSF-TRIAL-BAL-2021'!T242+'RA-TRIAL-BAL-2021'!T242+'DES-TRIAL-BAL-2021'!T242+'DMP-TRIAL-BAL-2021'!T242</f>
        <v>0</v>
      </c>
      <c r="AB242" s="51"/>
      <c r="AC242" s="575">
        <v>0</v>
      </c>
      <c r="AD242" s="576"/>
      <c r="AE242" s="325"/>
      <c r="AF242" s="324"/>
      <c r="AG242" s="579">
        <v>0</v>
      </c>
      <c r="AH242" s="580">
        <f>+IF(ABS(+AC242+AE242)&lt;=ABS(AD242+AF242),-AC242+AD242-AE242+AF242,0)</f>
        <v>0</v>
      </c>
      <c r="AI242" s="51"/>
      <c r="AJ242" s="1497">
        <f t="shared" si="124"/>
        <v>4862</v>
      </c>
      <c r="AK242" s="8">
        <v>0</v>
      </c>
      <c r="AL242" s="970">
        <f t="shared" si="132"/>
        <v>0</v>
      </c>
      <c r="AM242" s="326">
        <f t="shared" si="132"/>
        <v>0</v>
      </c>
      <c r="AN242" s="970">
        <f t="shared" si="132"/>
        <v>0</v>
      </c>
      <c r="AO242" s="29">
        <v>0</v>
      </c>
      <c r="AP242" s="28">
        <f>+T242+AA242+AH242</f>
        <v>0</v>
      </c>
      <c r="AQ242" s="43"/>
      <c r="AR242" s="358">
        <f t="shared" si="109"/>
        <v>0</v>
      </c>
      <c r="AS242" s="359">
        <f t="shared" si="110"/>
        <v>0</v>
      </c>
      <c r="AT242" s="360">
        <f t="shared" si="111"/>
        <v>0</v>
      </c>
      <c r="AU242" s="43"/>
      <c r="AV242" s="2119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119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 t="s">
        <v>265</v>
      </c>
      <c r="N243" s="113">
        <f t="shared" si="106"/>
        <v>4863</v>
      </c>
      <c r="O243" s="575">
        <v>0</v>
      </c>
      <c r="P243" s="576"/>
      <c r="Q243" s="325"/>
      <c r="R243" s="324"/>
      <c r="S243" s="579">
        <v>0</v>
      </c>
      <c r="T243" s="580">
        <f>+IF(ABS(+O243+Q243)&lt;=ABS(P243+R243),-O243+P243-Q243+R243,0)</f>
        <v>0</v>
      </c>
      <c r="U243" s="51"/>
      <c r="V243" s="541">
        <f>+'NF-KSF-TRIAL-BAL-2021'!O243+'RA-TRIAL-BAL-2021'!O243+'DES-TRIAL-BAL-2021'!O243+'DMP-TRIAL-BAL-2021'!O243</f>
        <v>0</v>
      </c>
      <c r="W243" s="529">
        <f>+'NF-KSF-TRIAL-BAL-2021'!P243+'RA-TRIAL-BAL-2021'!P243+'DES-TRIAL-BAL-2021'!P243+'DMP-TRIAL-BAL-2021'!P243</f>
        <v>0</v>
      </c>
      <c r="X243" s="587">
        <f>+'NF-KSF-TRIAL-BAL-2021'!Q243+'RA-TRIAL-BAL-2021'!Q243+'DES-TRIAL-BAL-2021'!Q243+'DMP-TRIAL-BAL-2021'!Q243</f>
        <v>0</v>
      </c>
      <c r="Y243" s="586">
        <f>+'NF-KSF-TRIAL-BAL-2021'!R243+'RA-TRIAL-BAL-2021'!R243+'DES-TRIAL-BAL-2021'!R243+'DMP-TRIAL-BAL-2021'!R243</f>
        <v>0</v>
      </c>
      <c r="Z243" s="587">
        <f>+'NF-KSF-TRIAL-BAL-2021'!S243+'RA-TRIAL-BAL-2021'!S243+'DES-TRIAL-BAL-2021'!S243+'DMP-TRIAL-BAL-2021'!S243</f>
        <v>0</v>
      </c>
      <c r="AA243" s="588">
        <f>+'NF-KSF-TRIAL-BAL-2021'!T243+'RA-TRIAL-BAL-2021'!T243+'DES-TRIAL-BAL-2021'!T243+'DMP-TRIAL-BAL-2021'!T243</f>
        <v>0</v>
      </c>
      <c r="AB243" s="51"/>
      <c r="AC243" s="575">
        <v>0</v>
      </c>
      <c r="AD243" s="576"/>
      <c r="AE243" s="122"/>
      <c r="AF243" s="324"/>
      <c r="AG243" s="579">
        <v>0</v>
      </c>
      <c r="AH243" s="580">
        <f>+IF(ABS(+AC243+AE243)&lt;=ABS(AD243+AF243),-AC243+AD243-AE243+AF243,0)</f>
        <v>0</v>
      </c>
      <c r="AI243" s="51"/>
      <c r="AJ243" s="1497">
        <f t="shared" si="124"/>
        <v>4863</v>
      </c>
      <c r="AK243" s="8">
        <v>0</v>
      </c>
      <c r="AL243" s="970">
        <f t="shared" si="132"/>
        <v>0</v>
      </c>
      <c r="AM243" s="326">
        <f t="shared" si="132"/>
        <v>0</v>
      </c>
      <c r="AN243" s="970">
        <f t="shared" si="132"/>
        <v>0</v>
      </c>
      <c r="AO243" s="29">
        <v>0</v>
      </c>
      <c r="AP243" s="28">
        <f>+T243+AA243+AH243</f>
        <v>0</v>
      </c>
      <c r="AQ243" s="43"/>
      <c r="AR243" s="358">
        <f t="shared" si="109"/>
        <v>0</v>
      </c>
      <c r="AS243" s="359">
        <f t="shared" si="110"/>
        <v>0</v>
      </c>
      <c r="AT243" s="360">
        <f t="shared" si="111"/>
        <v>0</v>
      </c>
      <c r="AU243" s="43"/>
      <c r="AV243" s="2119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119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 t="s">
        <v>265</v>
      </c>
      <c r="N244" s="113">
        <f t="shared" si="106"/>
        <v>4864</v>
      </c>
      <c r="O244" s="575">
        <v>0</v>
      </c>
      <c r="P244" s="576"/>
      <c r="Q244" s="325"/>
      <c r="R244" s="324"/>
      <c r="S244" s="579">
        <v>0</v>
      </c>
      <c r="T244" s="580">
        <f>+IF(ABS(+O244+Q244)&lt;=ABS(P244+R244),-O244+P244-Q244+R244,0)</f>
        <v>0</v>
      </c>
      <c r="U244" s="51"/>
      <c r="V244" s="541">
        <f>+'NF-KSF-TRIAL-BAL-2021'!O244+'RA-TRIAL-BAL-2021'!O244+'DES-TRIAL-BAL-2021'!O244+'DMP-TRIAL-BAL-2021'!O244</f>
        <v>0</v>
      </c>
      <c r="W244" s="529">
        <f>+'NF-KSF-TRIAL-BAL-2021'!P244+'RA-TRIAL-BAL-2021'!P244+'DES-TRIAL-BAL-2021'!P244+'DMP-TRIAL-BAL-2021'!P244</f>
        <v>0</v>
      </c>
      <c r="X244" s="587">
        <f>+'NF-KSF-TRIAL-BAL-2021'!Q244+'RA-TRIAL-BAL-2021'!Q244+'DES-TRIAL-BAL-2021'!Q244+'DMP-TRIAL-BAL-2021'!Q244</f>
        <v>0</v>
      </c>
      <c r="Y244" s="586">
        <f>+'NF-KSF-TRIAL-BAL-2021'!R244+'RA-TRIAL-BAL-2021'!R244+'DES-TRIAL-BAL-2021'!R244+'DMP-TRIAL-BAL-2021'!R244</f>
        <v>0</v>
      </c>
      <c r="Z244" s="587">
        <f>+'NF-KSF-TRIAL-BAL-2021'!S244+'RA-TRIAL-BAL-2021'!S244+'DES-TRIAL-BAL-2021'!S244+'DMP-TRIAL-BAL-2021'!S244</f>
        <v>0</v>
      </c>
      <c r="AA244" s="588">
        <f>+'NF-KSF-TRIAL-BAL-2021'!T244+'RA-TRIAL-BAL-2021'!T244+'DES-TRIAL-BAL-2021'!T244+'DMP-TRIAL-BAL-2021'!T244</f>
        <v>0</v>
      </c>
      <c r="AB244" s="51"/>
      <c r="AC244" s="575">
        <v>0</v>
      </c>
      <c r="AD244" s="576"/>
      <c r="AE244" s="325"/>
      <c r="AF244" s="324"/>
      <c r="AG244" s="579">
        <v>0</v>
      </c>
      <c r="AH244" s="580">
        <f>+IF(ABS(+AC244+AE244)&lt;=ABS(AD244+AF244),-AC244+AD244-AE244+AF244,0)</f>
        <v>0</v>
      </c>
      <c r="AI244" s="51"/>
      <c r="AJ244" s="1497">
        <f t="shared" si="124"/>
        <v>4864</v>
      </c>
      <c r="AK244" s="8">
        <v>0</v>
      </c>
      <c r="AL244" s="970">
        <f>+ROUND(+P244+W244+AD244,2)</f>
        <v>0</v>
      </c>
      <c r="AM244" s="326">
        <f>+ROUND(+Q244+X244+AE244,2)</f>
        <v>0</v>
      </c>
      <c r="AN244" s="970">
        <f>+ROUND(+R244+Y244+AF244,2)</f>
        <v>0</v>
      </c>
      <c r="AO244" s="29">
        <v>0</v>
      </c>
      <c r="AP244" s="28">
        <f>+T244+AA244+AH244</f>
        <v>0</v>
      </c>
      <c r="AQ244" s="43"/>
      <c r="AR244" s="358">
        <f t="shared" si="109"/>
        <v>0</v>
      </c>
      <c r="AS244" s="359">
        <f t="shared" si="110"/>
        <v>0</v>
      </c>
      <c r="AT244" s="360">
        <f t="shared" si="111"/>
        <v>0</v>
      </c>
      <c r="AU244" s="43"/>
      <c r="AV244" s="2119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119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 t="s">
        <v>265</v>
      </c>
      <c r="N245" s="113">
        <f t="shared" si="106"/>
        <v>4865</v>
      </c>
      <c r="O245" s="581"/>
      <c r="P245" s="582">
        <v>0</v>
      </c>
      <c r="Q245" s="325"/>
      <c r="R245" s="324"/>
      <c r="S245" s="583">
        <f t="shared" ref="S245:S250" si="133">+IF(ABS(+O245+Q245)&gt;=ABS(P245+R245),+O245-P245+Q245-R245,0)</f>
        <v>0</v>
      </c>
      <c r="T245" s="584">
        <v>0</v>
      </c>
      <c r="U245" s="51"/>
      <c r="V245" s="541">
        <f>+'NF-KSF-TRIAL-BAL-2021'!O245+'RA-TRIAL-BAL-2021'!O245+'DES-TRIAL-BAL-2021'!O245+'DMP-TRIAL-BAL-2021'!O245</f>
        <v>0</v>
      </c>
      <c r="W245" s="529">
        <f>+'NF-KSF-TRIAL-BAL-2021'!P245+'RA-TRIAL-BAL-2021'!P245+'DES-TRIAL-BAL-2021'!P245+'DMP-TRIAL-BAL-2021'!P245</f>
        <v>0</v>
      </c>
      <c r="X245" s="587">
        <f>+'NF-KSF-TRIAL-BAL-2021'!Q245+'RA-TRIAL-BAL-2021'!Q245+'DES-TRIAL-BAL-2021'!Q245+'DMP-TRIAL-BAL-2021'!Q245</f>
        <v>0</v>
      </c>
      <c r="Y245" s="586">
        <f>+'NF-KSF-TRIAL-BAL-2021'!R245+'RA-TRIAL-BAL-2021'!R245+'DES-TRIAL-BAL-2021'!R245+'DMP-TRIAL-BAL-2021'!R245</f>
        <v>0</v>
      </c>
      <c r="Z245" s="587">
        <f>+'NF-KSF-TRIAL-BAL-2021'!S245+'RA-TRIAL-BAL-2021'!S245+'DES-TRIAL-BAL-2021'!S245+'DMP-TRIAL-BAL-2021'!S245</f>
        <v>0</v>
      </c>
      <c r="AA245" s="588">
        <f>+'NF-KSF-TRIAL-BAL-2021'!T245+'RA-TRIAL-BAL-2021'!T245+'DES-TRIAL-BAL-2021'!T245+'DMP-TRIAL-BAL-2021'!T245</f>
        <v>0</v>
      </c>
      <c r="AB245" s="51"/>
      <c r="AC245" s="581"/>
      <c r="AD245" s="582">
        <v>0</v>
      </c>
      <c r="AE245" s="325"/>
      <c r="AF245" s="324"/>
      <c r="AG245" s="583">
        <f t="shared" ref="AG245:AG250" si="134">+IF(ABS(+AC245+AE245)&gt;=ABS(AD245+AF245),+AC245-AD245+AE245-AF245,0)</f>
        <v>0</v>
      </c>
      <c r="AH245" s="584">
        <v>0</v>
      </c>
      <c r="AI245" s="51"/>
      <c r="AJ245" s="1497">
        <f>+N245</f>
        <v>4865</v>
      </c>
      <c r="AK245" s="951">
        <f t="shared" ref="AK245:AK250" si="135">+ROUND(+O245+V245+AC245,2)</f>
        <v>0</v>
      </c>
      <c r="AL245" s="9">
        <v>0</v>
      </c>
      <c r="AM245" s="326">
        <f t="shared" ref="AM245:AN247" si="136">+ROUND(+Q245+X245+AE245,2)</f>
        <v>0</v>
      </c>
      <c r="AN245" s="970">
        <f t="shared" si="136"/>
        <v>0</v>
      </c>
      <c r="AO245" s="326">
        <f t="shared" ref="AO245:AO250" si="137">+S245+Z245+AG245</f>
        <v>0</v>
      </c>
      <c r="AP245" s="30">
        <v>0</v>
      </c>
      <c r="AQ245" s="43"/>
      <c r="AR245" s="358">
        <f>+ROUND(+SUM(AK245-AL245)-SUM(O245-P245)-SUM(V245-W245)-SUM(AC245-AD245),2)</f>
        <v>0</v>
      </c>
      <c r="AS245" s="359">
        <f>+ROUND(+SUM(AM245-AN245)-SUM(Q245-R245)-SUM(X245-Y245)-SUM(AE245-AF245),2)</f>
        <v>0</v>
      </c>
      <c r="AT245" s="360">
        <f>+ROUND(+SUM(AO245-AP245)-SUM(S245-T245)-SUM(Z245-AA245)-SUM(AG245-AH245),2)</f>
        <v>0</v>
      </c>
      <c r="AU245" s="43"/>
      <c r="AV245" s="2120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120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 t="s">
        <v>265</v>
      </c>
      <c r="N246" s="113">
        <f t="shared" si="106"/>
        <v>4866</v>
      </c>
      <c r="O246" s="581"/>
      <c r="P246" s="582">
        <v>0</v>
      </c>
      <c r="Q246" s="325"/>
      <c r="R246" s="324"/>
      <c r="S246" s="583">
        <f t="shared" si="133"/>
        <v>0</v>
      </c>
      <c r="T246" s="584">
        <v>0</v>
      </c>
      <c r="U246" s="51"/>
      <c r="V246" s="541">
        <f>+'NF-KSF-TRIAL-BAL-2021'!O246+'RA-TRIAL-BAL-2021'!O246+'DES-TRIAL-BAL-2021'!O246+'DMP-TRIAL-BAL-2021'!O246</f>
        <v>0</v>
      </c>
      <c r="W246" s="529">
        <f>+'NF-KSF-TRIAL-BAL-2021'!P246+'RA-TRIAL-BAL-2021'!P246+'DES-TRIAL-BAL-2021'!P246+'DMP-TRIAL-BAL-2021'!P246</f>
        <v>0</v>
      </c>
      <c r="X246" s="587">
        <f>+'NF-KSF-TRIAL-BAL-2021'!Q246+'RA-TRIAL-BAL-2021'!Q246+'DES-TRIAL-BAL-2021'!Q246+'DMP-TRIAL-BAL-2021'!Q246</f>
        <v>0</v>
      </c>
      <c r="Y246" s="586">
        <f>+'NF-KSF-TRIAL-BAL-2021'!R246+'RA-TRIAL-BAL-2021'!R246+'DES-TRIAL-BAL-2021'!R246+'DMP-TRIAL-BAL-2021'!R246</f>
        <v>0</v>
      </c>
      <c r="Z246" s="587">
        <f>+'NF-KSF-TRIAL-BAL-2021'!S246+'RA-TRIAL-BAL-2021'!S246+'DES-TRIAL-BAL-2021'!S246+'DMP-TRIAL-BAL-2021'!S246</f>
        <v>0</v>
      </c>
      <c r="AA246" s="588">
        <f>+'NF-KSF-TRIAL-BAL-2021'!T246+'RA-TRIAL-BAL-2021'!T246+'DES-TRIAL-BAL-2021'!T246+'DMP-TRIAL-BAL-2021'!T246</f>
        <v>0</v>
      </c>
      <c r="AB246" s="51"/>
      <c r="AC246" s="581"/>
      <c r="AD246" s="582">
        <v>0</v>
      </c>
      <c r="AE246" s="122"/>
      <c r="AF246" s="324"/>
      <c r="AG246" s="583">
        <f t="shared" si="134"/>
        <v>0</v>
      </c>
      <c r="AH246" s="584">
        <v>0</v>
      </c>
      <c r="AI246" s="51"/>
      <c r="AJ246" s="1497">
        <f>+N246</f>
        <v>4866</v>
      </c>
      <c r="AK246" s="951">
        <f t="shared" si="135"/>
        <v>0</v>
      </c>
      <c r="AL246" s="9">
        <v>0</v>
      </c>
      <c r="AM246" s="326">
        <f t="shared" si="136"/>
        <v>0</v>
      </c>
      <c r="AN246" s="970">
        <f t="shared" si="136"/>
        <v>0</v>
      </c>
      <c r="AO246" s="326">
        <f t="shared" si="137"/>
        <v>0</v>
      </c>
      <c r="AP246" s="30">
        <v>0</v>
      </c>
      <c r="AQ246" s="43"/>
      <c r="AR246" s="358">
        <f>+ROUND(+SUM(AK246-AL246)-SUM(O246-P246)-SUM(V246-W246)-SUM(AC246-AD246),2)</f>
        <v>0</v>
      </c>
      <c r="AS246" s="359">
        <f>+ROUND(+SUM(AM246-AN246)-SUM(Q246-R246)-SUM(X246-Y246)-SUM(AE246-AF246),2)</f>
        <v>0</v>
      </c>
      <c r="AT246" s="360">
        <f>+ROUND(+SUM(AO246-AP246)-SUM(S246-T246)-SUM(Z246-AA246)-SUM(AG246-AH246),2)</f>
        <v>0</v>
      </c>
      <c r="AU246" s="43"/>
      <c r="AV246" s="2120">
        <f t="shared" si="138"/>
        <v>0</v>
      </c>
      <c r="AW246" s="119"/>
      <c r="AX246" s="2120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 t="s">
        <v>265</v>
      </c>
      <c r="N247" s="113">
        <f t="shared" si="106"/>
        <v>4867</v>
      </c>
      <c r="O247" s="581"/>
      <c r="P247" s="582">
        <v>0</v>
      </c>
      <c r="Q247" s="325"/>
      <c r="R247" s="324"/>
      <c r="S247" s="583">
        <f t="shared" si="133"/>
        <v>0</v>
      </c>
      <c r="T247" s="584">
        <v>0</v>
      </c>
      <c r="U247" s="51"/>
      <c r="V247" s="541">
        <f>+'NF-KSF-TRIAL-BAL-2021'!O247+'RA-TRIAL-BAL-2021'!O247+'DES-TRIAL-BAL-2021'!O247+'DMP-TRIAL-BAL-2021'!O247</f>
        <v>0</v>
      </c>
      <c r="W247" s="529">
        <f>+'NF-KSF-TRIAL-BAL-2021'!P247+'RA-TRIAL-BAL-2021'!P247+'DES-TRIAL-BAL-2021'!P247+'DMP-TRIAL-BAL-2021'!P247</f>
        <v>0</v>
      </c>
      <c r="X247" s="587">
        <f>+'NF-KSF-TRIAL-BAL-2021'!Q247+'RA-TRIAL-BAL-2021'!Q247+'DES-TRIAL-BAL-2021'!Q247+'DMP-TRIAL-BAL-2021'!Q247</f>
        <v>0</v>
      </c>
      <c r="Y247" s="586">
        <f>+'NF-KSF-TRIAL-BAL-2021'!R247+'RA-TRIAL-BAL-2021'!R247+'DES-TRIAL-BAL-2021'!R247+'DMP-TRIAL-BAL-2021'!R247</f>
        <v>0</v>
      </c>
      <c r="Z247" s="587">
        <f>+'NF-KSF-TRIAL-BAL-2021'!S247+'RA-TRIAL-BAL-2021'!S247+'DES-TRIAL-BAL-2021'!S247+'DMP-TRIAL-BAL-2021'!S247</f>
        <v>0</v>
      </c>
      <c r="AA247" s="588">
        <f>+'NF-KSF-TRIAL-BAL-2021'!T247+'RA-TRIAL-BAL-2021'!T247+'DES-TRIAL-BAL-2021'!T247+'DMP-TRIAL-BAL-2021'!T247</f>
        <v>0</v>
      </c>
      <c r="AB247" s="51"/>
      <c r="AC247" s="581"/>
      <c r="AD247" s="582">
        <v>0</v>
      </c>
      <c r="AE247" s="325"/>
      <c r="AF247" s="324"/>
      <c r="AG247" s="583">
        <f t="shared" si="134"/>
        <v>0</v>
      </c>
      <c r="AH247" s="584">
        <v>0</v>
      </c>
      <c r="AI247" s="51"/>
      <c r="AJ247" s="1497">
        <f>+N247</f>
        <v>4867</v>
      </c>
      <c r="AK247" s="951">
        <f t="shared" si="135"/>
        <v>0</v>
      </c>
      <c r="AL247" s="9">
        <v>0</v>
      </c>
      <c r="AM247" s="326">
        <f t="shared" si="136"/>
        <v>0</v>
      </c>
      <c r="AN247" s="970">
        <f t="shared" si="136"/>
        <v>0</v>
      </c>
      <c r="AO247" s="326">
        <f t="shared" si="137"/>
        <v>0</v>
      </c>
      <c r="AP247" s="30">
        <v>0</v>
      </c>
      <c r="AQ247" s="43"/>
      <c r="AR247" s="358">
        <f>+ROUND(+SUM(AK247-AL247)-SUM(O247-P247)-SUM(V247-W247)-SUM(AC247-AD247),2)</f>
        <v>0</v>
      </c>
      <c r="AS247" s="359">
        <f>+ROUND(+SUM(AM247-AN247)-SUM(Q247-R247)-SUM(X247-Y247)-SUM(AE247-AF247),2)</f>
        <v>0</v>
      </c>
      <c r="AT247" s="360">
        <f>+ROUND(+SUM(AO247-AP247)-SUM(S247-T247)-SUM(Z247-AA247)-SUM(AG247-AH247),2)</f>
        <v>0</v>
      </c>
      <c r="AU247" s="43"/>
      <c r="AV247" s="2120">
        <f t="shared" si="138"/>
        <v>0</v>
      </c>
      <c r="AW247" s="119"/>
      <c r="AX247" s="2120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 t="s">
        <v>265</v>
      </c>
      <c r="N248" s="113">
        <f t="shared" si="106"/>
        <v>4868</v>
      </c>
      <c r="O248" s="581"/>
      <c r="P248" s="582">
        <v>0</v>
      </c>
      <c r="Q248" s="325"/>
      <c r="R248" s="324"/>
      <c r="S248" s="583">
        <f t="shared" si="133"/>
        <v>0</v>
      </c>
      <c r="T248" s="584">
        <v>0</v>
      </c>
      <c r="U248" s="51"/>
      <c r="V248" s="541">
        <f>+'NF-KSF-TRIAL-BAL-2021'!O248+'RA-TRIAL-BAL-2021'!O248+'DES-TRIAL-BAL-2021'!O248+'DMP-TRIAL-BAL-2021'!O248</f>
        <v>0</v>
      </c>
      <c r="W248" s="529">
        <f>+'NF-KSF-TRIAL-BAL-2021'!P248+'RA-TRIAL-BAL-2021'!P248+'DES-TRIAL-BAL-2021'!P248+'DMP-TRIAL-BAL-2021'!P248</f>
        <v>0</v>
      </c>
      <c r="X248" s="587">
        <f>+'NF-KSF-TRIAL-BAL-2021'!Q248+'RA-TRIAL-BAL-2021'!Q248+'DES-TRIAL-BAL-2021'!Q248+'DMP-TRIAL-BAL-2021'!Q248</f>
        <v>0</v>
      </c>
      <c r="Y248" s="586">
        <f>+'NF-KSF-TRIAL-BAL-2021'!R248+'RA-TRIAL-BAL-2021'!R248+'DES-TRIAL-BAL-2021'!R248+'DMP-TRIAL-BAL-2021'!R248</f>
        <v>0</v>
      </c>
      <c r="Z248" s="587">
        <f>+'NF-KSF-TRIAL-BAL-2021'!S248+'RA-TRIAL-BAL-2021'!S248+'DES-TRIAL-BAL-2021'!S248+'DMP-TRIAL-BAL-2021'!S248</f>
        <v>0</v>
      </c>
      <c r="AA248" s="588">
        <f>+'NF-KSF-TRIAL-BAL-2021'!T248+'RA-TRIAL-BAL-2021'!T248+'DES-TRIAL-BAL-2021'!T248+'DMP-TRIAL-BAL-2021'!T248</f>
        <v>0</v>
      </c>
      <c r="AB248" s="51"/>
      <c r="AC248" s="581"/>
      <c r="AD248" s="582">
        <v>0</v>
      </c>
      <c r="AE248" s="325"/>
      <c r="AF248" s="324"/>
      <c r="AG248" s="583">
        <f t="shared" si="134"/>
        <v>0</v>
      </c>
      <c r="AH248" s="584">
        <v>0</v>
      </c>
      <c r="AI248" s="51"/>
      <c r="AJ248" s="1497">
        <f t="shared" si="124"/>
        <v>4868</v>
      </c>
      <c r="AK248" s="951">
        <f t="shared" si="135"/>
        <v>0</v>
      </c>
      <c r="AL248" s="9">
        <v>0</v>
      </c>
      <c r="AM248" s="326">
        <f>+ROUND(+Q248+X248+AE248,2)</f>
        <v>0</v>
      </c>
      <c r="AN248" s="970">
        <f>+ROUND(+R248+Y248+AF248,2)</f>
        <v>0</v>
      </c>
      <c r="AO248" s="326">
        <f t="shared" si="137"/>
        <v>0</v>
      </c>
      <c r="AP248" s="30">
        <v>0</v>
      </c>
      <c r="AQ248" s="43"/>
      <c r="AR248" s="358">
        <f t="shared" si="109"/>
        <v>0</v>
      </c>
      <c r="AS248" s="359">
        <f t="shared" si="110"/>
        <v>0</v>
      </c>
      <c r="AT248" s="360">
        <f t="shared" si="111"/>
        <v>0</v>
      </c>
      <c r="AU248" s="43"/>
      <c r="AV248" s="2120">
        <f t="shared" si="138"/>
        <v>0</v>
      </c>
      <c r="AW248" s="119"/>
      <c r="AX248" s="2120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 t="s">
        <v>265</v>
      </c>
      <c r="N249" s="113">
        <f t="shared" si="106"/>
        <v>4871</v>
      </c>
      <c r="O249" s="581"/>
      <c r="P249" s="582">
        <v>0</v>
      </c>
      <c r="Q249" s="325"/>
      <c r="R249" s="324"/>
      <c r="S249" s="583">
        <f t="shared" si="133"/>
        <v>0</v>
      </c>
      <c r="T249" s="584">
        <v>0</v>
      </c>
      <c r="U249" s="51"/>
      <c r="V249" s="541">
        <f>+'NF-KSF-TRIAL-BAL-2021'!O249+'RA-TRIAL-BAL-2021'!O249+'DES-TRIAL-BAL-2021'!O249+'DMP-TRIAL-BAL-2021'!O249</f>
        <v>0</v>
      </c>
      <c r="W249" s="529">
        <f>+'NF-KSF-TRIAL-BAL-2021'!P249+'RA-TRIAL-BAL-2021'!P249+'DES-TRIAL-BAL-2021'!P249+'DMP-TRIAL-BAL-2021'!P249</f>
        <v>0</v>
      </c>
      <c r="X249" s="587">
        <f>+'NF-KSF-TRIAL-BAL-2021'!Q249+'RA-TRIAL-BAL-2021'!Q249+'DES-TRIAL-BAL-2021'!Q249+'DMP-TRIAL-BAL-2021'!Q249</f>
        <v>0</v>
      </c>
      <c r="Y249" s="586">
        <f>+'NF-KSF-TRIAL-BAL-2021'!R249+'RA-TRIAL-BAL-2021'!R249+'DES-TRIAL-BAL-2021'!R249+'DMP-TRIAL-BAL-2021'!R249</f>
        <v>0</v>
      </c>
      <c r="Z249" s="587">
        <f>+'NF-KSF-TRIAL-BAL-2021'!S249+'RA-TRIAL-BAL-2021'!S249+'DES-TRIAL-BAL-2021'!S249+'DMP-TRIAL-BAL-2021'!S249</f>
        <v>0</v>
      </c>
      <c r="AA249" s="588">
        <f>+'NF-KSF-TRIAL-BAL-2021'!T249+'RA-TRIAL-BAL-2021'!T249+'DES-TRIAL-BAL-2021'!T249+'DMP-TRIAL-BAL-2021'!T249</f>
        <v>0</v>
      </c>
      <c r="AB249" s="51"/>
      <c r="AC249" s="581"/>
      <c r="AD249" s="582">
        <v>0</v>
      </c>
      <c r="AE249" s="325"/>
      <c r="AF249" s="324"/>
      <c r="AG249" s="583">
        <f t="shared" si="134"/>
        <v>0</v>
      </c>
      <c r="AH249" s="584">
        <v>0</v>
      </c>
      <c r="AI249" s="51"/>
      <c r="AJ249" s="1497">
        <f t="shared" ref="AJ249:AJ254" si="140">+N249</f>
        <v>4871</v>
      </c>
      <c r="AK249" s="951">
        <f t="shared" si="135"/>
        <v>0</v>
      </c>
      <c r="AL249" s="9">
        <v>0</v>
      </c>
      <c r="AM249" s="326">
        <f t="shared" ref="AM249:AN254" si="141">+ROUND(+Q249+X249+AE249,2)</f>
        <v>0</v>
      </c>
      <c r="AN249" s="970">
        <f t="shared" si="141"/>
        <v>0</v>
      </c>
      <c r="AO249" s="326">
        <f t="shared" si="137"/>
        <v>0</v>
      </c>
      <c r="AP249" s="30">
        <v>0</v>
      </c>
      <c r="AQ249" s="43"/>
      <c r="AR249" s="358">
        <f t="shared" ref="AR249:AR254" si="142">+ROUND(+SUM(AK249-AL249)-SUM(O249-P249)-SUM(V249-W249)-SUM(AC249-AD249),2)</f>
        <v>0</v>
      </c>
      <c r="AS249" s="359">
        <f t="shared" ref="AS249:AS254" si="143">+ROUND(+SUM(AM249-AN249)-SUM(Q249-R249)-SUM(X249-Y249)-SUM(AE249-AF249),2)</f>
        <v>0</v>
      </c>
      <c r="AT249" s="360">
        <f t="shared" ref="AT249:AT254" si="144">+ROUND(+SUM(AO249-AP249)-SUM(S249-T249)-SUM(Z249-AA249)-SUM(AG249-AH249),2)</f>
        <v>0</v>
      </c>
      <c r="AU249" s="43"/>
      <c r="AV249" s="2120">
        <f t="shared" si="138"/>
        <v>0</v>
      </c>
      <c r="AW249" s="119"/>
      <c r="AX249" s="2120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 t="s">
        <v>265</v>
      </c>
      <c r="N250" s="113">
        <f t="shared" si="106"/>
        <v>4872</v>
      </c>
      <c r="O250" s="581"/>
      <c r="P250" s="582">
        <v>0</v>
      </c>
      <c r="Q250" s="325"/>
      <c r="R250" s="324"/>
      <c r="S250" s="583">
        <f t="shared" si="133"/>
        <v>0</v>
      </c>
      <c r="T250" s="584">
        <v>0</v>
      </c>
      <c r="U250" s="51"/>
      <c r="V250" s="541">
        <f>+'NF-KSF-TRIAL-BAL-2021'!O250+'RA-TRIAL-BAL-2021'!O250+'DES-TRIAL-BAL-2021'!O250+'DMP-TRIAL-BAL-2021'!O250</f>
        <v>0</v>
      </c>
      <c r="W250" s="529">
        <f>+'NF-KSF-TRIAL-BAL-2021'!P250+'RA-TRIAL-BAL-2021'!P250+'DES-TRIAL-BAL-2021'!P250+'DMP-TRIAL-BAL-2021'!P250</f>
        <v>0</v>
      </c>
      <c r="X250" s="587">
        <f>+'NF-KSF-TRIAL-BAL-2021'!Q250+'RA-TRIAL-BAL-2021'!Q250+'DES-TRIAL-BAL-2021'!Q250+'DMP-TRIAL-BAL-2021'!Q250</f>
        <v>0</v>
      </c>
      <c r="Y250" s="586">
        <f>+'NF-KSF-TRIAL-BAL-2021'!R250+'RA-TRIAL-BAL-2021'!R250+'DES-TRIAL-BAL-2021'!R250+'DMP-TRIAL-BAL-2021'!R250</f>
        <v>0</v>
      </c>
      <c r="Z250" s="587">
        <f>+'NF-KSF-TRIAL-BAL-2021'!S250+'RA-TRIAL-BAL-2021'!S250+'DES-TRIAL-BAL-2021'!S250+'DMP-TRIAL-BAL-2021'!S250</f>
        <v>0</v>
      </c>
      <c r="AA250" s="588">
        <f>+'NF-KSF-TRIAL-BAL-2021'!T250+'RA-TRIAL-BAL-2021'!T250+'DES-TRIAL-BAL-2021'!T250+'DMP-TRIAL-BAL-2021'!T250</f>
        <v>0</v>
      </c>
      <c r="AB250" s="51"/>
      <c r="AC250" s="581"/>
      <c r="AD250" s="582">
        <v>0</v>
      </c>
      <c r="AE250" s="122"/>
      <c r="AF250" s="324"/>
      <c r="AG250" s="583">
        <f t="shared" si="134"/>
        <v>0</v>
      </c>
      <c r="AH250" s="584">
        <v>0</v>
      </c>
      <c r="AI250" s="51"/>
      <c r="AJ250" s="1497">
        <f t="shared" si="140"/>
        <v>4872</v>
      </c>
      <c r="AK250" s="951">
        <f t="shared" si="135"/>
        <v>0</v>
      </c>
      <c r="AL250" s="9">
        <v>0</v>
      </c>
      <c r="AM250" s="326">
        <f t="shared" si="141"/>
        <v>0</v>
      </c>
      <c r="AN250" s="970">
        <f t="shared" si="141"/>
        <v>0</v>
      </c>
      <c r="AO250" s="326">
        <f t="shared" si="137"/>
        <v>0</v>
      </c>
      <c r="AP250" s="30">
        <v>0</v>
      </c>
      <c r="AQ250" s="43"/>
      <c r="AR250" s="358">
        <f t="shared" si="142"/>
        <v>0</v>
      </c>
      <c r="AS250" s="359">
        <f t="shared" si="143"/>
        <v>0</v>
      </c>
      <c r="AT250" s="360">
        <f t="shared" si="144"/>
        <v>0</v>
      </c>
      <c r="AU250" s="43"/>
      <c r="AV250" s="2120">
        <f t="shared" si="138"/>
        <v>0</v>
      </c>
      <c r="AW250" s="119"/>
      <c r="AX250" s="2120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 t="s">
        <v>265</v>
      </c>
      <c r="N251" s="113">
        <f t="shared" si="106"/>
        <v>4877</v>
      </c>
      <c r="O251" s="575">
        <v>0</v>
      </c>
      <c r="P251" s="576"/>
      <c r="Q251" s="325"/>
      <c r="R251" s="324"/>
      <c r="S251" s="579">
        <v>0</v>
      </c>
      <c r="T251" s="580">
        <f>+IF(ABS(+O251+Q251)&lt;=ABS(P251+R251),-O251+P251-Q251+R251,0)</f>
        <v>0</v>
      </c>
      <c r="U251" s="51"/>
      <c r="V251" s="541">
        <f>+'NF-KSF-TRIAL-BAL-2021'!O251+'RA-TRIAL-BAL-2021'!O251+'DES-TRIAL-BAL-2021'!O251+'DMP-TRIAL-BAL-2021'!O251</f>
        <v>0</v>
      </c>
      <c r="W251" s="529">
        <f>+'NF-KSF-TRIAL-BAL-2021'!P251+'RA-TRIAL-BAL-2021'!P251+'DES-TRIAL-BAL-2021'!P251+'DMP-TRIAL-BAL-2021'!P251</f>
        <v>0</v>
      </c>
      <c r="X251" s="587">
        <f>+'NF-KSF-TRIAL-BAL-2021'!Q251+'RA-TRIAL-BAL-2021'!Q251+'DES-TRIAL-BAL-2021'!Q251+'DMP-TRIAL-BAL-2021'!Q251</f>
        <v>0</v>
      </c>
      <c r="Y251" s="586">
        <f>+'NF-KSF-TRIAL-BAL-2021'!R251+'RA-TRIAL-BAL-2021'!R251+'DES-TRIAL-BAL-2021'!R251+'DMP-TRIAL-BAL-2021'!R251</f>
        <v>0</v>
      </c>
      <c r="Z251" s="587">
        <f>+'NF-KSF-TRIAL-BAL-2021'!S251+'RA-TRIAL-BAL-2021'!S251+'DES-TRIAL-BAL-2021'!S251+'DMP-TRIAL-BAL-2021'!S251</f>
        <v>0</v>
      </c>
      <c r="AA251" s="588">
        <f>+'NF-KSF-TRIAL-BAL-2021'!T251+'RA-TRIAL-BAL-2021'!T251+'DES-TRIAL-BAL-2021'!T251+'DMP-TRIAL-BAL-2021'!T251</f>
        <v>0</v>
      </c>
      <c r="AB251" s="51"/>
      <c r="AC251" s="575">
        <v>0</v>
      </c>
      <c r="AD251" s="576"/>
      <c r="AE251" s="325"/>
      <c r="AF251" s="324"/>
      <c r="AG251" s="579">
        <v>0</v>
      </c>
      <c r="AH251" s="580">
        <f>+IF(ABS(+AC251+AE251)&lt;=ABS(AD251+AF251),-AC251+AD251-AE251+AF251,0)</f>
        <v>0</v>
      </c>
      <c r="AI251" s="51"/>
      <c r="AJ251" s="1497">
        <f t="shared" si="140"/>
        <v>4877</v>
      </c>
      <c r="AK251" s="8">
        <v>0</v>
      </c>
      <c r="AL251" s="970">
        <f>+ROUND(+P251+W251+AD251,2)</f>
        <v>0</v>
      </c>
      <c r="AM251" s="326">
        <f t="shared" si="141"/>
        <v>0</v>
      </c>
      <c r="AN251" s="970">
        <f t="shared" si="141"/>
        <v>0</v>
      </c>
      <c r="AO251" s="29">
        <v>0</v>
      </c>
      <c r="AP251" s="28">
        <f>+T251+AA251+AH251</f>
        <v>0</v>
      </c>
      <c r="AQ251" s="43"/>
      <c r="AR251" s="358">
        <f t="shared" si="142"/>
        <v>0</v>
      </c>
      <c r="AS251" s="359">
        <f t="shared" si="143"/>
        <v>0</v>
      </c>
      <c r="AT251" s="360">
        <f t="shared" si="144"/>
        <v>0</v>
      </c>
      <c r="AU251" s="43"/>
      <c r="AV251" s="2119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119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 t="s">
        <v>265</v>
      </c>
      <c r="N252" s="113">
        <f t="shared" si="106"/>
        <v>4878</v>
      </c>
      <c r="O252" s="575">
        <v>0</v>
      </c>
      <c r="P252" s="576"/>
      <c r="Q252" s="325"/>
      <c r="R252" s="324"/>
      <c r="S252" s="579">
        <v>0</v>
      </c>
      <c r="T252" s="580">
        <f>+IF(ABS(+O252+Q252)&lt;=ABS(P252+R252),-O252+P252-Q252+R252,0)</f>
        <v>0</v>
      </c>
      <c r="U252" s="51"/>
      <c r="V252" s="541">
        <f>+'NF-KSF-TRIAL-BAL-2021'!O252+'RA-TRIAL-BAL-2021'!O252+'DES-TRIAL-BAL-2021'!O252+'DMP-TRIAL-BAL-2021'!O252</f>
        <v>0</v>
      </c>
      <c r="W252" s="529">
        <f>+'NF-KSF-TRIAL-BAL-2021'!P252+'RA-TRIAL-BAL-2021'!P252+'DES-TRIAL-BAL-2021'!P252+'DMP-TRIAL-BAL-2021'!P252</f>
        <v>0</v>
      </c>
      <c r="X252" s="587">
        <f>+'NF-KSF-TRIAL-BAL-2021'!Q252+'RA-TRIAL-BAL-2021'!Q252+'DES-TRIAL-BAL-2021'!Q252+'DMP-TRIAL-BAL-2021'!Q252</f>
        <v>0</v>
      </c>
      <c r="Y252" s="586">
        <f>+'NF-KSF-TRIAL-BAL-2021'!R252+'RA-TRIAL-BAL-2021'!R252+'DES-TRIAL-BAL-2021'!R252+'DMP-TRIAL-BAL-2021'!R252</f>
        <v>0</v>
      </c>
      <c r="Z252" s="587">
        <f>+'NF-KSF-TRIAL-BAL-2021'!S252+'RA-TRIAL-BAL-2021'!S252+'DES-TRIAL-BAL-2021'!S252+'DMP-TRIAL-BAL-2021'!S252</f>
        <v>0</v>
      </c>
      <c r="AA252" s="588">
        <f>+'NF-KSF-TRIAL-BAL-2021'!T252+'RA-TRIAL-BAL-2021'!T252+'DES-TRIAL-BAL-2021'!T252+'DMP-TRIAL-BAL-2021'!T252</f>
        <v>0</v>
      </c>
      <c r="AB252" s="51"/>
      <c r="AC252" s="575">
        <v>0</v>
      </c>
      <c r="AD252" s="576"/>
      <c r="AE252" s="325"/>
      <c r="AF252" s="324"/>
      <c r="AG252" s="579">
        <v>0</v>
      </c>
      <c r="AH252" s="580">
        <f>+IF(ABS(+AC252+AE252)&lt;=ABS(AD252+AF252),-AC252+AD252-AE252+AF252,0)</f>
        <v>0</v>
      </c>
      <c r="AI252" s="51"/>
      <c r="AJ252" s="1497">
        <f t="shared" si="140"/>
        <v>4878</v>
      </c>
      <c r="AK252" s="8">
        <v>0</v>
      </c>
      <c r="AL252" s="970">
        <f>+ROUND(+P252+W252+AD252,2)</f>
        <v>0</v>
      </c>
      <c r="AM252" s="326">
        <f t="shared" si="141"/>
        <v>0</v>
      </c>
      <c r="AN252" s="970">
        <f t="shared" si="141"/>
        <v>0</v>
      </c>
      <c r="AO252" s="29">
        <v>0</v>
      </c>
      <c r="AP252" s="28">
        <f>+T252+AA252+AH252</f>
        <v>0</v>
      </c>
      <c r="AQ252" s="43"/>
      <c r="AR252" s="358">
        <f t="shared" si="142"/>
        <v>0</v>
      </c>
      <c r="AS252" s="359">
        <f t="shared" si="143"/>
        <v>0</v>
      </c>
      <c r="AT252" s="360">
        <f t="shared" si="144"/>
        <v>0</v>
      </c>
      <c r="AU252" s="43"/>
      <c r="AV252" s="2119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119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 t="s">
        <v>265</v>
      </c>
      <c r="N253" s="113">
        <f t="shared" si="106"/>
        <v>4885</v>
      </c>
      <c r="O253" s="581"/>
      <c r="P253" s="582">
        <v>0</v>
      </c>
      <c r="Q253" s="325"/>
      <c r="R253" s="324"/>
      <c r="S253" s="583">
        <f>+IF(ABS(+O253+Q253)&gt;=ABS(P253+R253),+O253-P253+Q253-R253,0)</f>
        <v>0</v>
      </c>
      <c r="T253" s="584">
        <v>0</v>
      </c>
      <c r="U253" s="51"/>
      <c r="V253" s="541">
        <f>+'NF-KSF-TRIAL-BAL-2021'!O253+'RA-TRIAL-BAL-2021'!O253+'DES-TRIAL-BAL-2021'!O253+'DMP-TRIAL-BAL-2021'!O253</f>
        <v>0</v>
      </c>
      <c r="W253" s="529">
        <f>+'NF-KSF-TRIAL-BAL-2021'!P253+'RA-TRIAL-BAL-2021'!P253+'DES-TRIAL-BAL-2021'!P253+'DMP-TRIAL-BAL-2021'!P253</f>
        <v>0</v>
      </c>
      <c r="X253" s="587">
        <f>+'NF-KSF-TRIAL-BAL-2021'!Q253+'RA-TRIAL-BAL-2021'!Q253+'DES-TRIAL-BAL-2021'!Q253+'DMP-TRIAL-BAL-2021'!Q253</f>
        <v>0</v>
      </c>
      <c r="Y253" s="586">
        <f>+'NF-KSF-TRIAL-BAL-2021'!R253+'RA-TRIAL-BAL-2021'!R253+'DES-TRIAL-BAL-2021'!R253+'DMP-TRIAL-BAL-2021'!R253</f>
        <v>0</v>
      </c>
      <c r="Z253" s="587">
        <f>+'NF-KSF-TRIAL-BAL-2021'!S253+'RA-TRIAL-BAL-2021'!S253+'DES-TRIAL-BAL-2021'!S253+'DMP-TRIAL-BAL-2021'!S253</f>
        <v>0</v>
      </c>
      <c r="AA253" s="588">
        <f>+'NF-KSF-TRIAL-BAL-2021'!T253+'RA-TRIAL-BAL-2021'!T253+'DES-TRIAL-BAL-2021'!T253+'DMP-TRIAL-BAL-2021'!T253</f>
        <v>0</v>
      </c>
      <c r="AB253" s="51"/>
      <c r="AC253" s="581"/>
      <c r="AD253" s="582">
        <v>0</v>
      </c>
      <c r="AE253" s="122"/>
      <c r="AF253" s="324"/>
      <c r="AG253" s="583">
        <f>+IF(ABS(+AC253+AE253)&gt;=ABS(AD253+AF253),+AC253-AD253+AE253-AF253,0)</f>
        <v>0</v>
      </c>
      <c r="AH253" s="584">
        <v>0</v>
      </c>
      <c r="AI253" s="51"/>
      <c r="AJ253" s="1497">
        <f t="shared" si="140"/>
        <v>4885</v>
      </c>
      <c r="AK253" s="951">
        <f>+ROUND(+O253+V253+AC253,2)</f>
        <v>0</v>
      </c>
      <c r="AL253" s="9">
        <v>0</v>
      </c>
      <c r="AM253" s="326">
        <f t="shared" si="141"/>
        <v>0</v>
      </c>
      <c r="AN253" s="970">
        <f t="shared" si="141"/>
        <v>0</v>
      </c>
      <c r="AO253" s="326">
        <f>+S253+Z253+AG253</f>
        <v>0</v>
      </c>
      <c r="AP253" s="30">
        <v>0</v>
      </c>
      <c r="AQ253" s="43"/>
      <c r="AR253" s="358">
        <f t="shared" si="142"/>
        <v>0</v>
      </c>
      <c r="AS253" s="359">
        <f t="shared" si="143"/>
        <v>0</v>
      </c>
      <c r="AT253" s="360">
        <f t="shared" si="144"/>
        <v>0</v>
      </c>
      <c r="AU253" s="43"/>
      <c r="AV253" s="2120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120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 t="s">
        <v>265</v>
      </c>
      <c r="N254" s="113">
        <f t="shared" si="106"/>
        <v>4886</v>
      </c>
      <c r="O254" s="581"/>
      <c r="P254" s="582">
        <v>0</v>
      </c>
      <c r="Q254" s="325"/>
      <c r="R254" s="324"/>
      <c r="S254" s="583">
        <f>+IF(ABS(+O254+Q254)&gt;=ABS(P254+R254),+O254-P254+Q254-R254,0)</f>
        <v>0</v>
      </c>
      <c r="T254" s="584">
        <v>0</v>
      </c>
      <c r="U254" s="51"/>
      <c r="V254" s="541">
        <f>+'NF-KSF-TRIAL-BAL-2021'!O254+'RA-TRIAL-BAL-2021'!O254+'DES-TRIAL-BAL-2021'!O254+'DMP-TRIAL-BAL-2021'!O254</f>
        <v>0</v>
      </c>
      <c r="W254" s="529">
        <f>+'NF-KSF-TRIAL-BAL-2021'!P254+'RA-TRIAL-BAL-2021'!P254+'DES-TRIAL-BAL-2021'!P254+'DMP-TRIAL-BAL-2021'!P254</f>
        <v>0</v>
      </c>
      <c r="X254" s="587">
        <f>+'NF-KSF-TRIAL-BAL-2021'!Q254+'RA-TRIAL-BAL-2021'!Q254+'DES-TRIAL-BAL-2021'!Q254+'DMP-TRIAL-BAL-2021'!Q254</f>
        <v>0</v>
      </c>
      <c r="Y254" s="586">
        <f>+'NF-KSF-TRIAL-BAL-2021'!R254+'RA-TRIAL-BAL-2021'!R254+'DES-TRIAL-BAL-2021'!R254+'DMP-TRIAL-BAL-2021'!R254</f>
        <v>0</v>
      </c>
      <c r="Z254" s="587">
        <f>+'NF-KSF-TRIAL-BAL-2021'!S254+'RA-TRIAL-BAL-2021'!S254+'DES-TRIAL-BAL-2021'!S254+'DMP-TRIAL-BAL-2021'!S254</f>
        <v>0</v>
      </c>
      <c r="AA254" s="588">
        <f>+'NF-KSF-TRIAL-BAL-2021'!T254+'RA-TRIAL-BAL-2021'!T254+'DES-TRIAL-BAL-2021'!T254+'DMP-TRIAL-BAL-2021'!T254</f>
        <v>0</v>
      </c>
      <c r="AB254" s="51"/>
      <c r="AC254" s="581"/>
      <c r="AD254" s="582">
        <v>0</v>
      </c>
      <c r="AE254" s="325"/>
      <c r="AF254" s="324"/>
      <c r="AG254" s="583">
        <f>+IF(ABS(+AC254+AE254)&gt;=ABS(AD254+AF254),+AC254-AD254+AE254-AF254,0)</f>
        <v>0</v>
      </c>
      <c r="AH254" s="584">
        <v>0</v>
      </c>
      <c r="AI254" s="51"/>
      <c r="AJ254" s="1497">
        <f t="shared" si="140"/>
        <v>4886</v>
      </c>
      <c r="AK254" s="951">
        <f>+ROUND(+O254+V254+AC254,2)</f>
        <v>0</v>
      </c>
      <c r="AL254" s="9">
        <v>0</v>
      </c>
      <c r="AM254" s="326">
        <f t="shared" si="141"/>
        <v>0</v>
      </c>
      <c r="AN254" s="970">
        <f t="shared" si="141"/>
        <v>0</v>
      </c>
      <c r="AO254" s="326">
        <f>+S254+Z254+AG254</f>
        <v>0</v>
      </c>
      <c r="AP254" s="30">
        <v>0</v>
      </c>
      <c r="AQ254" s="43"/>
      <c r="AR254" s="358">
        <f t="shared" si="142"/>
        <v>0</v>
      </c>
      <c r="AS254" s="359">
        <f t="shared" si="143"/>
        <v>0</v>
      </c>
      <c r="AT254" s="360">
        <f t="shared" si="144"/>
        <v>0</v>
      </c>
      <c r="AU254" s="43"/>
      <c r="AV254" s="2120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120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 t="s">
        <v>265</v>
      </c>
      <c r="N255" s="113">
        <f t="shared" si="106"/>
        <v>4887</v>
      </c>
      <c r="O255" s="593"/>
      <c r="P255" s="582">
        <v>0</v>
      </c>
      <c r="Q255" s="325"/>
      <c r="R255" s="324"/>
      <c r="S255" s="583">
        <f>+IF(ABS(+O255+Q255)&gt;=ABS(P255+R255),+O255-P255+Q255-R255,0)</f>
        <v>0</v>
      </c>
      <c r="T255" s="584">
        <v>0</v>
      </c>
      <c r="U255" s="51"/>
      <c r="V255" s="541">
        <f>+'NF-KSF-TRIAL-BAL-2021'!O255+'RA-TRIAL-BAL-2021'!O255+'DES-TRIAL-BAL-2021'!O255+'DMP-TRIAL-BAL-2021'!O255</f>
        <v>0</v>
      </c>
      <c r="W255" s="529">
        <f>+'NF-KSF-TRIAL-BAL-2021'!P255+'RA-TRIAL-BAL-2021'!P255+'DES-TRIAL-BAL-2021'!P255+'DMP-TRIAL-BAL-2021'!P255</f>
        <v>0</v>
      </c>
      <c r="X255" s="587">
        <f>+'NF-KSF-TRIAL-BAL-2021'!Q255+'RA-TRIAL-BAL-2021'!Q255+'DES-TRIAL-BAL-2021'!Q255+'DMP-TRIAL-BAL-2021'!Q255</f>
        <v>0</v>
      </c>
      <c r="Y255" s="586">
        <f>+'NF-KSF-TRIAL-BAL-2021'!R255+'RA-TRIAL-BAL-2021'!R255+'DES-TRIAL-BAL-2021'!R255+'DMP-TRIAL-BAL-2021'!R255</f>
        <v>0</v>
      </c>
      <c r="Z255" s="587">
        <f>+'NF-KSF-TRIAL-BAL-2021'!S255+'RA-TRIAL-BAL-2021'!S255+'DES-TRIAL-BAL-2021'!S255+'DMP-TRIAL-BAL-2021'!S255</f>
        <v>0</v>
      </c>
      <c r="AA255" s="588">
        <f>+'NF-KSF-TRIAL-BAL-2021'!T255+'RA-TRIAL-BAL-2021'!T255+'DES-TRIAL-BAL-2021'!T255+'DMP-TRIAL-BAL-2021'!T255</f>
        <v>0</v>
      </c>
      <c r="AB255" s="51"/>
      <c r="AC255" s="593"/>
      <c r="AD255" s="582">
        <v>0</v>
      </c>
      <c r="AE255" s="325"/>
      <c r="AF255" s="324"/>
      <c r="AG255" s="583">
        <f>+IF(ABS(+AC255+AE255)&gt;=ABS(AD255+AF255),+AC255-AD255+AE255-AF255,0)</f>
        <v>0</v>
      </c>
      <c r="AH255" s="584">
        <v>0</v>
      </c>
      <c r="AI255" s="51"/>
      <c r="AJ255" s="1497">
        <f t="shared" si="124"/>
        <v>4887</v>
      </c>
      <c r="AK255" s="951">
        <f>+ROUND(+O255+V255+AC255,2)</f>
        <v>0</v>
      </c>
      <c r="AL255" s="9">
        <v>0</v>
      </c>
      <c r="AM255" s="326">
        <f>+ROUND(+Q255+X255+AE255,2)</f>
        <v>0</v>
      </c>
      <c r="AN255" s="970">
        <f>+ROUND(+R255+Y255+AF255,2)</f>
        <v>0</v>
      </c>
      <c r="AO255" s="326">
        <f>+S255+Z255+AG255</f>
        <v>0</v>
      </c>
      <c r="AP255" s="30">
        <v>0</v>
      </c>
      <c r="AQ255" s="43"/>
      <c r="AR255" s="358">
        <f t="shared" si="109"/>
        <v>0</v>
      </c>
      <c r="AS255" s="359">
        <f t="shared" si="110"/>
        <v>0</v>
      </c>
      <c r="AT255" s="360">
        <f t="shared" si="111"/>
        <v>0</v>
      </c>
      <c r="AU255" s="43"/>
      <c r="AV255" s="2120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120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 t="s">
        <v>265</v>
      </c>
      <c r="N256" s="113">
        <f t="shared" si="106"/>
        <v>4888</v>
      </c>
      <c r="O256" s="593"/>
      <c r="P256" s="582">
        <v>0</v>
      </c>
      <c r="Q256" s="325"/>
      <c r="R256" s="324"/>
      <c r="S256" s="583">
        <f>+IF(ABS(+O256+Q256)&gt;=ABS(P256+R256),+O256-P256+Q256-R256,0)</f>
        <v>0</v>
      </c>
      <c r="T256" s="584">
        <v>0</v>
      </c>
      <c r="U256" s="51"/>
      <c r="V256" s="541">
        <f>+'NF-KSF-TRIAL-BAL-2021'!O256+'RA-TRIAL-BAL-2021'!O256+'DES-TRIAL-BAL-2021'!O256+'DMP-TRIAL-BAL-2021'!O256</f>
        <v>0</v>
      </c>
      <c r="W256" s="529">
        <f>+'NF-KSF-TRIAL-BAL-2021'!P256+'RA-TRIAL-BAL-2021'!P256+'DES-TRIAL-BAL-2021'!P256+'DMP-TRIAL-BAL-2021'!P256</f>
        <v>0</v>
      </c>
      <c r="X256" s="587">
        <f>+'NF-KSF-TRIAL-BAL-2021'!Q256+'RA-TRIAL-BAL-2021'!Q256+'DES-TRIAL-BAL-2021'!Q256+'DMP-TRIAL-BAL-2021'!Q256</f>
        <v>0</v>
      </c>
      <c r="Y256" s="586">
        <f>+'NF-KSF-TRIAL-BAL-2021'!R256+'RA-TRIAL-BAL-2021'!R256+'DES-TRIAL-BAL-2021'!R256+'DMP-TRIAL-BAL-2021'!R256</f>
        <v>0</v>
      </c>
      <c r="Z256" s="587">
        <f>+'NF-KSF-TRIAL-BAL-2021'!S256+'RA-TRIAL-BAL-2021'!S256+'DES-TRIAL-BAL-2021'!S256+'DMP-TRIAL-BAL-2021'!S256</f>
        <v>0</v>
      </c>
      <c r="AA256" s="588">
        <f>+'NF-KSF-TRIAL-BAL-2021'!T256+'RA-TRIAL-BAL-2021'!T256+'DES-TRIAL-BAL-2021'!T256+'DMP-TRIAL-BAL-2021'!T256</f>
        <v>0</v>
      </c>
      <c r="AB256" s="51"/>
      <c r="AC256" s="593"/>
      <c r="AD256" s="582">
        <v>0</v>
      </c>
      <c r="AE256" s="122"/>
      <c r="AF256" s="324"/>
      <c r="AG256" s="583">
        <f>+IF(ABS(+AC256+AE256)&gt;=ABS(AD256+AF256),+AC256-AD256+AE256-AF256,0)</f>
        <v>0</v>
      </c>
      <c r="AH256" s="584">
        <v>0</v>
      </c>
      <c r="AI256" s="51"/>
      <c r="AJ256" s="1497">
        <f t="shared" si="124"/>
        <v>4888</v>
      </c>
      <c r="AK256" s="951">
        <f>+ROUND(+O256+V256+AC256,2)</f>
        <v>0</v>
      </c>
      <c r="AL256" s="9">
        <v>0</v>
      </c>
      <c r="AM256" s="326">
        <f>+ROUND(+Q256+X256+AE256,2)</f>
        <v>0</v>
      </c>
      <c r="AN256" s="970">
        <f>+ROUND(+R256+Y256+AF256,2)</f>
        <v>0</v>
      </c>
      <c r="AO256" s="326">
        <f>+S256+Z256+AG256</f>
        <v>0</v>
      </c>
      <c r="AP256" s="30">
        <v>0</v>
      </c>
      <c r="AQ256" s="43"/>
      <c r="AR256" s="358">
        <f t="shared" si="109"/>
        <v>0</v>
      </c>
      <c r="AS256" s="359">
        <f t="shared" si="110"/>
        <v>0</v>
      </c>
      <c r="AT256" s="360">
        <f t="shared" si="111"/>
        <v>0</v>
      </c>
      <c r="AU256" s="43"/>
      <c r="AV256" s="2120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120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 t="s">
        <v>265</v>
      </c>
      <c r="N257" s="113">
        <f t="shared" si="106"/>
        <v>4895</v>
      </c>
      <c r="O257" s="575">
        <v>0</v>
      </c>
      <c r="P257" s="576"/>
      <c r="Q257" s="325"/>
      <c r="R257" s="324"/>
      <c r="S257" s="579">
        <v>0</v>
      </c>
      <c r="T257" s="580">
        <f>+IF(ABS(+O257+Q257)&lt;=ABS(P257+R257),-O257+P257-Q257+R257,0)</f>
        <v>0</v>
      </c>
      <c r="U257" s="51"/>
      <c r="V257" s="541">
        <f>+'NF-KSF-TRIAL-BAL-2021'!O257+'RA-TRIAL-BAL-2021'!O257+'DES-TRIAL-BAL-2021'!O257+'DMP-TRIAL-BAL-2021'!O257</f>
        <v>0</v>
      </c>
      <c r="W257" s="529">
        <f>+'NF-KSF-TRIAL-BAL-2021'!P257+'RA-TRIAL-BAL-2021'!P257+'DES-TRIAL-BAL-2021'!P257+'DMP-TRIAL-BAL-2021'!P257</f>
        <v>0</v>
      </c>
      <c r="X257" s="587">
        <f>+'NF-KSF-TRIAL-BAL-2021'!Q257+'RA-TRIAL-BAL-2021'!Q257+'DES-TRIAL-BAL-2021'!Q257+'DMP-TRIAL-BAL-2021'!Q257</f>
        <v>0</v>
      </c>
      <c r="Y257" s="586">
        <f>+'NF-KSF-TRIAL-BAL-2021'!R257+'RA-TRIAL-BAL-2021'!R257+'DES-TRIAL-BAL-2021'!R257+'DMP-TRIAL-BAL-2021'!R257</f>
        <v>0</v>
      </c>
      <c r="Z257" s="587">
        <f>+'NF-KSF-TRIAL-BAL-2021'!S257+'RA-TRIAL-BAL-2021'!S257+'DES-TRIAL-BAL-2021'!S257+'DMP-TRIAL-BAL-2021'!S257</f>
        <v>0</v>
      </c>
      <c r="AA257" s="588">
        <f>+'NF-KSF-TRIAL-BAL-2021'!T257+'RA-TRIAL-BAL-2021'!T257+'DES-TRIAL-BAL-2021'!T257+'DMP-TRIAL-BAL-2021'!T257</f>
        <v>0</v>
      </c>
      <c r="AB257" s="51"/>
      <c r="AC257" s="575">
        <v>0</v>
      </c>
      <c r="AD257" s="576"/>
      <c r="AE257" s="325"/>
      <c r="AF257" s="324"/>
      <c r="AG257" s="579">
        <v>0</v>
      </c>
      <c r="AH257" s="580">
        <f>+IF(ABS(+AC257+AE257)&lt;=ABS(AD257+AF257),-AC257+AD257-AE257+AF257,0)</f>
        <v>0</v>
      </c>
      <c r="AI257" s="51"/>
      <c r="AJ257" s="1497">
        <f t="shared" si="124"/>
        <v>4895</v>
      </c>
      <c r="AK257" s="8">
        <v>0</v>
      </c>
      <c r="AL257" s="970">
        <f t="shared" ref="AL257:AN258" si="145">+ROUND(+P257+W257+AD257,2)</f>
        <v>0</v>
      </c>
      <c r="AM257" s="326">
        <f t="shared" si="145"/>
        <v>0</v>
      </c>
      <c r="AN257" s="970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58">
        <f t="shared" si="109"/>
        <v>0</v>
      </c>
      <c r="AS257" s="359">
        <f t="shared" si="110"/>
        <v>0</v>
      </c>
      <c r="AT257" s="360">
        <f t="shared" si="111"/>
        <v>0</v>
      </c>
      <c r="AU257" s="43"/>
      <c r="AV257" s="2119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119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 t="s">
        <v>265</v>
      </c>
      <c r="N258" s="113">
        <f t="shared" si="106"/>
        <v>4896</v>
      </c>
      <c r="O258" s="575">
        <v>0</v>
      </c>
      <c r="P258" s="576"/>
      <c r="Q258" s="325"/>
      <c r="R258" s="324"/>
      <c r="S258" s="579">
        <v>0</v>
      </c>
      <c r="T258" s="580">
        <f>+IF(ABS(+O258+Q258)&lt;=ABS(P258+R258),-O258+P258-Q258+R258,0)</f>
        <v>0</v>
      </c>
      <c r="U258" s="51"/>
      <c r="V258" s="541">
        <f>+'NF-KSF-TRIAL-BAL-2021'!O258+'RA-TRIAL-BAL-2021'!O258+'DES-TRIAL-BAL-2021'!O258+'DMP-TRIAL-BAL-2021'!O258</f>
        <v>0</v>
      </c>
      <c r="W258" s="529">
        <f>+'NF-KSF-TRIAL-BAL-2021'!P258+'RA-TRIAL-BAL-2021'!P258+'DES-TRIAL-BAL-2021'!P258+'DMP-TRIAL-BAL-2021'!P258</f>
        <v>0</v>
      </c>
      <c r="X258" s="587">
        <f>+'NF-KSF-TRIAL-BAL-2021'!Q258+'RA-TRIAL-BAL-2021'!Q258+'DES-TRIAL-BAL-2021'!Q258+'DMP-TRIAL-BAL-2021'!Q258</f>
        <v>0</v>
      </c>
      <c r="Y258" s="586">
        <f>+'NF-KSF-TRIAL-BAL-2021'!R258+'RA-TRIAL-BAL-2021'!R258+'DES-TRIAL-BAL-2021'!R258+'DMP-TRIAL-BAL-2021'!R258</f>
        <v>0</v>
      </c>
      <c r="Z258" s="587">
        <f>+'NF-KSF-TRIAL-BAL-2021'!S258+'RA-TRIAL-BAL-2021'!S258+'DES-TRIAL-BAL-2021'!S258+'DMP-TRIAL-BAL-2021'!S258</f>
        <v>0</v>
      </c>
      <c r="AA258" s="588">
        <f>+'NF-KSF-TRIAL-BAL-2021'!T258+'RA-TRIAL-BAL-2021'!T258+'DES-TRIAL-BAL-2021'!T258+'DMP-TRIAL-BAL-2021'!T258</f>
        <v>0</v>
      </c>
      <c r="AB258" s="51"/>
      <c r="AC258" s="575">
        <v>0</v>
      </c>
      <c r="AD258" s="576"/>
      <c r="AE258" s="325"/>
      <c r="AF258" s="324"/>
      <c r="AG258" s="579">
        <v>0</v>
      </c>
      <c r="AH258" s="580">
        <f>+IF(ABS(+AC258+AE258)&lt;=ABS(AD258+AF258),-AC258+AD258-AE258+AF258,0)</f>
        <v>0</v>
      </c>
      <c r="AI258" s="51"/>
      <c r="AJ258" s="1497">
        <f t="shared" si="124"/>
        <v>4896</v>
      </c>
      <c r="AK258" s="8">
        <v>0</v>
      </c>
      <c r="AL258" s="970">
        <f t="shared" si="145"/>
        <v>0</v>
      </c>
      <c r="AM258" s="326">
        <f t="shared" si="145"/>
        <v>0</v>
      </c>
      <c r="AN258" s="970">
        <f t="shared" si="145"/>
        <v>0</v>
      </c>
      <c r="AO258" s="29">
        <v>0</v>
      </c>
      <c r="AP258" s="28">
        <f t="shared" si="146"/>
        <v>0</v>
      </c>
      <c r="AQ258" s="43"/>
      <c r="AR258" s="358">
        <f t="shared" si="109"/>
        <v>0</v>
      </c>
      <c r="AS258" s="359">
        <f t="shared" si="110"/>
        <v>0</v>
      </c>
      <c r="AT258" s="360">
        <f t="shared" si="111"/>
        <v>0</v>
      </c>
      <c r="AU258" s="43"/>
      <c r="AV258" s="2119">
        <f t="shared" si="147"/>
        <v>0</v>
      </c>
      <c r="AW258" s="119"/>
      <c r="AX258" s="2119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 t="s">
        <v>265</v>
      </c>
      <c r="N259" s="113">
        <f t="shared" si="106"/>
        <v>4897</v>
      </c>
      <c r="O259" s="575">
        <v>0</v>
      </c>
      <c r="P259" s="594">
        <v>150.19999999999999</v>
      </c>
      <c r="Q259" s="325">
        <v>38162.480000000003</v>
      </c>
      <c r="R259" s="324">
        <v>39117.86</v>
      </c>
      <c r="S259" s="579">
        <v>0</v>
      </c>
      <c r="T259" s="580">
        <f t="shared" ref="T259:T274" si="149">+IF(ABS(+O259+Q259)&lt;=ABS(P259+R259),-O259+P259-Q259+R259,0)</f>
        <v>1105.5799999999945</v>
      </c>
      <c r="U259" s="51"/>
      <c r="V259" s="541">
        <f>+'NF-KSF-TRIAL-BAL-2021'!O259+'RA-TRIAL-BAL-2021'!O259+'DES-TRIAL-BAL-2021'!O259+'DMP-TRIAL-BAL-2021'!O259</f>
        <v>0</v>
      </c>
      <c r="W259" s="529">
        <f>+'NF-KSF-TRIAL-BAL-2021'!P259+'RA-TRIAL-BAL-2021'!P259+'DES-TRIAL-BAL-2021'!P259+'DMP-TRIAL-BAL-2021'!P259</f>
        <v>0</v>
      </c>
      <c r="X259" s="587">
        <f>+'NF-KSF-TRIAL-BAL-2021'!Q259+'RA-TRIAL-BAL-2021'!Q259+'DES-TRIAL-BAL-2021'!Q259+'DMP-TRIAL-BAL-2021'!Q259</f>
        <v>0</v>
      </c>
      <c r="Y259" s="586">
        <f>+'NF-KSF-TRIAL-BAL-2021'!R259+'RA-TRIAL-BAL-2021'!R259+'DES-TRIAL-BAL-2021'!R259+'DMP-TRIAL-BAL-2021'!R259</f>
        <v>0</v>
      </c>
      <c r="Z259" s="587">
        <f>+'NF-KSF-TRIAL-BAL-2021'!S259+'RA-TRIAL-BAL-2021'!S259+'DES-TRIAL-BAL-2021'!S259+'DMP-TRIAL-BAL-2021'!S259</f>
        <v>0</v>
      </c>
      <c r="AA259" s="588">
        <f>+'NF-KSF-TRIAL-BAL-2021'!T259+'RA-TRIAL-BAL-2021'!T259+'DES-TRIAL-BAL-2021'!T259+'DMP-TRIAL-BAL-2021'!T259</f>
        <v>0</v>
      </c>
      <c r="AB259" s="51"/>
      <c r="AC259" s="575">
        <v>0</v>
      </c>
      <c r="AD259" s="594"/>
      <c r="AE259" s="325"/>
      <c r="AF259" s="324"/>
      <c r="AG259" s="579">
        <v>0</v>
      </c>
      <c r="AH259" s="580">
        <f t="shared" ref="AH259:AH274" si="150">+IF(ABS(+AC259+AE259)&lt;=ABS(AD259+AF259),-AC259+AD259-AE259+AF259,0)</f>
        <v>0</v>
      </c>
      <c r="AI259" s="51"/>
      <c r="AJ259" s="1497">
        <f t="shared" si="124"/>
        <v>4897</v>
      </c>
      <c r="AK259" s="8">
        <v>0</v>
      </c>
      <c r="AL259" s="970">
        <f t="shared" ref="AL259:AL267" si="151">+ROUND(+P259+W259+AD259,2)</f>
        <v>150.19999999999999</v>
      </c>
      <c r="AM259" s="326">
        <f>+ROUND(+Q259+X259+AE259,2)</f>
        <v>38162.480000000003</v>
      </c>
      <c r="AN259" s="970">
        <f>+ROUND(+R259+Y259+AF259,2)</f>
        <v>39117.86</v>
      </c>
      <c r="AO259" s="8">
        <v>0</v>
      </c>
      <c r="AP259" s="28">
        <f t="shared" si="146"/>
        <v>1105.5799999999945</v>
      </c>
      <c r="AQ259" s="43"/>
      <c r="AR259" s="358">
        <f t="shared" si="109"/>
        <v>0</v>
      </c>
      <c r="AS259" s="359">
        <f t="shared" si="110"/>
        <v>0</v>
      </c>
      <c r="AT259" s="360">
        <f t="shared" si="111"/>
        <v>0</v>
      </c>
      <c r="AU259" s="43"/>
      <c r="AV259" s="2119">
        <f t="shared" si="147"/>
        <v>0</v>
      </c>
      <c r="AW259" s="119"/>
      <c r="AX259" s="2119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 t="s">
        <v>265</v>
      </c>
      <c r="N260" s="113">
        <f t="shared" ref="N260:N284" si="152">+A260</f>
        <v>4898</v>
      </c>
      <c r="O260" s="575">
        <v>0</v>
      </c>
      <c r="P260" s="594"/>
      <c r="Q260" s="325"/>
      <c r="R260" s="324"/>
      <c r="S260" s="579">
        <v>0</v>
      </c>
      <c r="T260" s="580">
        <f t="shared" si="149"/>
        <v>0</v>
      </c>
      <c r="U260" s="51"/>
      <c r="V260" s="541">
        <f>+'NF-KSF-TRIAL-BAL-2021'!O260+'RA-TRIAL-BAL-2021'!O260+'DES-TRIAL-BAL-2021'!O260+'DMP-TRIAL-BAL-2021'!O260</f>
        <v>0</v>
      </c>
      <c r="W260" s="529">
        <f>+'NF-KSF-TRIAL-BAL-2021'!P260+'RA-TRIAL-BAL-2021'!P260+'DES-TRIAL-BAL-2021'!P260+'DMP-TRIAL-BAL-2021'!P260</f>
        <v>0</v>
      </c>
      <c r="X260" s="587">
        <f>+'NF-KSF-TRIAL-BAL-2021'!Q260+'RA-TRIAL-BAL-2021'!Q260+'DES-TRIAL-BAL-2021'!Q260+'DMP-TRIAL-BAL-2021'!Q260</f>
        <v>0</v>
      </c>
      <c r="Y260" s="586">
        <f>+'NF-KSF-TRIAL-BAL-2021'!R260+'RA-TRIAL-BAL-2021'!R260+'DES-TRIAL-BAL-2021'!R260+'DMP-TRIAL-BAL-2021'!R260</f>
        <v>0</v>
      </c>
      <c r="Z260" s="587">
        <f>+'NF-KSF-TRIAL-BAL-2021'!S260+'RA-TRIAL-BAL-2021'!S260+'DES-TRIAL-BAL-2021'!S260+'DMP-TRIAL-BAL-2021'!S260</f>
        <v>0</v>
      </c>
      <c r="AA260" s="588">
        <f>+'NF-KSF-TRIAL-BAL-2021'!T260+'RA-TRIAL-BAL-2021'!T260+'DES-TRIAL-BAL-2021'!T260+'DMP-TRIAL-BAL-2021'!T260</f>
        <v>0</v>
      </c>
      <c r="AB260" s="51"/>
      <c r="AC260" s="575">
        <v>0</v>
      </c>
      <c r="AD260" s="594"/>
      <c r="AE260" s="122"/>
      <c r="AF260" s="324"/>
      <c r="AG260" s="579">
        <v>0</v>
      </c>
      <c r="AH260" s="580">
        <f t="shared" si="150"/>
        <v>0</v>
      </c>
      <c r="AI260" s="51"/>
      <c r="AJ260" s="1497">
        <f t="shared" si="124"/>
        <v>4898</v>
      </c>
      <c r="AK260" s="8">
        <v>0</v>
      </c>
      <c r="AL260" s="970">
        <f t="shared" si="151"/>
        <v>0</v>
      </c>
      <c r="AM260" s="326">
        <f>+ROUND(+Q260+X260+AE260,2)</f>
        <v>0</v>
      </c>
      <c r="AN260" s="970">
        <f>+ROUND(+R260+Y260+AF260,2)</f>
        <v>0</v>
      </c>
      <c r="AO260" s="8">
        <v>0</v>
      </c>
      <c r="AP260" s="28">
        <f t="shared" si="146"/>
        <v>0</v>
      </c>
      <c r="AQ260" s="43"/>
      <c r="AR260" s="358">
        <f t="shared" si="109"/>
        <v>0</v>
      </c>
      <c r="AS260" s="359">
        <f t="shared" si="110"/>
        <v>0</v>
      </c>
      <c r="AT260" s="360">
        <f t="shared" si="111"/>
        <v>0</v>
      </c>
      <c r="AU260" s="43"/>
      <c r="AV260" s="2119">
        <f t="shared" si="147"/>
        <v>0</v>
      </c>
      <c r="AW260" s="119"/>
      <c r="AX260" s="2119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 t="s">
        <v>265</v>
      </c>
      <c r="N261" s="113">
        <f t="shared" si="152"/>
        <v>4911</v>
      </c>
      <c r="O261" s="575">
        <v>0</v>
      </c>
      <c r="P261" s="576"/>
      <c r="Q261" s="325"/>
      <c r="R261" s="324"/>
      <c r="S261" s="579">
        <v>0</v>
      </c>
      <c r="T261" s="580">
        <f t="shared" si="149"/>
        <v>0</v>
      </c>
      <c r="U261" s="52"/>
      <c r="V261" s="541">
        <f>+'NF-KSF-TRIAL-BAL-2021'!O261+'RA-TRIAL-BAL-2021'!O261+'DES-TRIAL-BAL-2021'!O261+'DMP-TRIAL-BAL-2021'!O261</f>
        <v>0</v>
      </c>
      <c r="W261" s="529">
        <f>+'NF-KSF-TRIAL-BAL-2021'!P261+'RA-TRIAL-BAL-2021'!P261+'DES-TRIAL-BAL-2021'!P261+'DMP-TRIAL-BAL-2021'!P261</f>
        <v>0</v>
      </c>
      <c r="X261" s="587">
        <f>+'NF-KSF-TRIAL-BAL-2021'!Q261+'RA-TRIAL-BAL-2021'!Q261+'DES-TRIAL-BAL-2021'!Q261+'DMP-TRIAL-BAL-2021'!Q261</f>
        <v>0</v>
      </c>
      <c r="Y261" s="586">
        <f>+'NF-KSF-TRIAL-BAL-2021'!R261+'RA-TRIAL-BAL-2021'!R261+'DES-TRIAL-BAL-2021'!R261+'DMP-TRIAL-BAL-2021'!R261</f>
        <v>0</v>
      </c>
      <c r="Z261" s="587">
        <f>+'NF-KSF-TRIAL-BAL-2021'!S261+'RA-TRIAL-BAL-2021'!S261+'DES-TRIAL-BAL-2021'!S261+'DMP-TRIAL-BAL-2021'!S261</f>
        <v>0</v>
      </c>
      <c r="AA261" s="588">
        <f>+'NF-KSF-TRIAL-BAL-2021'!T261+'RA-TRIAL-BAL-2021'!T261+'DES-TRIAL-BAL-2021'!T261+'DMP-TRIAL-BAL-2021'!T261</f>
        <v>0</v>
      </c>
      <c r="AB261" s="52"/>
      <c r="AC261" s="575">
        <v>0</v>
      </c>
      <c r="AD261" s="576"/>
      <c r="AE261" s="325"/>
      <c r="AF261" s="324"/>
      <c r="AG261" s="579">
        <v>0</v>
      </c>
      <c r="AH261" s="580">
        <f t="shared" si="150"/>
        <v>0</v>
      </c>
      <c r="AI261" s="52"/>
      <c r="AJ261" s="1497">
        <f t="shared" si="124"/>
        <v>4911</v>
      </c>
      <c r="AK261" s="8">
        <v>0</v>
      </c>
      <c r="AL261" s="970">
        <f t="shared" si="151"/>
        <v>0</v>
      </c>
      <c r="AM261" s="326">
        <f t="shared" ref="AM261:AN267" si="153">+ROUND(+Q261+X261+AE261,2)</f>
        <v>0</v>
      </c>
      <c r="AN261" s="970">
        <f t="shared" si="153"/>
        <v>0</v>
      </c>
      <c r="AO261" s="8">
        <v>0</v>
      </c>
      <c r="AP261" s="28">
        <f t="shared" si="146"/>
        <v>0</v>
      </c>
      <c r="AQ261" s="43"/>
      <c r="AR261" s="358">
        <f t="shared" si="109"/>
        <v>0</v>
      </c>
      <c r="AS261" s="359">
        <f t="shared" si="110"/>
        <v>0</v>
      </c>
      <c r="AT261" s="360">
        <f t="shared" si="111"/>
        <v>0</v>
      </c>
      <c r="AU261" s="43"/>
      <c r="AV261" s="2119">
        <f t="shared" si="147"/>
        <v>0</v>
      </c>
      <c r="AW261" s="119"/>
      <c r="AX261" s="2119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 t="s">
        <v>265</v>
      </c>
      <c r="N262" s="113">
        <f t="shared" si="152"/>
        <v>4915</v>
      </c>
      <c r="O262" s="575">
        <v>0</v>
      </c>
      <c r="P262" s="576"/>
      <c r="Q262" s="325"/>
      <c r="R262" s="324"/>
      <c r="S262" s="579">
        <v>0</v>
      </c>
      <c r="T262" s="580">
        <f>+IF(ABS(+O262+Q262)&lt;=ABS(P262+R262),-O262+P262-Q262+R262,0)</f>
        <v>0</v>
      </c>
      <c r="U262" s="51"/>
      <c r="V262" s="541">
        <f>+'NF-KSF-TRIAL-BAL-2021'!O262+'RA-TRIAL-BAL-2021'!O262+'DES-TRIAL-BAL-2021'!O262+'DMP-TRIAL-BAL-2021'!O262</f>
        <v>0</v>
      </c>
      <c r="W262" s="529">
        <f>+'NF-KSF-TRIAL-BAL-2021'!P262+'RA-TRIAL-BAL-2021'!P262+'DES-TRIAL-BAL-2021'!P262+'DMP-TRIAL-BAL-2021'!P262</f>
        <v>0</v>
      </c>
      <c r="X262" s="587">
        <f>+'NF-KSF-TRIAL-BAL-2021'!Q262+'RA-TRIAL-BAL-2021'!Q262+'DES-TRIAL-BAL-2021'!Q262+'DMP-TRIAL-BAL-2021'!Q262</f>
        <v>0</v>
      </c>
      <c r="Y262" s="586">
        <f>+'NF-KSF-TRIAL-BAL-2021'!R262+'RA-TRIAL-BAL-2021'!R262+'DES-TRIAL-BAL-2021'!R262+'DMP-TRIAL-BAL-2021'!R262</f>
        <v>0</v>
      </c>
      <c r="Z262" s="587">
        <f>+'NF-KSF-TRIAL-BAL-2021'!S262+'RA-TRIAL-BAL-2021'!S262+'DES-TRIAL-BAL-2021'!S262+'DMP-TRIAL-BAL-2021'!S262</f>
        <v>0</v>
      </c>
      <c r="AA262" s="588">
        <f>+'NF-KSF-TRIAL-BAL-2021'!T262+'RA-TRIAL-BAL-2021'!T262+'DES-TRIAL-BAL-2021'!T262+'DMP-TRIAL-BAL-2021'!T262</f>
        <v>0</v>
      </c>
      <c r="AB262" s="51"/>
      <c r="AC262" s="575">
        <v>0</v>
      </c>
      <c r="AD262" s="576"/>
      <c r="AE262" s="325"/>
      <c r="AF262" s="324"/>
      <c r="AG262" s="579">
        <v>0</v>
      </c>
      <c r="AH262" s="580">
        <f>+IF(ABS(+AC262+AE262)&lt;=ABS(AD262+AF262),-AC262+AD262-AE262+AF262,0)</f>
        <v>0</v>
      </c>
      <c r="AI262" s="51"/>
      <c r="AJ262" s="1497">
        <f>+N262</f>
        <v>4915</v>
      </c>
      <c r="AK262" s="8">
        <v>0</v>
      </c>
      <c r="AL262" s="970">
        <f t="shared" si="151"/>
        <v>0</v>
      </c>
      <c r="AM262" s="326">
        <f t="shared" si="153"/>
        <v>0</v>
      </c>
      <c r="AN262" s="970">
        <f t="shared" si="153"/>
        <v>0</v>
      </c>
      <c r="AO262" s="29">
        <v>0</v>
      </c>
      <c r="AP262" s="28">
        <f t="shared" si="146"/>
        <v>0</v>
      </c>
      <c r="AQ262" s="43"/>
      <c r="AR262" s="358">
        <f>+ROUND(+SUM(AK262-AL262)-SUM(O262-P262)-SUM(V262-W262)-SUM(AC262-AD262),2)</f>
        <v>0</v>
      </c>
      <c r="AS262" s="359">
        <f>+ROUND(+SUM(AM262-AN262)-SUM(Q262-R262)-SUM(X262-Y262)-SUM(AE262-AF262),2)</f>
        <v>0</v>
      </c>
      <c r="AT262" s="360">
        <f>+ROUND(+SUM(AO262-AP262)-SUM(S262-T262)-SUM(Z262-AA262)-SUM(AG262-AH262),2)</f>
        <v>0</v>
      </c>
      <c r="AU262" s="43"/>
      <c r="AV262" s="2119">
        <f t="shared" si="147"/>
        <v>0</v>
      </c>
      <c r="AW262" s="119"/>
      <c r="AX262" s="2119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 t="s">
        <v>265</v>
      </c>
      <c r="N263" s="113">
        <f t="shared" si="152"/>
        <v>4916</v>
      </c>
      <c r="O263" s="575">
        <v>0</v>
      </c>
      <c r="P263" s="576"/>
      <c r="Q263" s="325"/>
      <c r="R263" s="324"/>
      <c r="S263" s="579">
        <v>0</v>
      </c>
      <c r="T263" s="580">
        <f>+IF(ABS(+O263+Q263)&lt;=ABS(P263+R263),-O263+P263-Q263+R263,0)</f>
        <v>0</v>
      </c>
      <c r="U263" s="51"/>
      <c r="V263" s="541">
        <f>+'NF-KSF-TRIAL-BAL-2021'!O263+'RA-TRIAL-BAL-2021'!O263+'DES-TRIAL-BAL-2021'!O263+'DMP-TRIAL-BAL-2021'!O263</f>
        <v>0</v>
      </c>
      <c r="W263" s="529">
        <f>+'NF-KSF-TRIAL-BAL-2021'!P263+'RA-TRIAL-BAL-2021'!P263+'DES-TRIAL-BAL-2021'!P263+'DMP-TRIAL-BAL-2021'!P263</f>
        <v>0</v>
      </c>
      <c r="X263" s="587">
        <f>+'NF-KSF-TRIAL-BAL-2021'!Q263+'RA-TRIAL-BAL-2021'!Q263+'DES-TRIAL-BAL-2021'!Q263+'DMP-TRIAL-BAL-2021'!Q263</f>
        <v>0</v>
      </c>
      <c r="Y263" s="586">
        <f>+'NF-KSF-TRIAL-BAL-2021'!R263+'RA-TRIAL-BAL-2021'!R263+'DES-TRIAL-BAL-2021'!R263+'DMP-TRIAL-BAL-2021'!R263</f>
        <v>0</v>
      </c>
      <c r="Z263" s="587">
        <f>+'NF-KSF-TRIAL-BAL-2021'!S263+'RA-TRIAL-BAL-2021'!S263+'DES-TRIAL-BAL-2021'!S263+'DMP-TRIAL-BAL-2021'!S263</f>
        <v>0</v>
      </c>
      <c r="AA263" s="588">
        <f>+'NF-KSF-TRIAL-BAL-2021'!T263+'RA-TRIAL-BAL-2021'!T263+'DES-TRIAL-BAL-2021'!T263+'DMP-TRIAL-BAL-2021'!T263</f>
        <v>0</v>
      </c>
      <c r="AB263" s="51"/>
      <c r="AC263" s="575">
        <v>0</v>
      </c>
      <c r="AD263" s="576"/>
      <c r="AE263" s="325"/>
      <c r="AF263" s="324"/>
      <c r="AG263" s="579">
        <v>0</v>
      </c>
      <c r="AH263" s="580">
        <f>+IF(ABS(+AC263+AE263)&lt;=ABS(AD263+AF263),-AC263+AD263-AE263+AF263,0)</f>
        <v>0</v>
      </c>
      <c r="AI263" s="51"/>
      <c r="AJ263" s="1497">
        <f>+N263</f>
        <v>4916</v>
      </c>
      <c r="AK263" s="8">
        <v>0</v>
      </c>
      <c r="AL263" s="970">
        <f t="shared" si="151"/>
        <v>0</v>
      </c>
      <c r="AM263" s="326">
        <f t="shared" si="153"/>
        <v>0</v>
      </c>
      <c r="AN263" s="970">
        <f t="shared" si="153"/>
        <v>0</v>
      </c>
      <c r="AO263" s="29">
        <v>0</v>
      </c>
      <c r="AP263" s="28">
        <f t="shared" si="146"/>
        <v>0</v>
      </c>
      <c r="AQ263" s="43"/>
      <c r="AR263" s="358">
        <f>+ROUND(+SUM(AK263-AL263)-SUM(O263-P263)-SUM(V263-W263)-SUM(AC263-AD263),2)</f>
        <v>0</v>
      </c>
      <c r="AS263" s="359">
        <f>+ROUND(+SUM(AM263-AN263)-SUM(Q263-R263)-SUM(X263-Y263)-SUM(AE263-AF263),2)</f>
        <v>0</v>
      </c>
      <c r="AT263" s="360">
        <f>+ROUND(+SUM(AO263-AP263)-SUM(S263-T263)-SUM(Z263-AA263)-SUM(AG263-AH263),2)</f>
        <v>0</v>
      </c>
      <c r="AU263" s="43"/>
      <c r="AV263" s="2119">
        <f t="shared" si="147"/>
        <v>0</v>
      </c>
      <c r="AW263" s="119"/>
      <c r="AX263" s="2119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 t="s">
        <v>265</v>
      </c>
      <c r="N264" s="113">
        <f t="shared" si="152"/>
        <v>4917</v>
      </c>
      <c r="O264" s="575">
        <v>0</v>
      </c>
      <c r="P264" s="576">
        <v>64375.35</v>
      </c>
      <c r="Q264" s="325"/>
      <c r="R264" s="324"/>
      <c r="S264" s="579">
        <v>0</v>
      </c>
      <c r="T264" s="580">
        <f t="shared" si="149"/>
        <v>64375.35</v>
      </c>
      <c r="U264" s="51"/>
      <c r="V264" s="541">
        <f>+'NF-KSF-TRIAL-BAL-2021'!O264+'RA-TRIAL-BAL-2021'!O264+'DES-TRIAL-BAL-2021'!O264+'DMP-TRIAL-BAL-2021'!O264</f>
        <v>0</v>
      </c>
      <c r="W264" s="529">
        <f>+'NF-KSF-TRIAL-BAL-2021'!P264+'RA-TRIAL-BAL-2021'!P264+'DES-TRIAL-BAL-2021'!P264+'DMP-TRIAL-BAL-2021'!P264</f>
        <v>0</v>
      </c>
      <c r="X264" s="587">
        <f>+'NF-KSF-TRIAL-BAL-2021'!Q264+'RA-TRIAL-BAL-2021'!Q264+'DES-TRIAL-BAL-2021'!Q264+'DMP-TRIAL-BAL-2021'!Q264</f>
        <v>0</v>
      </c>
      <c r="Y264" s="586">
        <f>+'NF-KSF-TRIAL-BAL-2021'!R264+'RA-TRIAL-BAL-2021'!R264+'DES-TRIAL-BAL-2021'!R264+'DMP-TRIAL-BAL-2021'!R264</f>
        <v>0</v>
      </c>
      <c r="Z264" s="587">
        <f>+'NF-KSF-TRIAL-BAL-2021'!S264+'RA-TRIAL-BAL-2021'!S264+'DES-TRIAL-BAL-2021'!S264+'DMP-TRIAL-BAL-2021'!S264</f>
        <v>0</v>
      </c>
      <c r="AA264" s="588">
        <f>+'NF-KSF-TRIAL-BAL-2021'!T264+'RA-TRIAL-BAL-2021'!T264+'DES-TRIAL-BAL-2021'!T264+'DMP-TRIAL-BAL-2021'!T264</f>
        <v>0</v>
      </c>
      <c r="AB264" s="51"/>
      <c r="AC264" s="575">
        <v>0</v>
      </c>
      <c r="AD264" s="576"/>
      <c r="AE264" s="122"/>
      <c r="AF264" s="324"/>
      <c r="AG264" s="579">
        <v>0</v>
      </c>
      <c r="AH264" s="580">
        <f t="shared" si="150"/>
        <v>0</v>
      </c>
      <c r="AI264" s="51"/>
      <c r="AJ264" s="1497">
        <f t="shared" si="124"/>
        <v>4917</v>
      </c>
      <c r="AK264" s="8">
        <v>0</v>
      </c>
      <c r="AL264" s="970">
        <f t="shared" si="151"/>
        <v>64375.35</v>
      </c>
      <c r="AM264" s="326">
        <f t="shared" si="153"/>
        <v>0</v>
      </c>
      <c r="AN264" s="970">
        <f t="shared" si="153"/>
        <v>0</v>
      </c>
      <c r="AO264" s="8">
        <v>0</v>
      </c>
      <c r="AP264" s="28">
        <f t="shared" si="146"/>
        <v>64375.35</v>
      </c>
      <c r="AQ264" s="43"/>
      <c r="AR264" s="358">
        <f t="shared" si="109"/>
        <v>0</v>
      </c>
      <c r="AS264" s="359">
        <f t="shared" si="110"/>
        <v>0</v>
      </c>
      <c r="AT264" s="360">
        <f t="shared" si="111"/>
        <v>0</v>
      </c>
      <c r="AU264" s="43"/>
      <c r="AV264" s="2119">
        <f t="shared" si="147"/>
        <v>0</v>
      </c>
      <c r="AW264" s="119"/>
      <c r="AX264" s="2119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 t="s">
        <v>265</v>
      </c>
      <c r="N265" s="113">
        <f t="shared" si="152"/>
        <v>4918</v>
      </c>
      <c r="O265" s="575">
        <v>0</v>
      </c>
      <c r="P265" s="576"/>
      <c r="Q265" s="325"/>
      <c r="R265" s="324"/>
      <c r="S265" s="579">
        <v>0</v>
      </c>
      <c r="T265" s="580">
        <f t="shared" si="149"/>
        <v>0</v>
      </c>
      <c r="U265" s="51"/>
      <c r="V265" s="541">
        <f>+'NF-KSF-TRIAL-BAL-2021'!O265+'RA-TRIAL-BAL-2021'!O265+'DES-TRIAL-BAL-2021'!O265+'DMP-TRIAL-BAL-2021'!O265</f>
        <v>0</v>
      </c>
      <c r="W265" s="529">
        <f>+'NF-KSF-TRIAL-BAL-2021'!P265+'RA-TRIAL-BAL-2021'!P265+'DES-TRIAL-BAL-2021'!P265+'DMP-TRIAL-BAL-2021'!P265</f>
        <v>0</v>
      </c>
      <c r="X265" s="587">
        <f>+'NF-KSF-TRIAL-BAL-2021'!Q265+'RA-TRIAL-BAL-2021'!Q265+'DES-TRIAL-BAL-2021'!Q265+'DMP-TRIAL-BAL-2021'!Q265</f>
        <v>0</v>
      </c>
      <c r="Y265" s="586">
        <f>+'NF-KSF-TRIAL-BAL-2021'!R265+'RA-TRIAL-BAL-2021'!R265+'DES-TRIAL-BAL-2021'!R265+'DMP-TRIAL-BAL-2021'!R265</f>
        <v>0</v>
      </c>
      <c r="Z265" s="587">
        <f>+'NF-KSF-TRIAL-BAL-2021'!S265+'RA-TRIAL-BAL-2021'!S265+'DES-TRIAL-BAL-2021'!S265+'DMP-TRIAL-BAL-2021'!S265</f>
        <v>0</v>
      </c>
      <c r="AA265" s="588">
        <f>+'NF-KSF-TRIAL-BAL-2021'!T265+'RA-TRIAL-BAL-2021'!T265+'DES-TRIAL-BAL-2021'!T265+'DMP-TRIAL-BAL-2021'!T265</f>
        <v>0</v>
      </c>
      <c r="AB265" s="51"/>
      <c r="AC265" s="575">
        <v>0</v>
      </c>
      <c r="AD265" s="576"/>
      <c r="AE265" s="325"/>
      <c r="AF265" s="324"/>
      <c r="AG265" s="579">
        <v>0</v>
      </c>
      <c r="AH265" s="580">
        <f t="shared" si="150"/>
        <v>0</v>
      </c>
      <c r="AI265" s="51"/>
      <c r="AJ265" s="1497">
        <f t="shared" si="124"/>
        <v>4918</v>
      </c>
      <c r="AK265" s="8">
        <v>0</v>
      </c>
      <c r="AL265" s="970">
        <f t="shared" si="151"/>
        <v>0</v>
      </c>
      <c r="AM265" s="326">
        <f t="shared" si="153"/>
        <v>0</v>
      </c>
      <c r="AN265" s="970">
        <f t="shared" si="153"/>
        <v>0</v>
      </c>
      <c r="AO265" s="8">
        <v>0</v>
      </c>
      <c r="AP265" s="28">
        <f t="shared" si="146"/>
        <v>0</v>
      </c>
      <c r="AQ265" s="43"/>
      <c r="AR265" s="358">
        <f t="shared" si="109"/>
        <v>0</v>
      </c>
      <c r="AS265" s="359">
        <f t="shared" si="110"/>
        <v>0</v>
      </c>
      <c r="AT265" s="360">
        <f t="shared" si="111"/>
        <v>0</v>
      </c>
      <c r="AU265" s="43"/>
      <c r="AV265" s="2119">
        <f t="shared" si="147"/>
        <v>0</v>
      </c>
      <c r="AW265" s="119"/>
      <c r="AX265" s="2119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 t="s">
        <v>265</v>
      </c>
      <c r="N266" s="113">
        <f t="shared" si="152"/>
        <v>4940</v>
      </c>
      <c r="O266" s="575">
        <v>0</v>
      </c>
      <c r="P266" s="576"/>
      <c r="Q266" s="325"/>
      <c r="R266" s="324"/>
      <c r="S266" s="579">
        <v>0</v>
      </c>
      <c r="T266" s="580">
        <f t="shared" si="149"/>
        <v>0</v>
      </c>
      <c r="U266" s="51"/>
      <c r="V266" s="541">
        <f>+'NF-KSF-TRIAL-BAL-2021'!O266+'RA-TRIAL-BAL-2021'!O266+'DES-TRIAL-BAL-2021'!O266+'DMP-TRIAL-BAL-2021'!O266</f>
        <v>0</v>
      </c>
      <c r="W266" s="529">
        <f>+'NF-KSF-TRIAL-BAL-2021'!P266+'RA-TRIAL-BAL-2021'!P266+'DES-TRIAL-BAL-2021'!P266+'DMP-TRIAL-BAL-2021'!P266</f>
        <v>0</v>
      </c>
      <c r="X266" s="587">
        <f>+'NF-KSF-TRIAL-BAL-2021'!Q266+'RA-TRIAL-BAL-2021'!Q266+'DES-TRIAL-BAL-2021'!Q266+'DMP-TRIAL-BAL-2021'!Q266</f>
        <v>0</v>
      </c>
      <c r="Y266" s="586">
        <f>+'NF-KSF-TRIAL-BAL-2021'!R266+'RA-TRIAL-BAL-2021'!R266+'DES-TRIAL-BAL-2021'!R266+'DMP-TRIAL-BAL-2021'!R266</f>
        <v>0</v>
      </c>
      <c r="Z266" s="587">
        <f>+'NF-KSF-TRIAL-BAL-2021'!S266+'RA-TRIAL-BAL-2021'!S266+'DES-TRIAL-BAL-2021'!S266+'DMP-TRIAL-BAL-2021'!S266</f>
        <v>0</v>
      </c>
      <c r="AA266" s="588">
        <f>+'NF-KSF-TRIAL-BAL-2021'!T266+'RA-TRIAL-BAL-2021'!T266+'DES-TRIAL-BAL-2021'!T266+'DMP-TRIAL-BAL-2021'!T266</f>
        <v>0</v>
      </c>
      <c r="AB266" s="51"/>
      <c r="AC266" s="575">
        <v>0</v>
      </c>
      <c r="AD266" s="576"/>
      <c r="AE266" s="325"/>
      <c r="AF266" s="324"/>
      <c r="AG266" s="579">
        <v>0</v>
      </c>
      <c r="AH266" s="580">
        <f t="shared" si="150"/>
        <v>0</v>
      </c>
      <c r="AI266" s="51"/>
      <c r="AJ266" s="1497">
        <f t="shared" si="124"/>
        <v>4940</v>
      </c>
      <c r="AK266" s="8">
        <v>0</v>
      </c>
      <c r="AL266" s="970">
        <f t="shared" si="151"/>
        <v>0</v>
      </c>
      <c r="AM266" s="326">
        <f t="shared" si="153"/>
        <v>0</v>
      </c>
      <c r="AN266" s="970">
        <f t="shared" si="153"/>
        <v>0</v>
      </c>
      <c r="AO266" s="8">
        <v>0</v>
      </c>
      <c r="AP266" s="28">
        <f t="shared" si="146"/>
        <v>0</v>
      </c>
      <c r="AQ266" s="43"/>
      <c r="AR266" s="358">
        <f t="shared" si="109"/>
        <v>0</v>
      </c>
      <c r="AS266" s="359">
        <f t="shared" si="110"/>
        <v>0</v>
      </c>
      <c r="AT266" s="360">
        <f t="shared" si="111"/>
        <v>0</v>
      </c>
      <c r="AU266" s="43"/>
      <c r="AV266" s="2119">
        <f t="shared" si="147"/>
        <v>0</v>
      </c>
      <c r="AW266" s="119"/>
      <c r="AX266" s="2119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 t="s">
        <v>265</v>
      </c>
      <c r="N267" s="113">
        <f t="shared" si="152"/>
        <v>4951</v>
      </c>
      <c r="O267" s="575">
        <v>0</v>
      </c>
      <c r="P267" s="576"/>
      <c r="Q267" s="325"/>
      <c r="R267" s="324"/>
      <c r="S267" s="579">
        <v>0</v>
      </c>
      <c r="T267" s="580">
        <f>+IF(ABS(+O267+Q267)&lt;=ABS(P267+R267),-O267+P267-Q267+R267,0)</f>
        <v>0</v>
      </c>
      <c r="U267" s="51"/>
      <c r="V267" s="541">
        <f>+'NF-KSF-TRIAL-BAL-2021'!O267+'RA-TRIAL-BAL-2021'!O267+'DES-TRIAL-BAL-2021'!O267+'DMP-TRIAL-BAL-2021'!O267</f>
        <v>0</v>
      </c>
      <c r="W267" s="529">
        <f>+'NF-KSF-TRIAL-BAL-2021'!P267+'RA-TRIAL-BAL-2021'!P267+'DES-TRIAL-BAL-2021'!P267+'DMP-TRIAL-BAL-2021'!P267</f>
        <v>0</v>
      </c>
      <c r="X267" s="587">
        <f>+'NF-KSF-TRIAL-BAL-2021'!Q267+'RA-TRIAL-BAL-2021'!Q267+'DES-TRIAL-BAL-2021'!Q267+'DMP-TRIAL-BAL-2021'!Q267</f>
        <v>0</v>
      </c>
      <c r="Y267" s="586">
        <f>+'NF-KSF-TRIAL-BAL-2021'!R267+'RA-TRIAL-BAL-2021'!R267+'DES-TRIAL-BAL-2021'!R267+'DMP-TRIAL-BAL-2021'!R267</f>
        <v>0</v>
      </c>
      <c r="Z267" s="587">
        <f>+'NF-KSF-TRIAL-BAL-2021'!S267+'RA-TRIAL-BAL-2021'!S267+'DES-TRIAL-BAL-2021'!S267+'DMP-TRIAL-BAL-2021'!S267</f>
        <v>0</v>
      </c>
      <c r="AA267" s="588">
        <f>+'NF-KSF-TRIAL-BAL-2021'!T267+'RA-TRIAL-BAL-2021'!T267+'DES-TRIAL-BAL-2021'!T267+'DMP-TRIAL-BAL-2021'!T267</f>
        <v>0</v>
      </c>
      <c r="AB267" s="51"/>
      <c r="AC267" s="575">
        <v>0</v>
      </c>
      <c r="AD267" s="582">
        <v>0</v>
      </c>
      <c r="AE267" s="579">
        <v>0</v>
      </c>
      <c r="AF267" s="582">
        <v>0</v>
      </c>
      <c r="AG267" s="579">
        <v>0</v>
      </c>
      <c r="AH267" s="580">
        <f>+IF(ABS(+AC267+AE267)&lt;=ABS(AD267+AF267),-AC267+AD267-AE267+AF267,0)</f>
        <v>0</v>
      </c>
      <c r="AI267" s="51"/>
      <c r="AJ267" s="1497">
        <f>+N267</f>
        <v>4951</v>
      </c>
      <c r="AK267" s="951">
        <f>+ROUND(+O267+V267+AC267,2)</f>
        <v>0</v>
      </c>
      <c r="AL267" s="970">
        <f t="shared" si="151"/>
        <v>0</v>
      </c>
      <c r="AM267" s="326">
        <f t="shared" si="153"/>
        <v>0</v>
      </c>
      <c r="AN267" s="970">
        <f t="shared" si="153"/>
        <v>0</v>
      </c>
      <c r="AO267" s="326">
        <f t="shared" ref="AO267:AO283" si="154">+S267+Z267+AG267</f>
        <v>0</v>
      </c>
      <c r="AP267" s="28">
        <f t="shared" si="146"/>
        <v>0</v>
      </c>
      <c r="AQ267" s="43"/>
      <c r="AR267" s="358">
        <f>+ROUND(+SUM(AK267-AL267)-SUM(O267-P267)-SUM(V267-W267)-SUM(AC267-AD267),2)</f>
        <v>0</v>
      </c>
      <c r="AS267" s="359">
        <f>+ROUND(+SUM(AM267-AN267)-SUM(Q267-R267)-SUM(X267-Y267)-SUM(AE267-AF267),2)</f>
        <v>0</v>
      </c>
      <c r="AT267" s="360">
        <f>+ROUND(+SUM(AO267-AP267)-SUM(S267-T267)-SUM(Z267-AA267)-SUM(AG267-AH267),2)</f>
        <v>0</v>
      </c>
      <c r="AU267" s="43"/>
      <c r="AV267" s="2119">
        <f t="shared" si="147"/>
        <v>0</v>
      </c>
      <c r="AW267" s="119"/>
      <c r="AX267" s="2125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 t="s">
        <v>265</v>
      </c>
      <c r="N268" s="113">
        <f t="shared" si="152"/>
        <v>4955</v>
      </c>
      <c r="O268" s="575">
        <v>0</v>
      </c>
      <c r="P268" s="576"/>
      <c r="Q268" s="325"/>
      <c r="R268" s="324"/>
      <c r="S268" s="579">
        <v>0</v>
      </c>
      <c r="T268" s="580">
        <f>+IF(ABS(+O268+Q268)&lt;=ABS(P268+R268),-O268+P268-Q268+R268,0)</f>
        <v>0</v>
      </c>
      <c r="U268" s="51"/>
      <c r="V268" s="541">
        <f>+'NF-KSF-TRIAL-BAL-2021'!O268+'RA-TRIAL-BAL-2021'!O268+'DES-TRIAL-BAL-2021'!O268+'DMP-TRIAL-BAL-2021'!O268</f>
        <v>0</v>
      </c>
      <c r="W268" s="529">
        <f>+'NF-KSF-TRIAL-BAL-2021'!P268+'RA-TRIAL-BAL-2021'!P268+'DES-TRIAL-BAL-2021'!P268+'DMP-TRIAL-BAL-2021'!P268</f>
        <v>0</v>
      </c>
      <c r="X268" s="587">
        <f>+'NF-KSF-TRIAL-BAL-2021'!Q268+'RA-TRIAL-BAL-2021'!Q268+'DES-TRIAL-BAL-2021'!Q268+'DMP-TRIAL-BAL-2021'!Q268</f>
        <v>0</v>
      </c>
      <c r="Y268" s="586">
        <f>+'NF-KSF-TRIAL-BAL-2021'!R268+'RA-TRIAL-BAL-2021'!R268+'DES-TRIAL-BAL-2021'!R268+'DMP-TRIAL-BAL-2021'!R268</f>
        <v>0</v>
      </c>
      <c r="Z268" s="587">
        <f>+'NF-KSF-TRIAL-BAL-2021'!S268+'RA-TRIAL-BAL-2021'!S268+'DES-TRIAL-BAL-2021'!S268+'DMP-TRIAL-BAL-2021'!S268</f>
        <v>0</v>
      </c>
      <c r="AA268" s="588">
        <f>+'NF-KSF-TRIAL-BAL-2021'!T268+'RA-TRIAL-BAL-2021'!T268+'DES-TRIAL-BAL-2021'!T268+'DMP-TRIAL-BAL-2021'!T268</f>
        <v>0</v>
      </c>
      <c r="AB268" s="51"/>
      <c r="AC268" s="575">
        <v>0</v>
      </c>
      <c r="AD268" s="582">
        <v>0</v>
      </c>
      <c r="AE268" s="579">
        <v>0</v>
      </c>
      <c r="AF268" s="582">
        <v>0</v>
      </c>
      <c r="AG268" s="579">
        <v>0</v>
      </c>
      <c r="AH268" s="580">
        <f>+IF(ABS(+AC268+AE268)&lt;=ABS(AD268+AF268),-AC268+AD268-AE268+AF268,0)</f>
        <v>0</v>
      </c>
      <c r="AI268" s="51"/>
      <c r="AJ268" s="1497">
        <f>+N268</f>
        <v>4955</v>
      </c>
      <c r="AK268" s="951">
        <f t="shared" ref="AK268:AN271" si="155">+ROUND(+O268+V268+AC268,2)</f>
        <v>0</v>
      </c>
      <c r="AL268" s="970">
        <f t="shared" si="155"/>
        <v>0</v>
      </c>
      <c r="AM268" s="326">
        <f t="shared" si="155"/>
        <v>0</v>
      </c>
      <c r="AN268" s="970">
        <f t="shared" si="155"/>
        <v>0</v>
      </c>
      <c r="AO268" s="326">
        <f t="shared" si="154"/>
        <v>0</v>
      </c>
      <c r="AP268" s="28">
        <f t="shared" si="146"/>
        <v>0</v>
      </c>
      <c r="AQ268" s="43"/>
      <c r="AR268" s="358">
        <f>+ROUND(+SUM(AK268-AL268)-SUM(O268-P268)-SUM(V268-W268)-SUM(AC268-AD268),2)</f>
        <v>0</v>
      </c>
      <c r="AS268" s="359">
        <f>+ROUND(+SUM(AM268-AN268)-SUM(Q268-R268)-SUM(X268-Y268)-SUM(AE268-AF268),2)</f>
        <v>0</v>
      </c>
      <c r="AT268" s="360">
        <f>+ROUND(+SUM(AO268-AP268)-SUM(S268-T268)-SUM(Z268-AA268)-SUM(AG268-AH268),2)</f>
        <v>0</v>
      </c>
      <c r="AU268" s="43"/>
      <c r="AV268" s="2119">
        <f t="shared" si="147"/>
        <v>0</v>
      </c>
      <c r="AW268" s="119"/>
      <c r="AX268" s="2125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 t="s">
        <v>265</v>
      </c>
      <c r="N269" s="113">
        <f t="shared" si="152"/>
        <v>4956</v>
      </c>
      <c r="O269" s="575">
        <v>0</v>
      </c>
      <c r="P269" s="576"/>
      <c r="Q269" s="325"/>
      <c r="R269" s="324"/>
      <c r="S269" s="579">
        <v>0</v>
      </c>
      <c r="T269" s="580">
        <f>+IF(ABS(+O269+Q269)&lt;=ABS(P269+R269),-O269+P269-Q269+R269,0)</f>
        <v>0</v>
      </c>
      <c r="U269" s="51"/>
      <c r="V269" s="541">
        <f>+'NF-KSF-TRIAL-BAL-2021'!O269+'RA-TRIAL-BAL-2021'!O269+'DES-TRIAL-BAL-2021'!O269+'DMP-TRIAL-BAL-2021'!O269</f>
        <v>0</v>
      </c>
      <c r="W269" s="529">
        <f>+'NF-KSF-TRIAL-BAL-2021'!P269+'RA-TRIAL-BAL-2021'!P269+'DES-TRIAL-BAL-2021'!P269+'DMP-TRIAL-BAL-2021'!P269</f>
        <v>0</v>
      </c>
      <c r="X269" s="587">
        <f>+'NF-KSF-TRIAL-BAL-2021'!Q269+'RA-TRIAL-BAL-2021'!Q269+'DES-TRIAL-BAL-2021'!Q269+'DMP-TRIAL-BAL-2021'!Q269</f>
        <v>0</v>
      </c>
      <c r="Y269" s="586">
        <f>+'NF-KSF-TRIAL-BAL-2021'!R269+'RA-TRIAL-BAL-2021'!R269+'DES-TRIAL-BAL-2021'!R269+'DMP-TRIAL-BAL-2021'!R269</f>
        <v>0</v>
      </c>
      <c r="Z269" s="587">
        <f>+'NF-KSF-TRIAL-BAL-2021'!S269+'RA-TRIAL-BAL-2021'!S269+'DES-TRIAL-BAL-2021'!S269+'DMP-TRIAL-BAL-2021'!S269</f>
        <v>0</v>
      </c>
      <c r="AA269" s="588">
        <f>+'NF-KSF-TRIAL-BAL-2021'!T269+'RA-TRIAL-BAL-2021'!T269+'DES-TRIAL-BAL-2021'!T269+'DMP-TRIAL-BAL-2021'!T269</f>
        <v>0</v>
      </c>
      <c r="AB269" s="51"/>
      <c r="AC269" s="575">
        <v>0</v>
      </c>
      <c r="AD269" s="582">
        <v>0</v>
      </c>
      <c r="AE269" s="579">
        <v>0</v>
      </c>
      <c r="AF269" s="582">
        <v>0</v>
      </c>
      <c r="AG269" s="579">
        <v>0</v>
      </c>
      <c r="AH269" s="580">
        <f>+IF(ABS(+AC269+AE269)&lt;=ABS(AD269+AF269),-AC269+AD269-AE269+AF269,0)</f>
        <v>0</v>
      </c>
      <c r="AI269" s="51"/>
      <c r="AJ269" s="1497">
        <f>+N269</f>
        <v>4956</v>
      </c>
      <c r="AK269" s="951">
        <f t="shared" si="155"/>
        <v>0</v>
      </c>
      <c r="AL269" s="970">
        <f t="shared" si="155"/>
        <v>0</v>
      </c>
      <c r="AM269" s="326">
        <f t="shared" si="155"/>
        <v>0</v>
      </c>
      <c r="AN269" s="970">
        <f t="shared" si="155"/>
        <v>0</v>
      </c>
      <c r="AO269" s="326">
        <f t="shared" si="154"/>
        <v>0</v>
      </c>
      <c r="AP269" s="28">
        <f t="shared" si="146"/>
        <v>0</v>
      </c>
      <c r="AQ269" s="43"/>
      <c r="AR269" s="358">
        <f>+ROUND(+SUM(AK269-AL269)-SUM(O269-P269)-SUM(V269-W269)-SUM(AC269-AD269),2)</f>
        <v>0</v>
      </c>
      <c r="AS269" s="359">
        <f>+ROUND(+SUM(AM269-AN269)-SUM(Q269-R269)-SUM(X269-Y269)-SUM(AE269-AF269),2)</f>
        <v>0</v>
      </c>
      <c r="AT269" s="360">
        <f>+ROUND(+SUM(AO269-AP269)-SUM(S269-T269)-SUM(Z269-AA269)-SUM(AG269-AH269),2)</f>
        <v>0</v>
      </c>
      <c r="AU269" s="43"/>
      <c r="AV269" s="2119">
        <f t="shared" si="147"/>
        <v>0</v>
      </c>
      <c r="AW269" s="119"/>
      <c r="AX269" s="2125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 t="s">
        <v>265</v>
      </c>
      <c r="N270" s="113">
        <f t="shared" si="152"/>
        <v>4957</v>
      </c>
      <c r="O270" s="575">
        <v>0</v>
      </c>
      <c r="P270" s="576"/>
      <c r="Q270" s="325"/>
      <c r="R270" s="324"/>
      <c r="S270" s="579">
        <v>0</v>
      </c>
      <c r="T270" s="580">
        <f>+IF(ABS(+O270+Q270)&lt;=ABS(P270+R270),-O270+P270-Q270+R270,0)</f>
        <v>0</v>
      </c>
      <c r="U270" s="51"/>
      <c r="V270" s="541">
        <f>+'NF-KSF-TRIAL-BAL-2021'!O270+'RA-TRIAL-BAL-2021'!O270+'DES-TRIAL-BAL-2021'!O270+'DMP-TRIAL-BAL-2021'!O270</f>
        <v>0</v>
      </c>
      <c r="W270" s="529">
        <f>+'NF-KSF-TRIAL-BAL-2021'!P270+'RA-TRIAL-BAL-2021'!P270+'DES-TRIAL-BAL-2021'!P270+'DMP-TRIAL-BAL-2021'!P270</f>
        <v>0</v>
      </c>
      <c r="X270" s="587">
        <f>+'NF-KSF-TRIAL-BAL-2021'!Q270+'RA-TRIAL-BAL-2021'!Q270+'DES-TRIAL-BAL-2021'!Q270+'DMP-TRIAL-BAL-2021'!Q270</f>
        <v>0</v>
      </c>
      <c r="Y270" s="586">
        <f>+'NF-KSF-TRIAL-BAL-2021'!R270+'RA-TRIAL-BAL-2021'!R270+'DES-TRIAL-BAL-2021'!R270+'DMP-TRIAL-BAL-2021'!R270</f>
        <v>0</v>
      </c>
      <c r="Z270" s="587">
        <f>+'NF-KSF-TRIAL-BAL-2021'!S270+'RA-TRIAL-BAL-2021'!S270+'DES-TRIAL-BAL-2021'!S270+'DMP-TRIAL-BAL-2021'!S270</f>
        <v>0</v>
      </c>
      <c r="AA270" s="588">
        <f>+'NF-KSF-TRIAL-BAL-2021'!T270+'RA-TRIAL-BAL-2021'!T270+'DES-TRIAL-BAL-2021'!T270+'DMP-TRIAL-BAL-2021'!T270</f>
        <v>0</v>
      </c>
      <c r="AB270" s="51"/>
      <c r="AC270" s="575">
        <v>0</v>
      </c>
      <c r="AD270" s="582">
        <v>0</v>
      </c>
      <c r="AE270" s="579">
        <v>0</v>
      </c>
      <c r="AF270" s="582">
        <v>0</v>
      </c>
      <c r="AG270" s="579">
        <v>0</v>
      </c>
      <c r="AH270" s="580">
        <f>+IF(ABS(+AC270+AE270)&lt;=ABS(AD270+AF270),-AC270+AD270-AE270+AF270,0)</f>
        <v>0</v>
      </c>
      <c r="AI270" s="51"/>
      <c r="AJ270" s="1497">
        <f>+N270</f>
        <v>4957</v>
      </c>
      <c r="AK270" s="951">
        <f t="shared" si="155"/>
        <v>0</v>
      </c>
      <c r="AL270" s="970">
        <f t="shared" si="155"/>
        <v>0</v>
      </c>
      <c r="AM270" s="326">
        <f t="shared" si="155"/>
        <v>0</v>
      </c>
      <c r="AN270" s="970">
        <f t="shared" si="155"/>
        <v>0</v>
      </c>
      <c r="AO270" s="326">
        <f t="shared" si="154"/>
        <v>0</v>
      </c>
      <c r="AP270" s="28">
        <f t="shared" si="146"/>
        <v>0</v>
      </c>
      <c r="AQ270" s="43"/>
      <c r="AR270" s="358">
        <f>+ROUND(+SUM(AK270-AL270)-SUM(O270-P270)-SUM(V270-W270)-SUM(AC270-AD270),2)</f>
        <v>0</v>
      </c>
      <c r="AS270" s="359">
        <f>+ROUND(+SUM(AM270-AN270)-SUM(Q270-R270)-SUM(X270-Y270)-SUM(AE270-AF270),2)</f>
        <v>0</v>
      </c>
      <c r="AT270" s="360">
        <f>+ROUND(+SUM(AO270-AP270)-SUM(S270-T270)-SUM(Z270-AA270)-SUM(AG270-AH270),2)</f>
        <v>0</v>
      </c>
      <c r="AU270" s="43"/>
      <c r="AV270" s="2119">
        <f t="shared" si="147"/>
        <v>0</v>
      </c>
      <c r="AW270" s="119"/>
      <c r="AX270" s="2125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 t="s">
        <v>265</v>
      </c>
      <c r="N271" s="113">
        <f t="shared" si="152"/>
        <v>4960</v>
      </c>
      <c r="O271" s="581"/>
      <c r="P271" s="576"/>
      <c r="Q271" s="325"/>
      <c r="R271" s="324"/>
      <c r="S271" s="583">
        <f t="shared" ref="S271:S283" si="156">+IF(ABS(+O271+Q271)&gt;=ABS(P271+R271),+O271-P271+Q271-R271,0)</f>
        <v>0</v>
      </c>
      <c r="T271" s="580">
        <f>+IF(ABS(+O271+Q271)&lt;=ABS(P271+R271),-O271+P271-Q271+R271,0)</f>
        <v>0</v>
      </c>
      <c r="U271" s="51"/>
      <c r="V271" s="541">
        <f>+'NF-KSF-TRIAL-BAL-2021'!O271+'RA-TRIAL-BAL-2021'!O271+'DES-TRIAL-BAL-2021'!O271+'DMP-TRIAL-BAL-2021'!O271</f>
        <v>0</v>
      </c>
      <c r="W271" s="529">
        <f>+'NF-KSF-TRIAL-BAL-2021'!P271+'RA-TRIAL-BAL-2021'!P271+'DES-TRIAL-BAL-2021'!P271+'DMP-TRIAL-BAL-2021'!P271</f>
        <v>0</v>
      </c>
      <c r="X271" s="587">
        <f>+'NF-KSF-TRIAL-BAL-2021'!Q271+'RA-TRIAL-BAL-2021'!Q271+'DES-TRIAL-BAL-2021'!Q271+'DMP-TRIAL-BAL-2021'!Q271</f>
        <v>0</v>
      </c>
      <c r="Y271" s="586">
        <f>+'NF-KSF-TRIAL-BAL-2021'!R271+'RA-TRIAL-BAL-2021'!R271+'DES-TRIAL-BAL-2021'!R271+'DMP-TRIAL-BAL-2021'!R271</f>
        <v>0</v>
      </c>
      <c r="Z271" s="587">
        <f>+'NF-KSF-TRIAL-BAL-2021'!S271+'RA-TRIAL-BAL-2021'!S271+'DES-TRIAL-BAL-2021'!S271+'DMP-TRIAL-BAL-2021'!S271</f>
        <v>0</v>
      </c>
      <c r="AA271" s="588">
        <f>+'NF-KSF-TRIAL-BAL-2021'!T271+'RA-TRIAL-BAL-2021'!T271+'DES-TRIAL-BAL-2021'!T271+'DMP-TRIAL-BAL-2021'!T271</f>
        <v>0</v>
      </c>
      <c r="AB271" s="51"/>
      <c r="AC271" s="581"/>
      <c r="AD271" s="576"/>
      <c r="AE271" s="122"/>
      <c r="AF271" s="121"/>
      <c r="AG271" s="583">
        <f t="shared" ref="AG271:AG283" si="157">+IF(ABS(+AC271+AE271)&gt;=ABS(AD271+AF271),+AC271-AD271+AE271-AF271,0)</f>
        <v>0</v>
      </c>
      <c r="AH271" s="580">
        <f>+IF(ABS(+AC271+AE271)&lt;=ABS(AD271+AF271),-AC271+AD271-AE271+AF271,0)</f>
        <v>0</v>
      </c>
      <c r="AI271" s="51"/>
      <c r="AJ271" s="1497">
        <f>+N271</f>
        <v>4960</v>
      </c>
      <c r="AK271" s="951">
        <f t="shared" ref="AK271:AK283" si="158">+ROUND(+O271+V271+AC271,2)</f>
        <v>0</v>
      </c>
      <c r="AL271" s="970">
        <f t="shared" si="155"/>
        <v>0</v>
      </c>
      <c r="AM271" s="326">
        <f t="shared" si="155"/>
        <v>0</v>
      </c>
      <c r="AN271" s="970">
        <f t="shared" si="155"/>
        <v>0</v>
      </c>
      <c r="AO271" s="326">
        <f t="shared" si="154"/>
        <v>0</v>
      </c>
      <c r="AP271" s="28">
        <f t="shared" si="146"/>
        <v>0</v>
      </c>
      <c r="AQ271" s="43"/>
      <c r="AR271" s="358">
        <f>+ROUND(+SUM(AK271-AL271)-SUM(O271-P271)-SUM(V271-W271)-SUM(AC271-AD271),2)</f>
        <v>0</v>
      </c>
      <c r="AS271" s="359">
        <f>+ROUND(+SUM(AM271-AN271)-SUM(Q271-R271)-SUM(X271-Y271)-SUM(AE271-AF271),2)</f>
        <v>0</v>
      </c>
      <c r="AT271" s="360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 t="s">
        <v>265</v>
      </c>
      <c r="N272" s="113">
        <f t="shared" si="152"/>
        <v>4961</v>
      </c>
      <c r="O272" s="581">
        <v>23243.47</v>
      </c>
      <c r="P272" s="576">
        <v>0</v>
      </c>
      <c r="Q272" s="325">
        <v>5179.8900000000003</v>
      </c>
      <c r="R272" s="324">
        <v>28176.36</v>
      </c>
      <c r="S272" s="583">
        <f t="shared" si="156"/>
        <v>247</v>
      </c>
      <c r="T272" s="580">
        <f t="shared" si="149"/>
        <v>0</v>
      </c>
      <c r="U272" s="51"/>
      <c r="V272" s="541">
        <f>+'NF-KSF-TRIAL-BAL-2021'!O272+'RA-TRIAL-BAL-2021'!O272+'DES-TRIAL-BAL-2021'!O272+'DMP-TRIAL-BAL-2021'!O272</f>
        <v>0</v>
      </c>
      <c r="W272" s="529">
        <f>+'NF-KSF-TRIAL-BAL-2021'!P272+'RA-TRIAL-BAL-2021'!P272+'DES-TRIAL-BAL-2021'!P272+'DMP-TRIAL-BAL-2021'!P272</f>
        <v>0</v>
      </c>
      <c r="X272" s="587">
        <f>+'NF-KSF-TRIAL-BAL-2021'!Q272+'RA-TRIAL-BAL-2021'!Q272+'DES-TRIAL-BAL-2021'!Q272+'DMP-TRIAL-BAL-2021'!Q272</f>
        <v>0</v>
      </c>
      <c r="Y272" s="586">
        <f>+'NF-KSF-TRIAL-BAL-2021'!R272+'RA-TRIAL-BAL-2021'!R272+'DES-TRIAL-BAL-2021'!R272+'DMP-TRIAL-BAL-2021'!R272</f>
        <v>0</v>
      </c>
      <c r="Z272" s="587">
        <f>+'NF-KSF-TRIAL-BAL-2021'!S272+'RA-TRIAL-BAL-2021'!S272+'DES-TRIAL-BAL-2021'!S272+'DMP-TRIAL-BAL-2021'!S272</f>
        <v>0</v>
      </c>
      <c r="AA272" s="588">
        <f>+'NF-KSF-TRIAL-BAL-2021'!T272+'RA-TRIAL-BAL-2021'!T272+'DES-TRIAL-BAL-2021'!T272+'DMP-TRIAL-BAL-2021'!T272</f>
        <v>0</v>
      </c>
      <c r="AB272" s="51"/>
      <c r="AC272" s="581"/>
      <c r="AD272" s="576"/>
      <c r="AE272" s="325"/>
      <c r="AF272" s="324"/>
      <c r="AG272" s="583">
        <f t="shared" si="157"/>
        <v>0</v>
      </c>
      <c r="AH272" s="580">
        <f t="shared" si="150"/>
        <v>0</v>
      </c>
      <c r="AI272" s="51"/>
      <c r="AJ272" s="1497">
        <f t="shared" si="124"/>
        <v>4961</v>
      </c>
      <c r="AK272" s="951">
        <f t="shared" si="158"/>
        <v>23243.47</v>
      </c>
      <c r="AL272" s="970">
        <f t="shared" ref="AL272:AL282" si="159">+ROUND(+P272+W272+AD272,2)</f>
        <v>0</v>
      </c>
      <c r="AM272" s="326">
        <f t="shared" ref="AM272:AM282" si="160">+ROUND(+Q272+X272+AE272,2)</f>
        <v>5179.8900000000003</v>
      </c>
      <c r="AN272" s="970">
        <f t="shared" ref="AN272:AN282" si="161">+ROUND(+R272+Y272+AF272,2)</f>
        <v>28176.36</v>
      </c>
      <c r="AO272" s="326">
        <f t="shared" si="154"/>
        <v>247</v>
      </c>
      <c r="AP272" s="28">
        <f t="shared" si="146"/>
        <v>0</v>
      </c>
      <c r="AQ272" s="43"/>
      <c r="AR272" s="358">
        <f t="shared" si="109"/>
        <v>0</v>
      </c>
      <c r="AS272" s="359">
        <f t="shared" si="110"/>
        <v>0</v>
      </c>
      <c r="AT272" s="360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 t="s">
        <v>265</v>
      </c>
      <c r="N273" s="113">
        <f t="shared" si="152"/>
        <v>4962</v>
      </c>
      <c r="O273" s="581"/>
      <c r="P273" s="576"/>
      <c r="Q273" s="325"/>
      <c r="R273" s="324"/>
      <c r="S273" s="583">
        <f t="shared" si="156"/>
        <v>0</v>
      </c>
      <c r="T273" s="580">
        <f t="shared" si="149"/>
        <v>0</v>
      </c>
      <c r="U273" s="51"/>
      <c r="V273" s="541">
        <f>+'NF-KSF-TRIAL-BAL-2021'!O273+'RA-TRIAL-BAL-2021'!O273+'DES-TRIAL-BAL-2021'!O273+'DMP-TRIAL-BAL-2021'!O273</f>
        <v>0</v>
      </c>
      <c r="W273" s="529">
        <f>+'NF-KSF-TRIAL-BAL-2021'!P273+'RA-TRIAL-BAL-2021'!P273+'DES-TRIAL-BAL-2021'!P273+'DMP-TRIAL-BAL-2021'!P273</f>
        <v>0</v>
      </c>
      <c r="X273" s="587">
        <f>+'NF-KSF-TRIAL-BAL-2021'!Q273+'RA-TRIAL-BAL-2021'!Q273+'DES-TRIAL-BAL-2021'!Q273+'DMP-TRIAL-BAL-2021'!Q273</f>
        <v>0</v>
      </c>
      <c r="Y273" s="586">
        <f>+'NF-KSF-TRIAL-BAL-2021'!R273+'RA-TRIAL-BAL-2021'!R273+'DES-TRIAL-BAL-2021'!R273+'DMP-TRIAL-BAL-2021'!R273</f>
        <v>0</v>
      </c>
      <c r="Z273" s="587">
        <f>+'NF-KSF-TRIAL-BAL-2021'!S273+'RA-TRIAL-BAL-2021'!S273+'DES-TRIAL-BAL-2021'!S273+'DMP-TRIAL-BAL-2021'!S273</f>
        <v>0</v>
      </c>
      <c r="AA273" s="588">
        <f>+'NF-KSF-TRIAL-BAL-2021'!T273+'RA-TRIAL-BAL-2021'!T273+'DES-TRIAL-BAL-2021'!T273+'DMP-TRIAL-BAL-2021'!T273</f>
        <v>0</v>
      </c>
      <c r="AB273" s="51"/>
      <c r="AC273" s="581"/>
      <c r="AD273" s="576"/>
      <c r="AE273" s="325"/>
      <c r="AF273" s="324"/>
      <c r="AG273" s="583">
        <f t="shared" si="157"/>
        <v>0</v>
      </c>
      <c r="AH273" s="580">
        <f t="shared" si="150"/>
        <v>0</v>
      </c>
      <c r="AI273" s="51"/>
      <c r="AJ273" s="1497">
        <f t="shared" si="124"/>
        <v>4962</v>
      </c>
      <c r="AK273" s="951">
        <f t="shared" si="158"/>
        <v>0</v>
      </c>
      <c r="AL273" s="970">
        <f t="shared" si="159"/>
        <v>0</v>
      </c>
      <c r="AM273" s="326">
        <f t="shared" si="160"/>
        <v>0</v>
      </c>
      <c r="AN273" s="970">
        <f t="shared" si="161"/>
        <v>0</v>
      </c>
      <c r="AO273" s="326">
        <f t="shared" si="154"/>
        <v>0</v>
      </c>
      <c r="AP273" s="28">
        <f t="shared" si="146"/>
        <v>0</v>
      </c>
      <c r="AQ273" s="43"/>
      <c r="AR273" s="358">
        <f t="shared" si="109"/>
        <v>0</v>
      </c>
      <c r="AS273" s="359">
        <f t="shared" si="110"/>
        <v>0</v>
      </c>
      <c r="AT273" s="360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 t="s">
        <v>265</v>
      </c>
      <c r="N274" s="113">
        <f t="shared" si="152"/>
        <v>4970</v>
      </c>
      <c r="O274" s="581"/>
      <c r="P274" s="576"/>
      <c r="Q274" s="325"/>
      <c r="R274" s="324"/>
      <c r="S274" s="583">
        <f t="shared" si="156"/>
        <v>0</v>
      </c>
      <c r="T274" s="580">
        <f t="shared" si="149"/>
        <v>0</v>
      </c>
      <c r="U274" s="51"/>
      <c r="V274" s="541">
        <f>+'NF-KSF-TRIAL-BAL-2021'!O274+'RA-TRIAL-BAL-2021'!O274+'DES-TRIAL-BAL-2021'!O274+'DMP-TRIAL-BAL-2021'!O274</f>
        <v>1073833.4300000002</v>
      </c>
      <c r="W274" s="529">
        <f>+'NF-KSF-TRIAL-BAL-2021'!P274+'RA-TRIAL-BAL-2021'!P274+'DES-TRIAL-BAL-2021'!P274+'DMP-TRIAL-BAL-2021'!P274</f>
        <v>0</v>
      </c>
      <c r="X274" s="587">
        <f>+'NF-KSF-TRIAL-BAL-2021'!Q274+'RA-TRIAL-BAL-2021'!Q274+'DES-TRIAL-BAL-2021'!Q274+'DMP-TRIAL-BAL-2021'!Q274</f>
        <v>4350960.88</v>
      </c>
      <c r="Y274" s="586">
        <f>+'NF-KSF-TRIAL-BAL-2021'!R274+'RA-TRIAL-BAL-2021'!R274+'DES-TRIAL-BAL-2021'!R274+'DMP-TRIAL-BAL-2021'!R274</f>
        <v>4336181.38</v>
      </c>
      <c r="Z274" s="587">
        <f>+'NF-KSF-TRIAL-BAL-2021'!S274+'RA-TRIAL-BAL-2021'!S274+'DES-TRIAL-BAL-2021'!S274+'DMP-TRIAL-BAL-2021'!S274</f>
        <v>1088612.9300000004</v>
      </c>
      <c r="AA274" s="588">
        <f>+'NF-KSF-TRIAL-BAL-2021'!T274+'RA-TRIAL-BAL-2021'!T274+'DES-TRIAL-BAL-2021'!T274+'DMP-TRIAL-BAL-2021'!T274</f>
        <v>0</v>
      </c>
      <c r="AB274" s="51"/>
      <c r="AC274" s="581"/>
      <c r="AD274" s="576"/>
      <c r="AE274" s="122"/>
      <c r="AF274" s="121"/>
      <c r="AG274" s="583">
        <f t="shared" si="157"/>
        <v>0</v>
      </c>
      <c r="AH274" s="580">
        <f t="shared" si="150"/>
        <v>0</v>
      </c>
      <c r="AI274" s="51"/>
      <c r="AJ274" s="1497">
        <f t="shared" si="124"/>
        <v>4970</v>
      </c>
      <c r="AK274" s="951">
        <f t="shared" si="158"/>
        <v>1073833.43</v>
      </c>
      <c r="AL274" s="970">
        <f t="shared" si="159"/>
        <v>0</v>
      </c>
      <c r="AM274" s="326">
        <f t="shared" si="160"/>
        <v>4350960.88</v>
      </c>
      <c r="AN274" s="970">
        <f t="shared" si="161"/>
        <v>4336181.38</v>
      </c>
      <c r="AO274" s="326">
        <f t="shared" si="154"/>
        <v>1088612.9300000004</v>
      </c>
      <c r="AP274" s="28">
        <f t="shared" si="146"/>
        <v>0</v>
      </c>
      <c r="AQ274" s="43"/>
      <c r="AR274" s="358">
        <f t="shared" si="109"/>
        <v>0</v>
      </c>
      <c r="AS274" s="359">
        <f t="shared" si="110"/>
        <v>0</v>
      </c>
      <c r="AT274" s="360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 t="s">
        <v>265</v>
      </c>
      <c r="N275" s="113">
        <f t="shared" si="152"/>
        <v>4971</v>
      </c>
      <c r="O275" s="581">
        <v>0</v>
      </c>
      <c r="P275" s="576">
        <v>8046.26</v>
      </c>
      <c r="Q275" s="325"/>
      <c r="R275" s="324">
        <v>-8046.26</v>
      </c>
      <c r="S275" s="583">
        <f t="shared" si="156"/>
        <v>0</v>
      </c>
      <c r="T275" s="580">
        <f t="shared" ref="T275:T282" si="162">+IF(ABS(+O275+Q275)&lt;=ABS(P275+R275),-O275+P275-Q275+R275,0)</f>
        <v>0</v>
      </c>
      <c r="U275" s="51"/>
      <c r="V275" s="541">
        <f>+'NF-KSF-TRIAL-BAL-2021'!O275+'RA-TRIAL-BAL-2021'!O275+'DES-TRIAL-BAL-2021'!O275+'DMP-TRIAL-BAL-2021'!O275</f>
        <v>0</v>
      </c>
      <c r="W275" s="529">
        <f>+'NF-KSF-TRIAL-BAL-2021'!P275+'RA-TRIAL-BAL-2021'!P275+'DES-TRIAL-BAL-2021'!P275+'DMP-TRIAL-BAL-2021'!P275</f>
        <v>0</v>
      </c>
      <c r="X275" s="587">
        <f>+'NF-KSF-TRIAL-BAL-2021'!Q275+'RA-TRIAL-BAL-2021'!Q275+'DES-TRIAL-BAL-2021'!Q275+'DMP-TRIAL-BAL-2021'!Q275</f>
        <v>0</v>
      </c>
      <c r="Y275" s="586">
        <f>+'NF-KSF-TRIAL-BAL-2021'!R275+'RA-TRIAL-BAL-2021'!R275+'DES-TRIAL-BAL-2021'!R275+'DMP-TRIAL-BAL-2021'!R275</f>
        <v>0</v>
      </c>
      <c r="Z275" s="587">
        <f>+'NF-KSF-TRIAL-BAL-2021'!S275+'RA-TRIAL-BAL-2021'!S275+'DES-TRIAL-BAL-2021'!S275+'DMP-TRIAL-BAL-2021'!S275</f>
        <v>0</v>
      </c>
      <c r="AA275" s="588">
        <f>+'NF-KSF-TRIAL-BAL-2021'!T275+'RA-TRIAL-BAL-2021'!T275+'DES-TRIAL-BAL-2021'!T275+'DMP-TRIAL-BAL-2021'!T275</f>
        <v>0</v>
      </c>
      <c r="AB275" s="51"/>
      <c r="AC275" s="581"/>
      <c r="AD275" s="576"/>
      <c r="AE275" s="122"/>
      <c r="AF275" s="121"/>
      <c r="AG275" s="583">
        <f t="shared" si="157"/>
        <v>0</v>
      </c>
      <c r="AH275" s="580">
        <f t="shared" ref="AH275:AH282" si="163">+IF(ABS(+AC275+AE275)&lt;=ABS(AD275+AF275),-AC275+AD275-AE275+AF275,0)</f>
        <v>0</v>
      </c>
      <c r="AI275" s="51"/>
      <c r="AJ275" s="1497">
        <f t="shared" ref="AJ275:AJ284" si="164">+N275</f>
        <v>4971</v>
      </c>
      <c r="AK275" s="951">
        <f t="shared" si="158"/>
        <v>0</v>
      </c>
      <c r="AL275" s="970">
        <f t="shared" si="159"/>
        <v>8046.26</v>
      </c>
      <c r="AM275" s="326">
        <f t="shared" si="160"/>
        <v>0</v>
      </c>
      <c r="AN275" s="970">
        <f t="shared" si="161"/>
        <v>-8046.26</v>
      </c>
      <c r="AO275" s="326">
        <f t="shared" si="154"/>
        <v>0</v>
      </c>
      <c r="AP275" s="28">
        <f t="shared" si="146"/>
        <v>0</v>
      </c>
      <c r="AQ275" s="43"/>
      <c r="AR275" s="358">
        <f t="shared" ref="AR275:AR284" si="165">+ROUND(+SUM(AK275-AL275)-SUM(O275-P275)-SUM(V275-W275)-SUM(AC275-AD275),2)</f>
        <v>0</v>
      </c>
      <c r="AS275" s="359">
        <f t="shared" ref="AS275:AS284" si="166">+ROUND(+SUM(AM275-AN275)-SUM(Q275-R275)-SUM(X275-Y275)-SUM(AE275-AF275),2)</f>
        <v>0</v>
      </c>
      <c r="AT275" s="360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 t="s">
        <v>265</v>
      </c>
      <c r="N276" s="113">
        <f t="shared" si="152"/>
        <v>4972</v>
      </c>
      <c r="O276" s="581"/>
      <c r="P276" s="576"/>
      <c r="Q276" s="325"/>
      <c r="R276" s="324"/>
      <c r="S276" s="583">
        <f t="shared" si="156"/>
        <v>0</v>
      </c>
      <c r="T276" s="580">
        <f t="shared" si="162"/>
        <v>0</v>
      </c>
      <c r="U276" s="51"/>
      <c r="V276" s="541">
        <f>+'NF-KSF-TRIAL-BAL-2021'!O276+'RA-TRIAL-BAL-2021'!O276+'DES-TRIAL-BAL-2021'!O276+'DMP-TRIAL-BAL-2021'!O276</f>
        <v>0</v>
      </c>
      <c r="W276" s="529">
        <f>+'NF-KSF-TRIAL-BAL-2021'!P276+'RA-TRIAL-BAL-2021'!P276+'DES-TRIAL-BAL-2021'!P276+'DMP-TRIAL-BAL-2021'!P276</f>
        <v>0</v>
      </c>
      <c r="X276" s="587">
        <f>+'NF-KSF-TRIAL-BAL-2021'!Q276+'RA-TRIAL-BAL-2021'!Q276+'DES-TRIAL-BAL-2021'!Q276+'DMP-TRIAL-BAL-2021'!Q276</f>
        <v>0</v>
      </c>
      <c r="Y276" s="586">
        <f>+'NF-KSF-TRIAL-BAL-2021'!R276+'RA-TRIAL-BAL-2021'!R276+'DES-TRIAL-BAL-2021'!R276+'DMP-TRIAL-BAL-2021'!R276</f>
        <v>0</v>
      </c>
      <c r="Z276" s="587">
        <f>+'NF-KSF-TRIAL-BAL-2021'!S276+'RA-TRIAL-BAL-2021'!S276+'DES-TRIAL-BAL-2021'!S276+'DMP-TRIAL-BAL-2021'!S276</f>
        <v>0</v>
      </c>
      <c r="AA276" s="588">
        <f>+'NF-KSF-TRIAL-BAL-2021'!T276+'RA-TRIAL-BAL-2021'!T276+'DES-TRIAL-BAL-2021'!T276+'DMP-TRIAL-BAL-2021'!T276</f>
        <v>0</v>
      </c>
      <c r="AB276" s="51"/>
      <c r="AC276" s="581"/>
      <c r="AD276" s="576"/>
      <c r="AE276" s="325"/>
      <c r="AF276" s="324"/>
      <c r="AG276" s="583">
        <f t="shared" si="157"/>
        <v>0</v>
      </c>
      <c r="AH276" s="580">
        <f t="shared" si="163"/>
        <v>0</v>
      </c>
      <c r="AI276" s="51"/>
      <c r="AJ276" s="1497">
        <f t="shared" si="164"/>
        <v>4972</v>
      </c>
      <c r="AK276" s="951">
        <f t="shared" si="158"/>
        <v>0</v>
      </c>
      <c r="AL276" s="970">
        <f t="shared" si="159"/>
        <v>0</v>
      </c>
      <c r="AM276" s="326">
        <f t="shared" si="160"/>
        <v>0</v>
      </c>
      <c r="AN276" s="970">
        <f t="shared" si="161"/>
        <v>0</v>
      </c>
      <c r="AO276" s="326">
        <f t="shared" si="154"/>
        <v>0</v>
      </c>
      <c r="AP276" s="28">
        <f t="shared" si="146"/>
        <v>0</v>
      </c>
      <c r="AQ276" s="43"/>
      <c r="AR276" s="358">
        <f t="shared" si="165"/>
        <v>0</v>
      </c>
      <c r="AS276" s="359">
        <f t="shared" si="166"/>
        <v>0</v>
      </c>
      <c r="AT276" s="360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 t="s">
        <v>265</v>
      </c>
      <c r="N277" s="113">
        <f t="shared" si="152"/>
        <v>4973</v>
      </c>
      <c r="O277" s="581"/>
      <c r="P277" s="576"/>
      <c r="Q277" s="325"/>
      <c r="R277" s="324"/>
      <c r="S277" s="583">
        <f t="shared" si="156"/>
        <v>0</v>
      </c>
      <c r="T277" s="580">
        <f t="shared" si="162"/>
        <v>0</v>
      </c>
      <c r="U277" s="51"/>
      <c r="V277" s="541">
        <f>+'NF-KSF-TRIAL-BAL-2021'!O277+'RA-TRIAL-BAL-2021'!O277+'DES-TRIAL-BAL-2021'!O277+'DMP-TRIAL-BAL-2021'!O277</f>
        <v>0</v>
      </c>
      <c r="W277" s="529">
        <f>+'NF-KSF-TRIAL-BAL-2021'!P277+'RA-TRIAL-BAL-2021'!P277+'DES-TRIAL-BAL-2021'!P277+'DMP-TRIAL-BAL-2021'!P277</f>
        <v>0</v>
      </c>
      <c r="X277" s="587">
        <f>+'NF-KSF-TRIAL-BAL-2021'!Q277+'RA-TRIAL-BAL-2021'!Q277+'DES-TRIAL-BAL-2021'!Q277+'DMP-TRIAL-BAL-2021'!Q277</f>
        <v>0</v>
      </c>
      <c r="Y277" s="586">
        <f>+'NF-KSF-TRIAL-BAL-2021'!R277+'RA-TRIAL-BAL-2021'!R277+'DES-TRIAL-BAL-2021'!R277+'DMP-TRIAL-BAL-2021'!R277</f>
        <v>0</v>
      </c>
      <c r="Z277" s="587">
        <f>+'NF-KSF-TRIAL-BAL-2021'!S277+'RA-TRIAL-BAL-2021'!S277+'DES-TRIAL-BAL-2021'!S277+'DMP-TRIAL-BAL-2021'!S277</f>
        <v>0</v>
      </c>
      <c r="AA277" s="588">
        <f>+'NF-KSF-TRIAL-BAL-2021'!T277+'RA-TRIAL-BAL-2021'!T277+'DES-TRIAL-BAL-2021'!T277+'DMP-TRIAL-BAL-2021'!T277</f>
        <v>0</v>
      </c>
      <c r="AB277" s="51"/>
      <c r="AC277" s="581"/>
      <c r="AD277" s="576"/>
      <c r="AE277" s="325"/>
      <c r="AF277" s="324"/>
      <c r="AG277" s="583">
        <f t="shared" si="157"/>
        <v>0</v>
      </c>
      <c r="AH277" s="580">
        <f t="shared" si="163"/>
        <v>0</v>
      </c>
      <c r="AI277" s="51"/>
      <c r="AJ277" s="1497">
        <f t="shared" si="164"/>
        <v>4973</v>
      </c>
      <c r="AK277" s="951">
        <f t="shared" si="158"/>
        <v>0</v>
      </c>
      <c r="AL277" s="970">
        <f t="shared" si="159"/>
        <v>0</v>
      </c>
      <c r="AM277" s="326">
        <f t="shared" si="160"/>
        <v>0</v>
      </c>
      <c r="AN277" s="970">
        <f t="shared" si="161"/>
        <v>0</v>
      </c>
      <c r="AO277" s="326">
        <f t="shared" si="154"/>
        <v>0</v>
      </c>
      <c r="AP277" s="28">
        <f t="shared" si="146"/>
        <v>0</v>
      </c>
      <c r="AQ277" s="43"/>
      <c r="AR277" s="358">
        <f t="shared" si="165"/>
        <v>0</v>
      </c>
      <c r="AS277" s="359">
        <f t="shared" si="166"/>
        <v>0</v>
      </c>
      <c r="AT277" s="360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 t="s">
        <v>265</v>
      </c>
      <c r="N278" s="113">
        <f t="shared" si="152"/>
        <v>4974</v>
      </c>
      <c r="O278" s="581"/>
      <c r="P278" s="576"/>
      <c r="Q278" s="325"/>
      <c r="R278" s="324"/>
      <c r="S278" s="583">
        <f t="shared" si="156"/>
        <v>0</v>
      </c>
      <c r="T278" s="580">
        <f t="shared" si="162"/>
        <v>0</v>
      </c>
      <c r="U278" s="51"/>
      <c r="V278" s="541">
        <f>+'NF-KSF-TRIAL-BAL-2021'!O278+'RA-TRIAL-BAL-2021'!O278+'DES-TRIAL-BAL-2021'!O278+'DMP-TRIAL-BAL-2021'!O278</f>
        <v>0</v>
      </c>
      <c r="W278" s="529">
        <f>+'NF-KSF-TRIAL-BAL-2021'!P278+'RA-TRIAL-BAL-2021'!P278+'DES-TRIAL-BAL-2021'!P278+'DMP-TRIAL-BAL-2021'!P278</f>
        <v>0</v>
      </c>
      <c r="X278" s="587">
        <f>+'NF-KSF-TRIAL-BAL-2021'!Q278+'RA-TRIAL-BAL-2021'!Q278+'DES-TRIAL-BAL-2021'!Q278+'DMP-TRIAL-BAL-2021'!Q278</f>
        <v>0</v>
      </c>
      <c r="Y278" s="586">
        <f>+'NF-KSF-TRIAL-BAL-2021'!R278+'RA-TRIAL-BAL-2021'!R278+'DES-TRIAL-BAL-2021'!R278+'DMP-TRIAL-BAL-2021'!R278</f>
        <v>0</v>
      </c>
      <c r="Z278" s="587">
        <f>+'NF-KSF-TRIAL-BAL-2021'!S278+'RA-TRIAL-BAL-2021'!S278+'DES-TRIAL-BAL-2021'!S278+'DMP-TRIAL-BAL-2021'!S278</f>
        <v>0</v>
      </c>
      <c r="AA278" s="588">
        <f>+'NF-KSF-TRIAL-BAL-2021'!T278+'RA-TRIAL-BAL-2021'!T278+'DES-TRIAL-BAL-2021'!T278+'DMP-TRIAL-BAL-2021'!T278</f>
        <v>0</v>
      </c>
      <c r="AB278" s="51"/>
      <c r="AC278" s="581"/>
      <c r="AD278" s="576"/>
      <c r="AE278" s="122"/>
      <c r="AF278" s="121"/>
      <c r="AG278" s="583">
        <f t="shared" si="157"/>
        <v>0</v>
      </c>
      <c r="AH278" s="580">
        <f t="shared" si="163"/>
        <v>0</v>
      </c>
      <c r="AI278" s="51"/>
      <c r="AJ278" s="1497">
        <f t="shared" si="164"/>
        <v>4974</v>
      </c>
      <c r="AK278" s="951">
        <f t="shared" si="158"/>
        <v>0</v>
      </c>
      <c r="AL278" s="970">
        <f t="shared" si="159"/>
        <v>0</v>
      </c>
      <c r="AM278" s="326">
        <f t="shared" si="160"/>
        <v>0</v>
      </c>
      <c r="AN278" s="970">
        <f t="shared" si="161"/>
        <v>0</v>
      </c>
      <c r="AO278" s="326">
        <f t="shared" si="154"/>
        <v>0</v>
      </c>
      <c r="AP278" s="28">
        <f t="shared" si="146"/>
        <v>0</v>
      </c>
      <c r="AQ278" s="43"/>
      <c r="AR278" s="358">
        <f t="shared" si="165"/>
        <v>0</v>
      </c>
      <c r="AS278" s="359">
        <f t="shared" si="166"/>
        <v>0</v>
      </c>
      <c r="AT278" s="360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 t="s">
        <v>265</v>
      </c>
      <c r="N279" s="113">
        <f t="shared" si="152"/>
        <v>4975</v>
      </c>
      <c r="O279" s="581"/>
      <c r="P279" s="576"/>
      <c r="Q279" s="325"/>
      <c r="R279" s="324"/>
      <c r="S279" s="583">
        <f t="shared" si="156"/>
        <v>0</v>
      </c>
      <c r="T279" s="580">
        <f t="shared" si="162"/>
        <v>0</v>
      </c>
      <c r="U279" s="51"/>
      <c r="V279" s="541">
        <f>+'NF-KSF-TRIAL-BAL-2021'!O279+'RA-TRIAL-BAL-2021'!O279+'DES-TRIAL-BAL-2021'!O279+'DMP-TRIAL-BAL-2021'!O279</f>
        <v>0</v>
      </c>
      <c r="W279" s="529">
        <f>+'NF-KSF-TRIAL-BAL-2021'!P279+'RA-TRIAL-BAL-2021'!P279+'DES-TRIAL-BAL-2021'!P279+'DMP-TRIAL-BAL-2021'!P279</f>
        <v>0</v>
      </c>
      <c r="X279" s="587">
        <f>+'NF-KSF-TRIAL-BAL-2021'!Q279+'RA-TRIAL-BAL-2021'!Q279+'DES-TRIAL-BAL-2021'!Q279+'DMP-TRIAL-BAL-2021'!Q279</f>
        <v>4932.8900000000003</v>
      </c>
      <c r="Y279" s="586">
        <f>+'NF-KSF-TRIAL-BAL-2021'!R279+'RA-TRIAL-BAL-2021'!R279+'DES-TRIAL-BAL-2021'!R279+'DMP-TRIAL-BAL-2021'!R279</f>
        <v>4932.8900000000003</v>
      </c>
      <c r="Z279" s="587">
        <f>+'NF-KSF-TRIAL-BAL-2021'!S279+'RA-TRIAL-BAL-2021'!S279+'DES-TRIAL-BAL-2021'!S279+'DMP-TRIAL-BAL-2021'!S279</f>
        <v>0</v>
      </c>
      <c r="AA279" s="588">
        <f>+'NF-KSF-TRIAL-BAL-2021'!T279+'RA-TRIAL-BAL-2021'!T279+'DES-TRIAL-BAL-2021'!T279+'DMP-TRIAL-BAL-2021'!T279</f>
        <v>0</v>
      </c>
      <c r="AB279" s="51"/>
      <c r="AC279" s="581"/>
      <c r="AD279" s="576"/>
      <c r="AE279" s="122"/>
      <c r="AF279" s="121"/>
      <c r="AG279" s="583">
        <f t="shared" si="157"/>
        <v>0</v>
      </c>
      <c r="AH279" s="580">
        <f t="shared" si="163"/>
        <v>0</v>
      </c>
      <c r="AI279" s="51"/>
      <c r="AJ279" s="1497">
        <f t="shared" si="164"/>
        <v>4975</v>
      </c>
      <c r="AK279" s="951">
        <f t="shared" si="158"/>
        <v>0</v>
      </c>
      <c r="AL279" s="970">
        <f t="shared" si="159"/>
        <v>0</v>
      </c>
      <c r="AM279" s="326">
        <f t="shared" si="160"/>
        <v>4932.8900000000003</v>
      </c>
      <c r="AN279" s="970">
        <f t="shared" si="161"/>
        <v>4932.8900000000003</v>
      </c>
      <c r="AO279" s="326">
        <f t="shared" si="154"/>
        <v>0</v>
      </c>
      <c r="AP279" s="28">
        <f t="shared" si="146"/>
        <v>0</v>
      </c>
      <c r="AQ279" s="43"/>
      <c r="AR279" s="358">
        <f t="shared" si="165"/>
        <v>0</v>
      </c>
      <c r="AS279" s="359">
        <f t="shared" si="166"/>
        <v>0</v>
      </c>
      <c r="AT279" s="360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 t="s">
        <v>265</v>
      </c>
      <c r="N280" s="113">
        <f t="shared" si="152"/>
        <v>4976</v>
      </c>
      <c r="O280" s="581"/>
      <c r="P280" s="576"/>
      <c r="Q280" s="325"/>
      <c r="R280" s="324"/>
      <c r="S280" s="583">
        <f t="shared" si="156"/>
        <v>0</v>
      </c>
      <c r="T280" s="580">
        <f t="shared" si="162"/>
        <v>0</v>
      </c>
      <c r="U280" s="51"/>
      <c r="V280" s="541">
        <f>+'NF-KSF-TRIAL-BAL-2021'!O280+'RA-TRIAL-BAL-2021'!O280+'DES-TRIAL-BAL-2021'!O280+'DMP-TRIAL-BAL-2021'!O280</f>
        <v>0</v>
      </c>
      <c r="W280" s="529">
        <f>+'NF-KSF-TRIAL-BAL-2021'!P280+'RA-TRIAL-BAL-2021'!P280+'DES-TRIAL-BAL-2021'!P280+'DMP-TRIAL-BAL-2021'!P280</f>
        <v>0</v>
      </c>
      <c r="X280" s="587">
        <f>+'NF-KSF-TRIAL-BAL-2021'!Q280+'RA-TRIAL-BAL-2021'!Q280+'DES-TRIAL-BAL-2021'!Q280+'DMP-TRIAL-BAL-2021'!Q280</f>
        <v>0</v>
      </c>
      <c r="Y280" s="586">
        <f>+'NF-KSF-TRIAL-BAL-2021'!R280+'RA-TRIAL-BAL-2021'!R280+'DES-TRIAL-BAL-2021'!R280+'DMP-TRIAL-BAL-2021'!R280</f>
        <v>0</v>
      </c>
      <c r="Z280" s="587">
        <f>+'NF-KSF-TRIAL-BAL-2021'!S280+'RA-TRIAL-BAL-2021'!S280+'DES-TRIAL-BAL-2021'!S280+'DMP-TRIAL-BAL-2021'!S280</f>
        <v>0</v>
      </c>
      <c r="AA280" s="588">
        <f>+'NF-KSF-TRIAL-BAL-2021'!T280+'RA-TRIAL-BAL-2021'!T280+'DES-TRIAL-BAL-2021'!T280+'DMP-TRIAL-BAL-2021'!T280</f>
        <v>0</v>
      </c>
      <c r="AB280" s="51"/>
      <c r="AC280" s="581"/>
      <c r="AD280" s="576"/>
      <c r="AE280" s="325"/>
      <c r="AF280" s="324"/>
      <c r="AG280" s="583">
        <f t="shared" si="157"/>
        <v>0</v>
      </c>
      <c r="AH280" s="580">
        <f t="shared" si="163"/>
        <v>0</v>
      </c>
      <c r="AI280" s="51"/>
      <c r="AJ280" s="1497">
        <f t="shared" si="164"/>
        <v>4976</v>
      </c>
      <c r="AK280" s="951">
        <f t="shared" si="158"/>
        <v>0</v>
      </c>
      <c r="AL280" s="970">
        <f t="shared" si="159"/>
        <v>0</v>
      </c>
      <c r="AM280" s="326">
        <f t="shared" si="160"/>
        <v>0</v>
      </c>
      <c r="AN280" s="970">
        <f t="shared" si="161"/>
        <v>0</v>
      </c>
      <c r="AO280" s="326">
        <f t="shared" si="154"/>
        <v>0</v>
      </c>
      <c r="AP280" s="28">
        <f t="shared" si="146"/>
        <v>0</v>
      </c>
      <c r="AQ280" s="43"/>
      <c r="AR280" s="358">
        <f t="shared" si="165"/>
        <v>0</v>
      </c>
      <c r="AS280" s="359">
        <f t="shared" si="166"/>
        <v>0</v>
      </c>
      <c r="AT280" s="360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 t="s">
        <v>265</v>
      </c>
      <c r="N281" s="113">
        <f t="shared" si="152"/>
        <v>4978</v>
      </c>
      <c r="O281" s="581"/>
      <c r="P281" s="576"/>
      <c r="Q281" s="325"/>
      <c r="R281" s="324"/>
      <c r="S281" s="583">
        <f t="shared" si="156"/>
        <v>0</v>
      </c>
      <c r="T281" s="580">
        <f t="shared" si="162"/>
        <v>0</v>
      </c>
      <c r="U281" s="51"/>
      <c r="V281" s="541">
        <f>+'NF-KSF-TRIAL-BAL-2021'!O281+'RA-TRIAL-BAL-2021'!O281+'DES-TRIAL-BAL-2021'!O281+'DMP-TRIAL-BAL-2021'!O281</f>
        <v>0</v>
      </c>
      <c r="W281" s="529">
        <f>+'NF-KSF-TRIAL-BAL-2021'!P281+'RA-TRIAL-BAL-2021'!P281+'DES-TRIAL-BAL-2021'!P281+'DMP-TRIAL-BAL-2021'!P281</f>
        <v>0</v>
      </c>
      <c r="X281" s="587">
        <f>+'NF-KSF-TRIAL-BAL-2021'!Q281+'RA-TRIAL-BAL-2021'!Q281+'DES-TRIAL-BAL-2021'!Q281+'DMP-TRIAL-BAL-2021'!Q281</f>
        <v>0</v>
      </c>
      <c r="Y281" s="586">
        <f>+'NF-KSF-TRIAL-BAL-2021'!R281+'RA-TRIAL-BAL-2021'!R281+'DES-TRIAL-BAL-2021'!R281+'DMP-TRIAL-BAL-2021'!R281</f>
        <v>0</v>
      </c>
      <c r="Z281" s="587">
        <f>+'NF-KSF-TRIAL-BAL-2021'!S281+'RA-TRIAL-BAL-2021'!S281+'DES-TRIAL-BAL-2021'!S281+'DMP-TRIAL-BAL-2021'!S281</f>
        <v>0</v>
      </c>
      <c r="AA281" s="588">
        <f>+'NF-KSF-TRIAL-BAL-2021'!T281+'RA-TRIAL-BAL-2021'!T281+'DES-TRIAL-BAL-2021'!T281+'DMP-TRIAL-BAL-2021'!T281</f>
        <v>0</v>
      </c>
      <c r="AB281" s="51"/>
      <c r="AC281" s="581"/>
      <c r="AD281" s="576"/>
      <c r="AE281" s="325"/>
      <c r="AF281" s="324"/>
      <c r="AG281" s="583">
        <f t="shared" si="157"/>
        <v>0</v>
      </c>
      <c r="AH281" s="580">
        <f t="shared" si="163"/>
        <v>0</v>
      </c>
      <c r="AI281" s="51"/>
      <c r="AJ281" s="1497">
        <f t="shared" si="164"/>
        <v>4978</v>
      </c>
      <c r="AK281" s="951">
        <f t="shared" si="158"/>
        <v>0</v>
      </c>
      <c r="AL281" s="970">
        <f t="shared" si="159"/>
        <v>0</v>
      </c>
      <c r="AM281" s="326">
        <f t="shared" si="160"/>
        <v>0</v>
      </c>
      <c r="AN281" s="970">
        <f t="shared" si="161"/>
        <v>0</v>
      </c>
      <c r="AO281" s="326">
        <f t="shared" si="154"/>
        <v>0</v>
      </c>
      <c r="AP281" s="28">
        <f t="shared" si="146"/>
        <v>0</v>
      </c>
      <c r="AQ281" s="43"/>
      <c r="AR281" s="358">
        <f t="shared" si="165"/>
        <v>0</v>
      </c>
      <c r="AS281" s="359">
        <f t="shared" si="166"/>
        <v>0</v>
      </c>
      <c r="AT281" s="360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 t="s">
        <v>265</v>
      </c>
      <c r="N282" s="113">
        <f t="shared" si="152"/>
        <v>4979</v>
      </c>
      <c r="O282" s="581"/>
      <c r="P282" s="576"/>
      <c r="Q282" s="325"/>
      <c r="R282" s="324"/>
      <c r="S282" s="583">
        <f t="shared" si="156"/>
        <v>0</v>
      </c>
      <c r="T282" s="580">
        <f t="shared" si="162"/>
        <v>0</v>
      </c>
      <c r="U282" s="51"/>
      <c r="V282" s="541">
        <f>+'NF-KSF-TRIAL-BAL-2021'!O282+'RA-TRIAL-BAL-2021'!O282+'DES-TRIAL-BAL-2021'!O282+'DMP-TRIAL-BAL-2021'!O282</f>
        <v>0</v>
      </c>
      <c r="W282" s="529">
        <f>+'NF-KSF-TRIAL-BAL-2021'!P282+'RA-TRIAL-BAL-2021'!P282+'DES-TRIAL-BAL-2021'!P282+'DMP-TRIAL-BAL-2021'!P282</f>
        <v>0</v>
      </c>
      <c r="X282" s="587">
        <f>+'NF-KSF-TRIAL-BAL-2021'!Q282+'RA-TRIAL-BAL-2021'!Q282+'DES-TRIAL-BAL-2021'!Q282+'DMP-TRIAL-BAL-2021'!Q282</f>
        <v>0</v>
      </c>
      <c r="Y282" s="586">
        <f>+'NF-KSF-TRIAL-BAL-2021'!R282+'RA-TRIAL-BAL-2021'!R282+'DES-TRIAL-BAL-2021'!R282+'DMP-TRIAL-BAL-2021'!R282</f>
        <v>0</v>
      </c>
      <c r="Z282" s="587">
        <f>+'NF-KSF-TRIAL-BAL-2021'!S282+'RA-TRIAL-BAL-2021'!S282+'DES-TRIAL-BAL-2021'!S282+'DMP-TRIAL-BAL-2021'!S282</f>
        <v>0</v>
      </c>
      <c r="AA282" s="588">
        <f>+'NF-KSF-TRIAL-BAL-2021'!T282+'RA-TRIAL-BAL-2021'!T282+'DES-TRIAL-BAL-2021'!T282+'DMP-TRIAL-BAL-2021'!T282</f>
        <v>0</v>
      </c>
      <c r="AB282" s="51"/>
      <c r="AC282" s="581"/>
      <c r="AD282" s="576"/>
      <c r="AE282" s="122"/>
      <c r="AF282" s="121"/>
      <c r="AG282" s="583">
        <f t="shared" si="157"/>
        <v>0</v>
      </c>
      <c r="AH282" s="580">
        <f t="shared" si="163"/>
        <v>0</v>
      </c>
      <c r="AI282" s="51"/>
      <c r="AJ282" s="1497">
        <f t="shared" si="164"/>
        <v>4979</v>
      </c>
      <c r="AK282" s="951">
        <f t="shared" si="158"/>
        <v>0</v>
      </c>
      <c r="AL282" s="970">
        <f t="shared" si="159"/>
        <v>0</v>
      </c>
      <c r="AM282" s="326">
        <f t="shared" si="160"/>
        <v>0</v>
      </c>
      <c r="AN282" s="970">
        <f t="shared" si="161"/>
        <v>0</v>
      </c>
      <c r="AO282" s="326">
        <f t="shared" si="154"/>
        <v>0</v>
      </c>
      <c r="AP282" s="28">
        <f t="shared" si="146"/>
        <v>0</v>
      </c>
      <c r="AQ282" s="43"/>
      <c r="AR282" s="358">
        <f t="shared" si="165"/>
        <v>0</v>
      </c>
      <c r="AS282" s="359">
        <f t="shared" si="166"/>
        <v>0</v>
      </c>
      <c r="AT282" s="360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 t="s">
        <v>265</v>
      </c>
      <c r="N283" s="113">
        <f t="shared" si="152"/>
        <v>4980</v>
      </c>
      <c r="O283" s="581"/>
      <c r="P283" s="582">
        <v>0</v>
      </c>
      <c r="Q283" s="325"/>
      <c r="R283" s="324"/>
      <c r="S283" s="583">
        <f t="shared" si="156"/>
        <v>0</v>
      </c>
      <c r="T283" s="584">
        <v>0</v>
      </c>
      <c r="U283" s="51"/>
      <c r="V283" s="541">
        <f>+'NF-KSF-TRIAL-BAL-2021'!O283+'RA-TRIAL-BAL-2021'!O283+'DES-TRIAL-BAL-2021'!O283+'DMP-TRIAL-BAL-2021'!O283</f>
        <v>0</v>
      </c>
      <c r="W283" s="529">
        <f>+'NF-KSF-TRIAL-BAL-2021'!P283+'RA-TRIAL-BAL-2021'!P283+'DES-TRIAL-BAL-2021'!P283+'DMP-TRIAL-BAL-2021'!P283</f>
        <v>0</v>
      </c>
      <c r="X283" s="587">
        <f>+'NF-KSF-TRIAL-BAL-2021'!Q283+'RA-TRIAL-BAL-2021'!Q283+'DES-TRIAL-BAL-2021'!Q283+'DMP-TRIAL-BAL-2021'!Q283</f>
        <v>0</v>
      </c>
      <c r="Y283" s="586">
        <f>+'NF-KSF-TRIAL-BAL-2021'!R283+'RA-TRIAL-BAL-2021'!R283+'DES-TRIAL-BAL-2021'!R283+'DMP-TRIAL-BAL-2021'!R283</f>
        <v>0</v>
      </c>
      <c r="Z283" s="587">
        <f>+'NF-KSF-TRIAL-BAL-2021'!S283+'RA-TRIAL-BAL-2021'!S283+'DES-TRIAL-BAL-2021'!S283+'DMP-TRIAL-BAL-2021'!S283</f>
        <v>0</v>
      </c>
      <c r="AA283" s="588">
        <f>+'NF-KSF-TRIAL-BAL-2021'!T283+'RA-TRIAL-BAL-2021'!T283+'DES-TRIAL-BAL-2021'!T283+'DMP-TRIAL-BAL-2021'!T283</f>
        <v>0</v>
      </c>
      <c r="AB283" s="51"/>
      <c r="AC283" s="581"/>
      <c r="AD283" s="582">
        <v>0</v>
      </c>
      <c r="AE283" s="122"/>
      <c r="AF283" s="324"/>
      <c r="AG283" s="583">
        <f t="shared" si="157"/>
        <v>0</v>
      </c>
      <c r="AH283" s="584">
        <v>0</v>
      </c>
      <c r="AI283" s="51"/>
      <c r="AJ283" s="1497">
        <f t="shared" si="164"/>
        <v>4980</v>
      </c>
      <c r="AK283" s="951">
        <f t="shared" si="158"/>
        <v>0</v>
      </c>
      <c r="AL283" s="9">
        <v>0</v>
      </c>
      <c r="AM283" s="326">
        <f>+ROUND(+Q283+X283+AE283,2)</f>
        <v>0</v>
      </c>
      <c r="AN283" s="970">
        <f>+ROUND(+R283+Y283+AF283,2)</f>
        <v>0</v>
      </c>
      <c r="AO283" s="326">
        <f t="shared" si="154"/>
        <v>0</v>
      </c>
      <c r="AP283" s="30">
        <v>0</v>
      </c>
      <c r="AQ283" s="43"/>
      <c r="AR283" s="358">
        <f t="shared" si="165"/>
        <v>0</v>
      </c>
      <c r="AS283" s="359">
        <f t="shared" si="166"/>
        <v>0</v>
      </c>
      <c r="AT283" s="360">
        <f t="shared" si="167"/>
        <v>0</v>
      </c>
      <c r="AU283" s="43"/>
      <c r="AV283" s="2120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120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 t="s">
        <v>265</v>
      </c>
      <c r="N284" s="113">
        <f t="shared" si="152"/>
        <v>4989</v>
      </c>
      <c r="O284" s="575">
        <v>0</v>
      </c>
      <c r="P284" s="576">
        <v>8485</v>
      </c>
      <c r="Q284" s="325"/>
      <c r="R284" s="324">
        <v>-8485</v>
      </c>
      <c r="S284" s="579">
        <v>0</v>
      </c>
      <c r="T284" s="580">
        <f>+IF(ABS(+O284+Q284)&lt;=ABS(P284+R284),-O284+P284-Q284+R284,0)</f>
        <v>0</v>
      </c>
      <c r="U284" s="51"/>
      <c r="V284" s="541">
        <f>+'NF-KSF-TRIAL-BAL-2021'!O284+'RA-TRIAL-BAL-2021'!O284+'DES-TRIAL-BAL-2021'!O284+'DMP-TRIAL-BAL-2021'!O284</f>
        <v>0</v>
      </c>
      <c r="W284" s="529">
        <f>+'NF-KSF-TRIAL-BAL-2021'!P284+'RA-TRIAL-BAL-2021'!P284+'DES-TRIAL-BAL-2021'!P284+'DMP-TRIAL-BAL-2021'!P284</f>
        <v>0</v>
      </c>
      <c r="X284" s="587">
        <f>+'NF-KSF-TRIAL-BAL-2021'!Q284+'RA-TRIAL-BAL-2021'!Q284+'DES-TRIAL-BAL-2021'!Q284+'DMP-TRIAL-BAL-2021'!Q284</f>
        <v>0</v>
      </c>
      <c r="Y284" s="586">
        <f>+'NF-KSF-TRIAL-BAL-2021'!R284+'RA-TRIAL-BAL-2021'!R284+'DES-TRIAL-BAL-2021'!R284+'DMP-TRIAL-BAL-2021'!R284</f>
        <v>0</v>
      </c>
      <c r="Z284" s="587">
        <f>+'NF-KSF-TRIAL-BAL-2021'!S284+'RA-TRIAL-BAL-2021'!S284+'DES-TRIAL-BAL-2021'!S284+'DMP-TRIAL-BAL-2021'!S284</f>
        <v>0</v>
      </c>
      <c r="AA284" s="588">
        <f>+'NF-KSF-TRIAL-BAL-2021'!T284+'RA-TRIAL-BAL-2021'!T284+'DES-TRIAL-BAL-2021'!T284+'DMP-TRIAL-BAL-2021'!T284</f>
        <v>0</v>
      </c>
      <c r="AB284" s="51"/>
      <c r="AC284" s="575">
        <v>0</v>
      </c>
      <c r="AD284" s="576"/>
      <c r="AE284" s="325"/>
      <c r="AF284" s="324"/>
      <c r="AG284" s="579">
        <v>0</v>
      </c>
      <c r="AH284" s="580">
        <f>+IF(ABS(+AC284+AE284)&lt;=ABS(AD284+AF284),-AC284+AD284-AE284+AF284,0)</f>
        <v>0</v>
      </c>
      <c r="AI284" s="51"/>
      <c r="AJ284" s="1497">
        <f t="shared" si="164"/>
        <v>4989</v>
      </c>
      <c r="AK284" s="8">
        <v>0</v>
      </c>
      <c r="AL284" s="970">
        <f>+ROUND(+P284+W284+AD284,2)</f>
        <v>8485</v>
      </c>
      <c r="AM284" s="326">
        <f>+ROUND(+Q284+X284+AE284,2)</f>
        <v>0</v>
      </c>
      <c r="AN284" s="970">
        <f>+ROUND(+R284+Y284+AF284,2)</f>
        <v>-8485</v>
      </c>
      <c r="AO284" s="29">
        <v>0</v>
      </c>
      <c r="AP284" s="28">
        <f>+T284+AA284+AH284</f>
        <v>0</v>
      </c>
      <c r="AQ284" s="43"/>
      <c r="AR284" s="358">
        <f t="shared" si="165"/>
        <v>0</v>
      </c>
      <c r="AS284" s="359">
        <f t="shared" si="166"/>
        <v>0</v>
      </c>
      <c r="AT284" s="360">
        <f t="shared" si="167"/>
        <v>0</v>
      </c>
      <c r="AU284" s="43"/>
      <c r="AV284" s="2119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119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 t="s">
        <v>265</v>
      </c>
      <c r="N285" s="383">
        <v>5</v>
      </c>
      <c r="O285" s="384"/>
      <c r="P285" s="385"/>
      <c r="Q285" s="386"/>
      <c r="R285" s="385"/>
      <c r="S285" s="386"/>
      <c r="T285" s="387"/>
      <c r="U285" s="51"/>
      <c r="V285" s="545"/>
      <c r="W285" s="533"/>
      <c r="X285" s="532"/>
      <c r="Y285" s="533"/>
      <c r="Z285" s="532">
        <f>+'NF-KSF-TRIAL-BAL-2021'!S285+'RA-TRIAL-BAL-2021'!S285+'DES-TRIAL-BAL-2021'!S285+'DMP-TRIAL-BAL-2021'!S285</f>
        <v>0</v>
      </c>
      <c r="AA285" s="534">
        <f>+'NF-KSF-TRIAL-BAL-2021'!T285+'RA-TRIAL-BAL-2021'!T285+'DES-TRIAL-BAL-2021'!T285+'DMP-TRIAL-BAL-2021'!T285</f>
        <v>0</v>
      </c>
      <c r="AB285" s="51"/>
      <c r="AC285" s="384"/>
      <c r="AD285" s="385"/>
      <c r="AE285" s="386"/>
      <c r="AF285" s="385"/>
      <c r="AG285" s="386"/>
      <c r="AH285" s="387"/>
      <c r="AI285" s="51"/>
      <c r="AJ285" s="388">
        <f t="shared" si="124"/>
        <v>5</v>
      </c>
      <c r="AK285" s="384"/>
      <c r="AL285" s="385"/>
      <c r="AM285" s="386"/>
      <c r="AN285" s="385"/>
      <c r="AO285" s="386"/>
      <c r="AP285" s="387"/>
      <c r="AQ285" s="43"/>
      <c r="AR285" s="392"/>
      <c r="AS285" s="393"/>
      <c r="AT285" s="394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88">
        <v>5000</v>
      </c>
      <c r="B286" s="2289" t="s">
        <v>799</v>
      </c>
      <c r="C286" s="2289"/>
      <c r="D286" s="2289"/>
      <c r="E286" s="2289"/>
      <c r="F286" s="2289"/>
      <c r="G286" s="2289"/>
      <c r="H286" s="2289"/>
      <c r="I286" s="2289"/>
      <c r="J286" s="2289"/>
      <c r="K286" s="2289"/>
      <c r="L286" s="2290"/>
      <c r="M286" s="51" t="s">
        <v>265</v>
      </c>
      <c r="N286" s="2300">
        <f t="shared" ref="N286:N355" si="168">+A286</f>
        <v>5000</v>
      </c>
      <c r="O286" s="2294"/>
      <c r="P286" s="2295">
        <v>0</v>
      </c>
      <c r="Q286" s="2296"/>
      <c r="R286" s="2297"/>
      <c r="S286" s="2296">
        <f>+IF($C$8=9900,+IF(ABS(+O286+Q286)&gt;=ABS(P286+R286),+O286-P286+Q286-R286,0),0)</f>
        <v>0</v>
      </c>
      <c r="T286" s="2298">
        <v>0</v>
      </c>
      <c r="U286" s="51"/>
      <c r="V286" s="547">
        <f>+'NF-KSF-TRIAL-BAL-2021'!O286+'RA-TRIAL-BAL-2021'!O286+'DES-TRIAL-BAL-2021'!O286+'DMP-TRIAL-BAL-2021'!O286</f>
        <v>0</v>
      </c>
      <c r="W286" s="539">
        <f>+'NF-KSF-TRIAL-BAL-2021'!P286+'RA-TRIAL-BAL-2021'!P286+'DES-TRIAL-BAL-2021'!P286+'DMP-TRIAL-BAL-2021'!P286</f>
        <v>0</v>
      </c>
      <c r="X286" s="538">
        <f>+'NF-KSF-TRIAL-BAL-2021'!Q286+'RA-TRIAL-BAL-2021'!Q286+'DES-TRIAL-BAL-2021'!Q286+'DMP-TRIAL-BAL-2021'!Q286</f>
        <v>0</v>
      </c>
      <c r="Y286" s="539">
        <f>+'NF-KSF-TRIAL-BAL-2021'!R286+'RA-TRIAL-BAL-2021'!R286+'DES-TRIAL-BAL-2021'!R286+'DMP-TRIAL-BAL-2021'!R286</f>
        <v>0</v>
      </c>
      <c r="Z286" s="538">
        <f>+'NF-KSF-TRIAL-BAL-2021'!S286+'RA-TRIAL-BAL-2021'!S286+'DES-TRIAL-BAL-2021'!S286+'DMP-TRIAL-BAL-2021'!S286</f>
        <v>0</v>
      </c>
      <c r="AA286" s="540">
        <f>+'NF-KSF-TRIAL-BAL-2021'!T286+'RA-TRIAL-BAL-2021'!T286+'DES-TRIAL-BAL-2021'!T286+'DMP-TRIAL-BAL-2021'!T286</f>
        <v>0</v>
      </c>
      <c r="AB286" s="51"/>
      <c r="AC286" s="401">
        <v>0</v>
      </c>
      <c r="AD286" s="402">
        <v>0</v>
      </c>
      <c r="AE286" s="403">
        <v>0</v>
      </c>
      <c r="AF286" s="402">
        <v>0</v>
      </c>
      <c r="AG286" s="829">
        <f t="shared" ref="AG286:AG321" si="169">+IF(ABS(+AC286+AE286)&gt;=ABS(AD286+AF286),+AC286-AD286+AE286-AF286,0)</f>
        <v>0</v>
      </c>
      <c r="AH286" s="830">
        <v>0</v>
      </c>
      <c r="AI286" s="51"/>
      <c r="AJ286" s="400">
        <f t="shared" si="124"/>
        <v>5000</v>
      </c>
      <c r="AK286" s="833">
        <f t="shared" ref="AK286:AL293" si="170">+ROUND(+O286+V286+AC286,2)</f>
        <v>0</v>
      </c>
      <c r="AL286" s="834">
        <v>0</v>
      </c>
      <c r="AM286" s="831">
        <f t="shared" ref="AM286:AN293" si="171">+ROUND(+Q286+X286+AE286,2)</f>
        <v>0</v>
      </c>
      <c r="AN286" s="832">
        <f t="shared" si="171"/>
        <v>0</v>
      </c>
      <c r="AO286" s="831">
        <f t="shared" ref="AO286:AP305" si="172">+S286+Z286+AG286</f>
        <v>0</v>
      </c>
      <c r="AP286" s="830">
        <v>0</v>
      </c>
      <c r="AQ286" s="43"/>
      <c r="AR286" s="358">
        <f t="shared" ref="AR286:AR353" si="173">+ROUND(+SUM(AK286-AL286)-SUM(O286-P286)-SUM(V286-W286)-SUM(AC286-AD286),2)</f>
        <v>0</v>
      </c>
      <c r="AS286" s="359">
        <f t="shared" ref="AS286:AS353" si="174">+ROUND(+SUM(AM286-AN286)-SUM(Q286-R286)-SUM(X286-Y286)-SUM(AE286-AF286),2)</f>
        <v>0</v>
      </c>
      <c r="AT286" s="360">
        <f t="shared" ref="AT286:AT353" si="175">+ROUND(+SUM(AO286-AP286)-SUM(S286-T286)-SUM(Z286-AA286)-SUM(AG286-AH286),2)</f>
        <v>0</v>
      </c>
      <c r="AU286" s="43"/>
      <c r="AV286" s="2125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125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78" t="s">
        <v>800</v>
      </c>
      <c r="C287" s="1034"/>
      <c r="D287" s="1034"/>
      <c r="E287" s="1034"/>
      <c r="F287" s="1034"/>
      <c r="G287" s="1034"/>
      <c r="H287" s="1034"/>
      <c r="I287" s="1034"/>
      <c r="J287" s="1034"/>
      <c r="K287" s="1034"/>
      <c r="L287" s="90"/>
      <c r="M287" s="51" t="s">
        <v>265</v>
      </c>
      <c r="N287" s="113">
        <f t="shared" si="168"/>
        <v>5001</v>
      </c>
      <c r="O287" s="120"/>
      <c r="P287" s="576"/>
      <c r="Q287" s="122"/>
      <c r="R287" s="324"/>
      <c r="S287" s="2286">
        <f>+IF($C$8=9900,0,+IF(ABS(+O287+Q287)&gt;=ABS(P287+R287),+O287-P287+Q287-R287,0))</f>
        <v>0</v>
      </c>
      <c r="T287" s="2287">
        <f>+IF($C$8=9900,+IF(ABS(+O287+Q287)&lt;=ABS(P287+R287),-O287+P287-Q287+R287,0),0)</f>
        <v>0</v>
      </c>
      <c r="U287" s="51"/>
      <c r="V287" s="541">
        <f>+'NF-KSF-TRIAL-BAL-2021'!O287+'RA-TRIAL-BAL-2021'!O287+'DES-TRIAL-BAL-2021'!O287+'DMP-TRIAL-BAL-2021'!O287</f>
        <v>0</v>
      </c>
      <c r="W287" s="529">
        <f>+'NF-KSF-TRIAL-BAL-2021'!P287+'RA-TRIAL-BAL-2021'!P287+'DES-TRIAL-BAL-2021'!P287+'DMP-TRIAL-BAL-2021'!P287</f>
        <v>0</v>
      </c>
      <c r="X287" s="528">
        <f>+'NF-KSF-TRIAL-BAL-2021'!Q287+'RA-TRIAL-BAL-2021'!Q287+'DES-TRIAL-BAL-2021'!Q287+'DMP-TRIAL-BAL-2021'!Q287</f>
        <v>0</v>
      </c>
      <c r="Y287" s="529">
        <f>+'NF-KSF-TRIAL-BAL-2021'!R287+'RA-TRIAL-BAL-2021'!R287+'DES-TRIAL-BAL-2021'!R287+'DMP-TRIAL-BAL-2021'!R287</f>
        <v>0</v>
      </c>
      <c r="Z287" s="528">
        <f>+'NF-KSF-TRIAL-BAL-2021'!S287+'RA-TRIAL-BAL-2021'!S287+'DES-TRIAL-BAL-2021'!S287+'DMP-TRIAL-BAL-2021'!S287</f>
        <v>0</v>
      </c>
      <c r="AA287" s="347">
        <f>+'NF-KSF-TRIAL-BAL-2021'!T287+'RA-TRIAL-BAL-2021'!T287+'DES-TRIAL-BAL-2021'!T287+'DMP-TRIAL-BAL-2021'!T287</f>
        <v>0</v>
      </c>
      <c r="AB287" s="51"/>
      <c r="AC287" s="120"/>
      <c r="AD287" s="9">
        <v>0</v>
      </c>
      <c r="AE287" s="122"/>
      <c r="AF287" s="324"/>
      <c r="AG287" s="27">
        <f t="shared" si="169"/>
        <v>0</v>
      </c>
      <c r="AH287" s="30">
        <v>0</v>
      </c>
      <c r="AI287" s="51"/>
      <c r="AJ287" s="1497">
        <f t="shared" si="124"/>
        <v>5001</v>
      </c>
      <c r="AK287" s="951">
        <f t="shared" si="170"/>
        <v>0</v>
      </c>
      <c r="AL287" s="970">
        <f t="shared" si="170"/>
        <v>0</v>
      </c>
      <c r="AM287" s="326">
        <f t="shared" si="171"/>
        <v>0</v>
      </c>
      <c r="AN287" s="970">
        <f t="shared" si="171"/>
        <v>0</v>
      </c>
      <c r="AO287" s="326">
        <f t="shared" si="172"/>
        <v>0</v>
      </c>
      <c r="AP287" s="28">
        <f t="shared" si="172"/>
        <v>0</v>
      </c>
      <c r="AQ287" s="43"/>
      <c r="AR287" s="358">
        <f t="shared" si="173"/>
        <v>0</v>
      </c>
      <c r="AS287" s="359">
        <f t="shared" si="174"/>
        <v>0</v>
      </c>
      <c r="AT287" s="360">
        <f t="shared" si="175"/>
        <v>0</v>
      </c>
      <c r="AU287" s="43"/>
      <c r="AV287" s="2125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120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78" t="s">
        <v>801</v>
      </c>
      <c r="C288" s="1034"/>
      <c r="D288" s="1034"/>
      <c r="E288" s="1034"/>
      <c r="F288" s="1034"/>
      <c r="G288" s="1034"/>
      <c r="H288" s="1034"/>
      <c r="I288" s="1034"/>
      <c r="J288" s="1034"/>
      <c r="K288" s="1034"/>
      <c r="L288" s="90"/>
      <c r="M288" s="51" t="s">
        <v>265</v>
      </c>
      <c r="N288" s="113">
        <f t="shared" si="168"/>
        <v>5002</v>
      </c>
      <c r="O288" s="120"/>
      <c r="P288" s="576"/>
      <c r="Q288" s="325"/>
      <c r="R288" s="324"/>
      <c r="S288" s="2286">
        <f>+IF($C$8=9900,0,+IF(ABS(+O288+Q288)&gt;=ABS(P288+R288),+O288-P288+Q288-R288,0))</f>
        <v>0</v>
      </c>
      <c r="T288" s="2287">
        <f>+IF($C$8=9900,+IF(ABS(+O288+Q288)&lt;=ABS(P288+R288),-O288+P288-Q288+R288,0),0)</f>
        <v>0</v>
      </c>
      <c r="U288" s="51"/>
      <c r="V288" s="541">
        <f>+'NF-KSF-TRIAL-BAL-2021'!O288+'RA-TRIAL-BAL-2021'!O288+'DES-TRIAL-BAL-2021'!O288+'DMP-TRIAL-BAL-2021'!O288</f>
        <v>0</v>
      </c>
      <c r="W288" s="529">
        <f>+'NF-KSF-TRIAL-BAL-2021'!P288+'RA-TRIAL-BAL-2021'!P288+'DES-TRIAL-BAL-2021'!P288+'DMP-TRIAL-BAL-2021'!P288</f>
        <v>0</v>
      </c>
      <c r="X288" s="528">
        <f>+'NF-KSF-TRIAL-BAL-2021'!Q288+'RA-TRIAL-BAL-2021'!Q288+'DES-TRIAL-BAL-2021'!Q288+'DMP-TRIAL-BAL-2021'!Q288</f>
        <v>0</v>
      </c>
      <c r="Y288" s="529">
        <f>+'NF-KSF-TRIAL-BAL-2021'!R288+'RA-TRIAL-BAL-2021'!R288+'DES-TRIAL-BAL-2021'!R288+'DMP-TRIAL-BAL-2021'!R288</f>
        <v>0</v>
      </c>
      <c r="Z288" s="528">
        <f>+'NF-KSF-TRIAL-BAL-2021'!S288+'RA-TRIAL-BAL-2021'!S288+'DES-TRIAL-BAL-2021'!S288+'DMP-TRIAL-BAL-2021'!S288</f>
        <v>0</v>
      </c>
      <c r="AA288" s="347">
        <f>+'NF-KSF-TRIAL-BAL-2021'!T288+'RA-TRIAL-BAL-2021'!T288+'DES-TRIAL-BAL-2021'!T288+'DMP-TRIAL-BAL-2021'!T288</f>
        <v>0</v>
      </c>
      <c r="AB288" s="51"/>
      <c r="AC288" s="120"/>
      <c r="AD288" s="9">
        <v>0</v>
      </c>
      <c r="AE288" s="325"/>
      <c r="AF288" s="324"/>
      <c r="AG288" s="27">
        <f t="shared" si="169"/>
        <v>0</v>
      </c>
      <c r="AH288" s="30">
        <v>0</v>
      </c>
      <c r="AI288" s="51"/>
      <c r="AJ288" s="1497">
        <f t="shared" si="124"/>
        <v>5002</v>
      </c>
      <c r="AK288" s="951">
        <f t="shared" si="170"/>
        <v>0</v>
      </c>
      <c r="AL288" s="970">
        <f t="shared" si="170"/>
        <v>0</v>
      </c>
      <c r="AM288" s="326">
        <f t="shared" si="171"/>
        <v>0</v>
      </c>
      <c r="AN288" s="970">
        <f t="shared" si="171"/>
        <v>0</v>
      </c>
      <c r="AO288" s="326">
        <f t="shared" si="172"/>
        <v>0</v>
      </c>
      <c r="AP288" s="28">
        <f t="shared" si="172"/>
        <v>0</v>
      </c>
      <c r="AQ288" s="43"/>
      <c r="AR288" s="358">
        <f t="shared" si="173"/>
        <v>0</v>
      </c>
      <c r="AS288" s="359">
        <f t="shared" si="174"/>
        <v>0</v>
      </c>
      <c r="AT288" s="360">
        <f t="shared" si="175"/>
        <v>0</v>
      </c>
      <c r="AU288" s="43"/>
      <c r="AV288" s="2125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120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91">
        <v>5005</v>
      </c>
      <c r="B289" s="2292" t="s">
        <v>802</v>
      </c>
      <c r="C289" s="2292"/>
      <c r="D289" s="2292"/>
      <c r="E289" s="2292"/>
      <c r="F289" s="2292"/>
      <c r="G289" s="2292"/>
      <c r="H289" s="2292"/>
      <c r="I289" s="2292"/>
      <c r="J289" s="2292"/>
      <c r="K289" s="2292"/>
      <c r="L289" s="2293"/>
      <c r="M289" s="51" t="s">
        <v>265</v>
      </c>
      <c r="N289" s="2299">
        <f t="shared" si="168"/>
        <v>5005</v>
      </c>
      <c r="O289" s="2294"/>
      <c r="P289" s="2295">
        <v>0</v>
      </c>
      <c r="Q289" s="2296"/>
      <c r="R289" s="2297"/>
      <c r="S289" s="2296">
        <f>+IF($C$8=9900,+IF(ABS(+O289+Q289)&gt;=ABS(P289+R289),+O289-P289+Q289-R289,0),0)</f>
        <v>0</v>
      </c>
      <c r="T289" s="2298">
        <v>0</v>
      </c>
      <c r="U289" s="51"/>
      <c r="V289" s="546">
        <f>+'NF-KSF-TRIAL-BAL-2021'!O289+'RA-TRIAL-BAL-2021'!O289+'DES-TRIAL-BAL-2021'!O289+'DMP-TRIAL-BAL-2021'!O289</f>
        <v>0</v>
      </c>
      <c r="W289" s="536">
        <f>+'NF-KSF-TRIAL-BAL-2021'!P289+'RA-TRIAL-BAL-2021'!P289+'DES-TRIAL-BAL-2021'!P289+'DMP-TRIAL-BAL-2021'!P289</f>
        <v>0</v>
      </c>
      <c r="X289" s="535">
        <f>+'NF-KSF-TRIAL-BAL-2021'!Q289+'RA-TRIAL-BAL-2021'!Q289+'DES-TRIAL-BAL-2021'!Q289+'DMP-TRIAL-BAL-2021'!Q289</f>
        <v>0</v>
      </c>
      <c r="Y289" s="536">
        <f>+'NF-KSF-TRIAL-BAL-2021'!R289+'RA-TRIAL-BAL-2021'!R289+'DES-TRIAL-BAL-2021'!R289+'DMP-TRIAL-BAL-2021'!R289</f>
        <v>0</v>
      </c>
      <c r="Z289" s="535">
        <f>+'NF-KSF-TRIAL-BAL-2021'!S289+'RA-TRIAL-BAL-2021'!S289+'DES-TRIAL-BAL-2021'!S289+'DMP-TRIAL-BAL-2021'!S289</f>
        <v>0</v>
      </c>
      <c r="AA289" s="537">
        <f>+'NF-KSF-TRIAL-BAL-2021'!T289+'RA-TRIAL-BAL-2021'!T289+'DES-TRIAL-BAL-2021'!T289+'DMP-TRIAL-BAL-2021'!T289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29">
        <f t="shared" si="169"/>
        <v>0</v>
      </c>
      <c r="AH289" s="830">
        <v>0</v>
      </c>
      <c r="AI289" s="51"/>
      <c r="AJ289" s="114">
        <f t="shared" si="124"/>
        <v>5005</v>
      </c>
      <c r="AK289" s="833">
        <f t="shared" si="170"/>
        <v>0</v>
      </c>
      <c r="AL289" s="834">
        <v>0</v>
      </c>
      <c r="AM289" s="831">
        <f t="shared" si="171"/>
        <v>0</v>
      </c>
      <c r="AN289" s="832">
        <f t="shared" si="171"/>
        <v>0</v>
      </c>
      <c r="AO289" s="831">
        <f t="shared" si="172"/>
        <v>0</v>
      </c>
      <c r="AP289" s="830">
        <v>0</v>
      </c>
      <c r="AQ289" s="43"/>
      <c r="AR289" s="358">
        <f t="shared" si="173"/>
        <v>0</v>
      </c>
      <c r="AS289" s="359">
        <f t="shared" si="174"/>
        <v>0</v>
      </c>
      <c r="AT289" s="360">
        <f t="shared" si="175"/>
        <v>0</v>
      </c>
      <c r="AU289" s="43"/>
      <c r="AV289" s="2125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125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91">
        <v>5006</v>
      </c>
      <c r="B290" s="2292" t="s">
        <v>803</v>
      </c>
      <c r="C290" s="2292"/>
      <c r="D290" s="2292"/>
      <c r="E290" s="2292"/>
      <c r="F290" s="2292"/>
      <c r="G290" s="2292"/>
      <c r="H290" s="2292"/>
      <c r="I290" s="2292"/>
      <c r="J290" s="2292"/>
      <c r="K290" s="2292"/>
      <c r="L290" s="2293"/>
      <c r="M290" s="51" t="s">
        <v>265</v>
      </c>
      <c r="N290" s="2299">
        <f t="shared" si="168"/>
        <v>5006</v>
      </c>
      <c r="O290" s="2294"/>
      <c r="P290" s="2295">
        <v>0</v>
      </c>
      <c r="Q290" s="2296"/>
      <c r="R290" s="2297"/>
      <c r="S290" s="2296">
        <f>+IF($C$8=9900,+IF(ABS(+O290+Q290)&gt;=ABS(P290+R290),+O290-P290+Q290-R290,0),0)</f>
        <v>0</v>
      </c>
      <c r="T290" s="2298">
        <v>0</v>
      </c>
      <c r="U290" s="51"/>
      <c r="V290" s="546">
        <f>+'NF-KSF-TRIAL-BAL-2021'!O290+'RA-TRIAL-BAL-2021'!O290+'DES-TRIAL-BAL-2021'!O290+'DMP-TRIAL-BAL-2021'!O290</f>
        <v>0</v>
      </c>
      <c r="W290" s="536">
        <f>+'NF-KSF-TRIAL-BAL-2021'!P290+'RA-TRIAL-BAL-2021'!P290+'DES-TRIAL-BAL-2021'!P290+'DMP-TRIAL-BAL-2021'!P290</f>
        <v>0</v>
      </c>
      <c r="X290" s="535">
        <f>+'NF-KSF-TRIAL-BAL-2021'!Q290+'RA-TRIAL-BAL-2021'!Q290+'DES-TRIAL-BAL-2021'!Q290+'DMP-TRIAL-BAL-2021'!Q290</f>
        <v>0</v>
      </c>
      <c r="Y290" s="536">
        <f>+'NF-KSF-TRIAL-BAL-2021'!R290+'RA-TRIAL-BAL-2021'!R290+'DES-TRIAL-BAL-2021'!R290+'DMP-TRIAL-BAL-2021'!R290</f>
        <v>0</v>
      </c>
      <c r="Z290" s="535">
        <f>+'NF-KSF-TRIAL-BAL-2021'!S290+'RA-TRIAL-BAL-2021'!S290+'DES-TRIAL-BAL-2021'!S290+'DMP-TRIAL-BAL-2021'!S290</f>
        <v>0</v>
      </c>
      <c r="AA290" s="537">
        <f>+'NF-KSF-TRIAL-BAL-2021'!T290+'RA-TRIAL-BAL-2021'!T290+'DES-TRIAL-BAL-2021'!T290+'DMP-TRIAL-BAL-2021'!T290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29">
        <f t="shared" si="169"/>
        <v>0</v>
      </c>
      <c r="AH290" s="830">
        <v>0</v>
      </c>
      <c r="AI290" s="51"/>
      <c r="AJ290" s="114">
        <f t="shared" si="124"/>
        <v>5006</v>
      </c>
      <c r="AK290" s="833">
        <f t="shared" si="170"/>
        <v>0</v>
      </c>
      <c r="AL290" s="834">
        <v>0</v>
      </c>
      <c r="AM290" s="831">
        <f t="shared" si="171"/>
        <v>0</v>
      </c>
      <c r="AN290" s="832">
        <f t="shared" si="171"/>
        <v>0</v>
      </c>
      <c r="AO290" s="831">
        <f t="shared" si="172"/>
        <v>0</v>
      </c>
      <c r="AP290" s="830">
        <v>0</v>
      </c>
      <c r="AQ290" s="43"/>
      <c r="AR290" s="358">
        <f t="shared" si="173"/>
        <v>0</v>
      </c>
      <c r="AS290" s="359">
        <f t="shared" si="174"/>
        <v>0</v>
      </c>
      <c r="AT290" s="360">
        <f t="shared" si="175"/>
        <v>0</v>
      </c>
      <c r="AU290" s="43"/>
      <c r="AV290" s="2125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125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78" t="s">
        <v>804</v>
      </c>
      <c r="C291" s="1034"/>
      <c r="D291" s="1034"/>
      <c r="E291" s="1034"/>
      <c r="F291" s="1034"/>
      <c r="G291" s="1034"/>
      <c r="H291" s="1034"/>
      <c r="I291" s="1034"/>
      <c r="J291" s="1034"/>
      <c r="K291" s="1034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25"/>
      <c r="R291" s="324"/>
      <c r="S291" s="27">
        <f t="shared" ref="S291:S321" si="176">+IF(ABS(+O291+Q291)&gt;=ABS(P291+R291),+O291-P291+Q291-R291,0)</f>
        <v>0</v>
      </c>
      <c r="T291" s="30">
        <v>0</v>
      </c>
      <c r="U291" s="51"/>
      <c r="V291" s="541">
        <f>+'NF-KSF-TRIAL-BAL-2021'!O291+'RA-TRIAL-BAL-2021'!O291+'DES-TRIAL-BAL-2021'!O291+'DMP-TRIAL-BAL-2021'!O291</f>
        <v>0</v>
      </c>
      <c r="W291" s="529">
        <f>+'NF-KSF-TRIAL-BAL-2021'!P291+'RA-TRIAL-BAL-2021'!P291+'DES-TRIAL-BAL-2021'!P291+'DMP-TRIAL-BAL-2021'!P291</f>
        <v>0</v>
      </c>
      <c r="X291" s="528">
        <f>+'NF-KSF-TRIAL-BAL-2021'!Q291+'RA-TRIAL-BAL-2021'!Q291+'DES-TRIAL-BAL-2021'!Q291+'DMP-TRIAL-BAL-2021'!Q291</f>
        <v>0</v>
      </c>
      <c r="Y291" s="529">
        <f>+'NF-KSF-TRIAL-BAL-2021'!R291+'RA-TRIAL-BAL-2021'!R291+'DES-TRIAL-BAL-2021'!R291+'DMP-TRIAL-BAL-2021'!R291</f>
        <v>0</v>
      </c>
      <c r="Z291" s="528">
        <f>+'NF-KSF-TRIAL-BAL-2021'!S291+'RA-TRIAL-BAL-2021'!S291+'DES-TRIAL-BAL-2021'!S291+'DMP-TRIAL-BAL-2021'!S291</f>
        <v>0</v>
      </c>
      <c r="AA291" s="347">
        <f>+'NF-KSF-TRIAL-BAL-2021'!T291+'RA-TRIAL-BAL-2021'!T291+'DES-TRIAL-BAL-2021'!T291+'DMP-TRIAL-BAL-2021'!T291</f>
        <v>0</v>
      </c>
      <c r="AB291" s="51"/>
      <c r="AC291" s="120"/>
      <c r="AD291" s="9">
        <v>0</v>
      </c>
      <c r="AE291" s="325"/>
      <c r="AF291" s="324"/>
      <c r="AG291" s="27">
        <f t="shared" si="169"/>
        <v>0</v>
      </c>
      <c r="AH291" s="30">
        <v>0</v>
      </c>
      <c r="AI291" s="51"/>
      <c r="AJ291" s="1497">
        <f t="shared" si="124"/>
        <v>5007</v>
      </c>
      <c r="AK291" s="951">
        <f t="shared" si="170"/>
        <v>0</v>
      </c>
      <c r="AL291" s="9">
        <v>0</v>
      </c>
      <c r="AM291" s="326">
        <f t="shared" si="171"/>
        <v>0</v>
      </c>
      <c r="AN291" s="970">
        <f t="shared" si="171"/>
        <v>0</v>
      </c>
      <c r="AO291" s="326">
        <f t="shared" si="172"/>
        <v>0</v>
      </c>
      <c r="AP291" s="30">
        <v>0</v>
      </c>
      <c r="AQ291" s="43"/>
      <c r="AR291" s="358">
        <f t="shared" si="173"/>
        <v>0</v>
      </c>
      <c r="AS291" s="359">
        <f t="shared" si="174"/>
        <v>0</v>
      </c>
      <c r="AT291" s="360">
        <f t="shared" si="175"/>
        <v>0</v>
      </c>
      <c r="AU291" s="43"/>
      <c r="AV291" s="2120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120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78" t="s">
        <v>805</v>
      </c>
      <c r="C292" s="1034"/>
      <c r="D292" s="1034"/>
      <c r="E292" s="1034"/>
      <c r="F292" s="1034"/>
      <c r="G292" s="1034"/>
      <c r="H292" s="1034"/>
      <c r="I292" s="1034"/>
      <c r="J292" s="1034"/>
      <c r="K292" s="1034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25"/>
      <c r="R292" s="324"/>
      <c r="S292" s="27">
        <f t="shared" si="176"/>
        <v>0</v>
      </c>
      <c r="T292" s="30">
        <v>0</v>
      </c>
      <c r="U292" s="51"/>
      <c r="V292" s="541">
        <f>+'NF-KSF-TRIAL-BAL-2021'!O292+'RA-TRIAL-BAL-2021'!O292+'DES-TRIAL-BAL-2021'!O292+'DMP-TRIAL-BAL-2021'!O292</f>
        <v>0</v>
      </c>
      <c r="W292" s="529">
        <f>+'NF-KSF-TRIAL-BAL-2021'!P292+'RA-TRIAL-BAL-2021'!P292+'DES-TRIAL-BAL-2021'!P292+'DMP-TRIAL-BAL-2021'!P292</f>
        <v>0</v>
      </c>
      <c r="X292" s="528">
        <f>+'NF-KSF-TRIAL-BAL-2021'!Q292+'RA-TRIAL-BAL-2021'!Q292+'DES-TRIAL-BAL-2021'!Q292+'DMP-TRIAL-BAL-2021'!Q292</f>
        <v>0</v>
      </c>
      <c r="Y292" s="529">
        <f>+'NF-KSF-TRIAL-BAL-2021'!R292+'RA-TRIAL-BAL-2021'!R292+'DES-TRIAL-BAL-2021'!R292+'DMP-TRIAL-BAL-2021'!R292</f>
        <v>0</v>
      </c>
      <c r="Z292" s="528">
        <f>+'NF-KSF-TRIAL-BAL-2021'!S292+'RA-TRIAL-BAL-2021'!S292+'DES-TRIAL-BAL-2021'!S292+'DMP-TRIAL-BAL-2021'!S292</f>
        <v>0</v>
      </c>
      <c r="AA292" s="347">
        <f>+'NF-KSF-TRIAL-BAL-2021'!T292+'RA-TRIAL-BAL-2021'!T292+'DES-TRIAL-BAL-2021'!T292+'DMP-TRIAL-BAL-2021'!T292</f>
        <v>0</v>
      </c>
      <c r="AB292" s="51"/>
      <c r="AC292" s="120"/>
      <c r="AD292" s="9">
        <v>0</v>
      </c>
      <c r="AE292" s="325"/>
      <c r="AF292" s="324"/>
      <c r="AG292" s="27">
        <f t="shared" si="169"/>
        <v>0</v>
      </c>
      <c r="AH292" s="30">
        <v>0</v>
      </c>
      <c r="AI292" s="51"/>
      <c r="AJ292" s="1497">
        <f t="shared" si="124"/>
        <v>5008</v>
      </c>
      <c r="AK292" s="951">
        <f t="shared" si="170"/>
        <v>0</v>
      </c>
      <c r="AL292" s="9">
        <v>0</v>
      </c>
      <c r="AM292" s="326">
        <f t="shared" si="171"/>
        <v>0</v>
      </c>
      <c r="AN292" s="970">
        <f t="shared" si="171"/>
        <v>0</v>
      </c>
      <c r="AO292" s="326">
        <f t="shared" si="172"/>
        <v>0</v>
      </c>
      <c r="AP292" s="30">
        <v>0</v>
      </c>
      <c r="AQ292" s="43"/>
      <c r="AR292" s="358">
        <f t="shared" si="173"/>
        <v>0</v>
      </c>
      <c r="AS292" s="359">
        <f t="shared" si="174"/>
        <v>0</v>
      </c>
      <c r="AT292" s="360">
        <f t="shared" si="175"/>
        <v>0</v>
      </c>
      <c r="AU292" s="43"/>
      <c r="AV292" s="2120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120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91">
        <v>5009</v>
      </c>
      <c r="B293" s="2292" t="s">
        <v>806</v>
      </c>
      <c r="C293" s="2292"/>
      <c r="D293" s="2292"/>
      <c r="E293" s="2292"/>
      <c r="F293" s="2292"/>
      <c r="G293" s="2292"/>
      <c r="H293" s="2292"/>
      <c r="I293" s="2292"/>
      <c r="J293" s="2292"/>
      <c r="K293" s="2292"/>
      <c r="L293" s="2293"/>
      <c r="M293" s="51" t="s">
        <v>265</v>
      </c>
      <c r="N293" s="2299">
        <f t="shared" si="168"/>
        <v>5009</v>
      </c>
      <c r="O293" s="2294"/>
      <c r="P293" s="2295">
        <v>0</v>
      </c>
      <c r="Q293" s="2296"/>
      <c r="R293" s="2297"/>
      <c r="S293" s="2296">
        <f>+IF($C$8=9900,+IF(ABS(+O293+Q293)&gt;=ABS(P293+R293),+O293-P293+Q293-R293,0),0)</f>
        <v>0</v>
      </c>
      <c r="T293" s="2298">
        <v>0</v>
      </c>
      <c r="U293" s="51"/>
      <c r="V293" s="546">
        <f>+'NF-KSF-TRIAL-BAL-2021'!O293+'RA-TRIAL-BAL-2021'!O293+'DES-TRIAL-BAL-2021'!O293+'DMP-TRIAL-BAL-2021'!O293</f>
        <v>0</v>
      </c>
      <c r="W293" s="536">
        <f>+'NF-KSF-TRIAL-BAL-2021'!P293+'RA-TRIAL-BAL-2021'!P293+'DES-TRIAL-BAL-2021'!P293+'DMP-TRIAL-BAL-2021'!P293</f>
        <v>0</v>
      </c>
      <c r="X293" s="535">
        <f>+'NF-KSF-TRIAL-BAL-2021'!Q293+'RA-TRIAL-BAL-2021'!Q293+'DES-TRIAL-BAL-2021'!Q293+'DMP-TRIAL-BAL-2021'!Q293</f>
        <v>0</v>
      </c>
      <c r="Y293" s="536">
        <f>+'NF-KSF-TRIAL-BAL-2021'!R293+'RA-TRIAL-BAL-2021'!R293+'DES-TRIAL-BAL-2021'!R293+'DMP-TRIAL-BAL-2021'!R293</f>
        <v>0</v>
      </c>
      <c r="Z293" s="535">
        <f>+'NF-KSF-TRIAL-BAL-2021'!S293+'RA-TRIAL-BAL-2021'!S293+'DES-TRIAL-BAL-2021'!S293+'DMP-TRIAL-BAL-2021'!S293</f>
        <v>0</v>
      </c>
      <c r="AA293" s="537">
        <f>+'NF-KSF-TRIAL-BAL-2021'!T293+'RA-TRIAL-BAL-2021'!T293+'DES-TRIAL-BAL-2021'!T293+'DMP-TRIAL-BAL-2021'!T293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29">
        <f t="shared" si="169"/>
        <v>0</v>
      </c>
      <c r="AH293" s="830">
        <v>0</v>
      </c>
      <c r="AI293" s="51"/>
      <c r="AJ293" s="114">
        <f t="shared" si="124"/>
        <v>5009</v>
      </c>
      <c r="AK293" s="833">
        <f t="shared" si="170"/>
        <v>0</v>
      </c>
      <c r="AL293" s="834">
        <v>0</v>
      </c>
      <c r="AM293" s="831">
        <f t="shared" si="171"/>
        <v>0</v>
      </c>
      <c r="AN293" s="832">
        <f t="shared" si="171"/>
        <v>0</v>
      </c>
      <c r="AO293" s="831">
        <f t="shared" si="172"/>
        <v>0</v>
      </c>
      <c r="AP293" s="830">
        <v>0</v>
      </c>
      <c r="AQ293" s="43"/>
      <c r="AR293" s="358">
        <f t="shared" si="173"/>
        <v>0</v>
      </c>
      <c r="AS293" s="359">
        <f t="shared" si="174"/>
        <v>0</v>
      </c>
      <c r="AT293" s="360">
        <f t="shared" si="175"/>
        <v>0</v>
      </c>
      <c r="AU293" s="43"/>
      <c r="AV293" s="2125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125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78" t="s">
        <v>807</v>
      </c>
      <c r="C294" s="1034"/>
      <c r="D294" s="1034"/>
      <c r="E294" s="1034"/>
      <c r="F294" s="1034"/>
      <c r="G294" s="1034"/>
      <c r="H294" s="1034"/>
      <c r="I294" s="1034"/>
      <c r="J294" s="1034"/>
      <c r="K294" s="1034"/>
      <c r="L294" s="90"/>
      <c r="M294" s="51" t="s">
        <v>265</v>
      </c>
      <c r="N294" s="113">
        <f t="shared" si="168"/>
        <v>5011</v>
      </c>
      <c r="O294" s="120"/>
      <c r="P294" s="9">
        <v>0</v>
      </c>
      <c r="Q294" s="325">
        <v>225951.58</v>
      </c>
      <c r="R294" s="324">
        <v>217111.91</v>
      </c>
      <c r="S294" s="27">
        <f t="shared" si="176"/>
        <v>8839.6699999999837</v>
      </c>
      <c r="T294" s="30">
        <v>0</v>
      </c>
      <c r="U294" s="51"/>
      <c r="V294" s="541">
        <f>+'NF-KSF-TRIAL-BAL-2021'!O294+'RA-TRIAL-BAL-2021'!O294+'DES-TRIAL-BAL-2021'!O294+'DMP-TRIAL-BAL-2021'!O294</f>
        <v>0</v>
      </c>
      <c r="W294" s="529">
        <f>+'NF-KSF-TRIAL-BAL-2021'!P294+'RA-TRIAL-BAL-2021'!P294+'DES-TRIAL-BAL-2021'!P294+'DMP-TRIAL-BAL-2021'!P294</f>
        <v>0</v>
      </c>
      <c r="X294" s="528">
        <f>+'NF-KSF-TRIAL-BAL-2021'!Q294+'RA-TRIAL-BAL-2021'!Q294+'DES-TRIAL-BAL-2021'!Q294+'DMP-TRIAL-BAL-2021'!Q294</f>
        <v>0</v>
      </c>
      <c r="Y294" s="529">
        <f>+'NF-KSF-TRIAL-BAL-2021'!R294+'RA-TRIAL-BAL-2021'!R294+'DES-TRIAL-BAL-2021'!R294+'DMP-TRIAL-BAL-2021'!R294</f>
        <v>0</v>
      </c>
      <c r="Z294" s="528">
        <f>+'NF-KSF-TRIAL-BAL-2021'!S294+'RA-TRIAL-BAL-2021'!S294+'DES-TRIAL-BAL-2021'!S294+'DMP-TRIAL-BAL-2021'!S294</f>
        <v>0</v>
      </c>
      <c r="AA294" s="347">
        <f>+'NF-KSF-TRIAL-BAL-2021'!T294+'RA-TRIAL-BAL-2021'!T294+'DES-TRIAL-BAL-2021'!T294+'DMP-TRIAL-BAL-2021'!T294</f>
        <v>0</v>
      </c>
      <c r="AB294" s="51"/>
      <c r="AC294" s="120"/>
      <c r="AD294" s="9">
        <v>0</v>
      </c>
      <c r="AE294" s="325"/>
      <c r="AF294" s="324"/>
      <c r="AG294" s="27">
        <f t="shared" si="169"/>
        <v>0</v>
      </c>
      <c r="AH294" s="30">
        <v>0</v>
      </c>
      <c r="AI294" s="51"/>
      <c r="AJ294" s="1497">
        <f t="shared" si="124"/>
        <v>5011</v>
      </c>
      <c r="AK294" s="951">
        <f t="shared" ref="AK294:AK325" si="177">+ROUND(+O294+V294+AC294,2)</f>
        <v>0</v>
      </c>
      <c r="AL294" s="9">
        <v>0</v>
      </c>
      <c r="AM294" s="326">
        <f t="shared" ref="AM294:AN369" si="178">+ROUND(+Q294+X294+AE294,2)</f>
        <v>225951.58</v>
      </c>
      <c r="AN294" s="970">
        <f t="shared" si="178"/>
        <v>217111.91</v>
      </c>
      <c r="AO294" s="326">
        <f t="shared" si="172"/>
        <v>8839.6699999999837</v>
      </c>
      <c r="AP294" s="30">
        <v>0</v>
      </c>
      <c r="AQ294" s="43"/>
      <c r="AR294" s="358">
        <f t="shared" si="173"/>
        <v>0</v>
      </c>
      <c r="AS294" s="359">
        <f t="shared" si="174"/>
        <v>0</v>
      </c>
      <c r="AT294" s="360">
        <f t="shared" si="175"/>
        <v>0</v>
      </c>
      <c r="AU294" s="43"/>
      <c r="AV294" s="2120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120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78" t="s">
        <v>808</v>
      </c>
      <c r="C295" s="1034"/>
      <c r="D295" s="1034"/>
      <c r="E295" s="1034"/>
      <c r="F295" s="1034"/>
      <c r="G295" s="1034"/>
      <c r="H295" s="1034"/>
      <c r="I295" s="1034"/>
      <c r="J295" s="1034"/>
      <c r="K295" s="1034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25"/>
      <c r="R295" s="324"/>
      <c r="S295" s="27">
        <f t="shared" si="176"/>
        <v>0</v>
      </c>
      <c r="T295" s="30">
        <v>0</v>
      </c>
      <c r="U295" s="51"/>
      <c r="V295" s="541">
        <f>+'NF-KSF-TRIAL-BAL-2021'!O295+'RA-TRIAL-BAL-2021'!O295+'DES-TRIAL-BAL-2021'!O295+'DMP-TRIAL-BAL-2021'!O295</f>
        <v>0</v>
      </c>
      <c r="W295" s="529">
        <f>+'NF-KSF-TRIAL-BAL-2021'!P295+'RA-TRIAL-BAL-2021'!P295+'DES-TRIAL-BAL-2021'!P295+'DMP-TRIAL-BAL-2021'!P295</f>
        <v>0</v>
      </c>
      <c r="X295" s="528">
        <f>+'NF-KSF-TRIAL-BAL-2021'!Q295+'RA-TRIAL-BAL-2021'!Q295+'DES-TRIAL-BAL-2021'!Q295+'DMP-TRIAL-BAL-2021'!Q295</f>
        <v>0</v>
      </c>
      <c r="Y295" s="529">
        <f>+'NF-KSF-TRIAL-BAL-2021'!R295+'RA-TRIAL-BAL-2021'!R295+'DES-TRIAL-BAL-2021'!R295+'DMP-TRIAL-BAL-2021'!R295</f>
        <v>0</v>
      </c>
      <c r="Z295" s="528">
        <f>+'NF-KSF-TRIAL-BAL-2021'!S295+'RA-TRIAL-BAL-2021'!S295+'DES-TRIAL-BAL-2021'!S295+'DMP-TRIAL-BAL-2021'!S295</f>
        <v>0</v>
      </c>
      <c r="AA295" s="347">
        <f>+'NF-KSF-TRIAL-BAL-2021'!T295+'RA-TRIAL-BAL-2021'!T295+'DES-TRIAL-BAL-2021'!T295+'DMP-TRIAL-BAL-2021'!T295</f>
        <v>0</v>
      </c>
      <c r="AB295" s="51"/>
      <c r="AC295" s="120"/>
      <c r="AD295" s="9">
        <v>0</v>
      </c>
      <c r="AE295" s="325"/>
      <c r="AF295" s="324"/>
      <c r="AG295" s="27">
        <f t="shared" si="169"/>
        <v>0</v>
      </c>
      <c r="AH295" s="30">
        <v>0</v>
      </c>
      <c r="AI295" s="51"/>
      <c r="AJ295" s="1497">
        <f t="shared" si="124"/>
        <v>5012</v>
      </c>
      <c r="AK295" s="951">
        <f t="shared" si="177"/>
        <v>0</v>
      </c>
      <c r="AL295" s="9">
        <v>0</v>
      </c>
      <c r="AM295" s="326">
        <f t="shared" si="178"/>
        <v>0</v>
      </c>
      <c r="AN295" s="970">
        <f t="shared" si="178"/>
        <v>0</v>
      </c>
      <c r="AO295" s="326">
        <f t="shared" si="172"/>
        <v>0</v>
      </c>
      <c r="AP295" s="30">
        <v>0</v>
      </c>
      <c r="AQ295" s="43"/>
      <c r="AR295" s="358">
        <f t="shared" si="173"/>
        <v>0</v>
      </c>
      <c r="AS295" s="359">
        <f t="shared" si="174"/>
        <v>0</v>
      </c>
      <c r="AT295" s="360">
        <f t="shared" si="175"/>
        <v>0</v>
      </c>
      <c r="AU295" s="43"/>
      <c r="AV295" s="2120">
        <f t="shared" si="179"/>
        <v>0</v>
      </c>
      <c r="AW295" s="119"/>
      <c r="AX295" s="2120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78" t="s">
        <v>986</v>
      </c>
      <c r="C296" s="1034"/>
      <c r="D296" s="1034"/>
      <c r="E296" s="1034"/>
      <c r="F296" s="1034"/>
      <c r="G296" s="1034"/>
      <c r="H296" s="1034"/>
      <c r="I296" s="1034"/>
      <c r="J296" s="1034"/>
      <c r="K296" s="1034"/>
      <c r="L296" s="90"/>
      <c r="M296" s="51" t="s">
        <v>265</v>
      </c>
      <c r="N296" s="113">
        <f t="shared" si="168"/>
        <v>5013</v>
      </c>
      <c r="O296" s="120">
        <v>2699459.54</v>
      </c>
      <c r="P296" s="9">
        <v>0</v>
      </c>
      <c r="Q296" s="325">
        <v>13511718.609999999</v>
      </c>
      <c r="R296" s="324">
        <v>13814716.25</v>
      </c>
      <c r="S296" s="27">
        <f t="shared" si="176"/>
        <v>2396461.8999999985</v>
      </c>
      <c r="T296" s="30">
        <v>0</v>
      </c>
      <c r="U296" s="51"/>
      <c r="V296" s="541">
        <f>+'NF-KSF-TRIAL-BAL-2021'!O296+'RA-TRIAL-BAL-2021'!O296+'DES-TRIAL-BAL-2021'!O296+'DMP-TRIAL-BAL-2021'!O296</f>
        <v>92989.67</v>
      </c>
      <c r="W296" s="529">
        <f>+'NF-KSF-TRIAL-BAL-2021'!P296+'RA-TRIAL-BAL-2021'!P296+'DES-TRIAL-BAL-2021'!P296+'DMP-TRIAL-BAL-2021'!P296</f>
        <v>0</v>
      </c>
      <c r="X296" s="528">
        <f>+'NF-KSF-TRIAL-BAL-2021'!Q296+'RA-TRIAL-BAL-2021'!Q296+'DES-TRIAL-BAL-2021'!Q296+'DMP-TRIAL-BAL-2021'!Q296</f>
        <v>2256959.62</v>
      </c>
      <c r="Y296" s="529">
        <f>+'NF-KSF-TRIAL-BAL-2021'!R296+'RA-TRIAL-BAL-2021'!R296+'DES-TRIAL-BAL-2021'!R296+'DMP-TRIAL-BAL-2021'!R296</f>
        <v>1966720.96</v>
      </c>
      <c r="Z296" s="528">
        <f>+'NF-KSF-TRIAL-BAL-2021'!S296+'RA-TRIAL-BAL-2021'!S296+'DES-TRIAL-BAL-2021'!S296+'DMP-TRIAL-BAL-2021'!S296</f>
        <v>383228.32999999996</v>
      </c>
      <c r="AA296" s="347">
        <f>+'NF-KSF-TRIAL-BAL-2021'!T296+'RA-TRIAL-BAL-2021'!T296+'DES-TRIAL-BAL-2021'!T296+'DMP-TRIAL-BAL-2021'!T296</f>
        <v>0</v>
      </c>
      <c r="AB296" s="51"/>
      <c r="AC296" s="120">
        <v>593067.97</v>
      </c>
      <c r="AD296" s="9">
        <v>0</v>
      </c>
      <c r="AE296" s="122">
        <v>39612.699999999997</v>
      </c>
      <c r="AF296" s="324">
        <v>246916.29</v>
      </c>
      <c r="AG296" s="27">
        <f t="shared" si="169"/>
        <v>385764.37999999989</v>
      </c>
      <c r="AH296" s="30">
        <v>0</v>
      </c>
      <c r="AI296" s="51"/>
      <c r="AJ296" s="1497">
        <f t="shared" si="124"/>
        <v>5013</v>
      </c>
      <c r="AK296" s="951">
        <f t="shared" si="177"/>
        <v>3385517.18</v>
      </c>
      <c r="AL296" s="9">
        <v>0</v>
      </c>
      <c r="AM296" s="326">
        <f t="shared" si="178"/>
        <v>15808290.93</v>
      </c>
      <c r="AN296" s="970">
        <f t="shared" si="178"/>
        <v>16028353.5</v>
      </c>
      <c r="AO296" s="326">
        <f t="shared" si="172"/>
        <v>3165454.6099999985</v>
      </c>
      <c r="AP296" s="30">
        <v>0</v>
      </c>
      <c r="AQ296" s="43"/>
      <c r="AR296" s="358">
        <f t="shared" si="173"/>
        <v>0</v>
      </c>
      <c r="AS296" s="359">
        <f t="shared" si="174"/>
        <v>0</v>
      </c>
      <c r="AT296" s="360">
        <f t="shared" si="175"/>
        <v>0</v>
      </c>
      <c r="AU296" s="43"/>
      <c r="AV296" s="2120">
        <f t="shared" si="179"/>
        <v>0</v>
      </c>
      <c r="AW296" s="119"/>
      <c r="AX296" s="2120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78" t="s">
        <v>987</v>
      </c>
      <c r="C297" s="1034"/>
      <c r="D297" s="1034"/>
      <c r="E297" s="1034"/>
      <c r="F297" s="1034"/>
      <c r="G297" s="1034"/>
      <c r="H297" s="1034"/>
      <c r="I297" s="1034"/>
      <c r="J297" s="1034"/>
      <c r="K297" s="1034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25"/>
      <c r="R297" s="324"/>
      <c r="S297" s="27">
        <f t="shared" si="176"/>
        <v>0</v>
      </c>
      <c r="T297" s="30">
        <v>0</v>
      </c>
      <c r="U297" s="51"/>
      <c r="V297" s="541">
        <f>+'NF-KSF-TRIAL-BAL-2021'!O297+'RA-TRIAL-BAL-2021'!O297+'DES-TRIAL-BAL-2021'!O297+'DMP-TRIAL-BAL-2021'!O297</f>
        <v>0</v>
      </c>
      <c r="W297" s="529">
        <f>+'NF-KSF-TRIAL-BAL-2021'!P297+'RA-TRIAL-BAL-2021'!P297+'DES-TRIAL-BAL-2021'!P297+'DMP-TRIAL-BAL-2021'!P297</f>
        <v>0</v>
      </c>
      <c r="X297" s="528">
        <f>+'NF-KSF-TRIAL-BAL-2021'!Q297+'RA-TRIAL-BAL-2021'!Q297+'DES-TRIAL-BAL-2021'!Q297+'DMP-TRIAL-BAL-2021'!Q297</f>
        <v>0</v>
      </c>
      <c r="Y297" s="529">
        <f>+'NF-KSF-TRIAL-BAL-2021'!R297+'RA-TRIAL-BAL-2021'!R297+'DES-TRIAL-BAL-2021'!R297+'DMP-TRIAL-BAL-2021'!R297</f>
        <v>0</v>
      </c>
      <c r="Z297" s="528">
        <f>+'NF-KSF-TRIAL-BAL-2021'!S297+'RA-TRIAL-BAL-2021'!S297+'DES-TRIAL-BAL-2021'!S297+'DMP-TRIAL-BAL-2021'!S297</f>
        <v>0</v>
      </c>
      <c r="AA297" s="347">
        <f>+'NF-KSF-TRIAL-BAL-2021'!T297+'RA-TRIAL-BAL-2021'!T297+'DES-TRIAL-BAL-2021'!T297+'DMP-TRIAL-BAL-2021'!T297</f>
        <v>0</v>
      </c>
      <c r="AB297" s="51"/>
      <c r="AC297" s="120"/>
      <c r="AD297" s="9">
        <v>0</v>
      </c>
      <c r="AE297" s="122"/>
      <c r="AF297" s="324"/>
      <c r="AG297" s="27">
        <f t="shared" si="169"/>
        <v>0</v>
      </c>
      <c r="AH297" s="30">
        <v>0</v>
      </c>
      <c r="AI297" s="51"/>
      <c r="AJ297" s="1497">
        <f t="shared" si="124"/>
        <v>5014</v>
      </c>
      <c r="AK297" s="951">
        <f t="shared" si="177"/>
        <v>0</v>
      </c>
      <c r="AL297" s="9">
        <v>0</v>
      </c>
      <c r="AM297" s="326">
        <f t="shared" si="178"/>
        <v>0</v>
      </c>
      <c r="AN297" s="970">
        <f t="shared" si="178"/>
        <v>0</v>
      </c>
      <c r="AO297" s="326">
        <f t="shared" si="172"/>
        <v>0</v>
      </c>
      <c r="AP297" s="30">
        <v>0</v>
      </c>
      <c r="AQ297" s="43"/>
      <c r="AR297" s="358">
        <f t="shared" si="173"/>
        <v>0</v>
      </c>
      <c r="AS297" s="359">
        <f t="shared" si="174"/>
        <v>0</v>
      </c>
      <c r="AT297" s="360">
        <f t="shared" si="175"/>
        <v>0</v>
      </c>
      <c r="AU297" s="43"/>
      <c r="AV297" s="2120">
        <f t="shared" si="179"/>
        <v>0</v>
      </c>
      <c r="AW297" s="119"/>
      <c r="AX297" s="2120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78" t="s">
        <v>988</v>
      </c>
      <c r="C298" s="1034"/>
      <c r="D298" s="1034"/>
      <c r="E298" s="1034"/>
      <c r="F298" s="1034"/>
      <c r="G298" s="1034"/>
      <c r="H298" s="1034"/>
      <c r="I298" s="1034"/>
      <c r="J298" s="1034"/>
      <c r="K298" s="1034"/>
      <c r="L298" s="90"/>
      <c r="M298" s="51" t="s">
        <v>265</v>
      </c>
      <c r="N298" s="113">
        <f t="shared" si="168"/>
        <v>5015</v>
      </c>
      <c r="O298" s="120"/>
      <c r="P298" s="9">
        <v>0</v>
      </c>
      <c r="Q298" s="325"/>
      <c r="R298" s="324"/>
      <c r="S298" s="27">
        <f t="shared" si="176"/>
        <v>0</v>
      </c>
      <c r="T298" s="30">
        <v>0</v>
      </c>
      <c r="U298" s="51"/>
      <c r="V298" s="541">
        <f>+'NF-KSF-TRIAL-BAL-2021'!O298+'RA-TRIAL-BAL-2021'!O298+'DES-TRIAL-BAL-2021'!O298+'DMP-TRIAL-BAL-2021'!O298</f>
        <v>0</v>
      </c>
      <c r="W298" s="529">
        <f>+'NF-KSF-TRIAL-BAL-2021'!P298+'RA-TRIAL-BAL-2021'!P298+'DES-TRIAL-BAL-2021'!P298+'DMP-TRIAL-BAL-2021'!P298</f>
        <v>0</v>
      </c>
      <c r="X298" s="528">
        <f>+'NF-KSF-TRIAL-BAL-2021'!Q298+'RA-TRIAL-BAL-2021'!Q298+'DES-TRIAL-BAL-2021'!Q298+'DMP-TRIAL-BAL-2021'!Q298</f>
        <v>0</v>
      </c>
      <c r="Y298" s="529">
        <f>+'NF-KSF-TRIAL-BAL-2021'!R298+'RA-TRIAL-BAL-2021'!R298+'DES-TRIAL-BAL-2021'!R298+'DMP-TRIAL-BAL-2021'!R298</f>
        <v>0</v>
      </c>
      <c r="Z298" s="528">
        <f>+'NF-KSF-TRIAL-BAL-2021'!S298+'RA-TRIAL-BAL-2021'!S298+'DES-TRIAL-BAL-2021'!S298+'DMP-TRIAL-BAL-2021'!S298</f>
        <v>0</v>
      </c>
      <c r="AA298" s="347">
        <f>+'NF-KSF-TRIAL-BAL-2021'!T298+'RA-TRIAL-BAL-2021'!T298+'DES-TRIAL-BAL-2021'!T298+'DMP-TRIAL-BAL-2021'!T298</f>
        <v>0</v>
      </c>
      <c r="AB298" s="51"/>
      <c r="AC298" s="120"/>
      <c r="AD298" s="9">
        <v>0</v>
      </c>
      <c r="AE298" s="325"/>
      <c r="AF298" s="324"/>
      <c r="AG298" s="27">
        <f t="shared" si="169"/>
        <v>0</v>
      </c>
      <c r="AH298" s="30">
        <v>0</v>
      </c>
      <c r="AI298" s="51"/>
      <c r="AJ298" s="1497">
        <f t="shared" si="124"/>
        <v>5015</v>
      </c>
      <c r="AK298" s="951">
        <f t="shared" si="177"/>
        <v>0</v>
      </c>
      <c r="AL298" s="9">
        <v>0</v>
      </c>
      <c r="AM298" s="326">
        <f t="shared" si="178"/>
        <v>0</v>
      </c>
      <c r="AN298" s="970">
        <f t="shared" si="178"/>
        <v>0</v>
      </c>
      <c r="AO298" s="326">
        <f t="shared" si="172"/>
        <v>0</v>
      </c>
      <c r="AP298" s="30">
        <v>0</v>
      </c>
      <c r="AQ298" s="43"/>
      <c r="AR298" s="358">
        <f t="shared" si="173"/>
        <v>0</v>
      </c>
      <c r="AS298" s="359">
        <f t="shared" si="174"/>
        <v>0</v>
      </c>
      <c r="AT298" s="360">
        <f t="shared" si="175"/>
        <v>0</v>
      </c>
      <c r="AU298" s="43"/>
      <c r="AV298" s="2120">
        <f t="shared" si="179"/>
        <v>0</v>
      </c>
      <c r="AW298" s="119"/>
      <c r="AX298" s="2120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78" t="s">
        <v>989</v>
      </c>
      <c r="C299" s="1034"/>
      <c r="D299" s="1034"/>
      <c r="E299" s="1034"/>
      <c r="F299" s="1034"/>
      <c r="G299" s="1034"/>
      <c r="H299" s="1034"/>
      <c r="I299" s="1034"/>
      <c r="J299" s="1034"/>
      <c r="K299" s="1034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25"/>
      <c r="R299" s="324"/>
      <c r="S299" s="27">
        <f t="shared" si="176"/>
        <v>0</v>
      </c>
      <c r="T299" s="30">
        <v>0</v>
      </c>
      <c r="U299" s="51"/>
      <c r="V299" s="541">
        <f>+'NF-KSF-TRIAL-BAL-2021'!O299+'RA-TRIAL-BAL-2021'!O299+'DES-TRIAL-BAL-2021'!O299+'DMP-TRIAL-BAL-2021'!O299</f>
        <v>0</v>
      </c>
      <c r="W299" s="529">
        <f>+'NF-KSF-TRIAL-BAL-2021'!P299+'RA-TRIAL-BAL-2021'!P299+'DES-TRIAL-BAL-2021'!P299+'DMP-TRIAL-BAL-2021'!P299</f>
        <v>0</v>
      </c>
      <c r="X299" s="528">
        <f>+'NF-KSF-TRIAL-BAL-2021'!Q299+'RA-TRIAL-BAL-2021'!Q299+'DES-TRIAL-BAL-2021'!Q299+'DMP-TRIAL-BAL-2021'!Q299</f>
        <v>0</v>
      </c>
      <c r="Y299" s="529">
        <f>+'NF-KSF-TRIAL-BAL-2021'!R299+'RA-TRIAL-BAL-2021'!R299+'DES-TRIAL-BAL-2021'!R299+'DMP-TRIAL-BAL-2021'!R299</f>
        <v>0</v>
      </c>
      <c r="Z299" s="528">
        <f>+'NF-KSF-TRIAL-BAL-2021'!S299+'RA-TRIAL-BAL-2021'!S299+'DES-TRIAL-BAL-2021'!S299+'DMP-TRIAL-BAL-2021'!S299</f>
        <v>0</v>
      </c>
      <c r="AA299" s="347">
        <f>+'NF-KSF-TRIAL-BAL-2021'!T299+'RA-TRIAL-BAL-2021'!T299+'DES-TRIAL-BAL-2021'!T299+'DMP-TRIAL-BAL-2021'!T299</f>
        <v>0</v>
      </c>
      <c r="AB299" s="51"/>
      <c r="AC299" s="120"/>
      <c r="AD299" s="9">
        <v>0</v>
      </c>
      <c r="AE299" s="325"/>
      <c r="AF299" s="324"/>
      <c r="AG299" s="27">
        <f t="shared" si="169"/>
        <v>0</v>
      </c>
      <c r="AH299" s="30">
        <v>0</v>
      </c>
      <c r="AI299" s="51"/>
      <c r="AJ299" s="1497">
        <f t="shared" si="124"/>
        <v>5016</v>
      </c>
      <c r="AK299" s="951">
        <f t="shared" si="177"/>
        <v>0</v>
      </c>
      <c r="AL299" s="9">
        <v>0</v>
      </c>
      <c r="AM299" s="326">
        <f t="shared" si="178"/>
        <v>0</v>
      </c>
      <c r="AN299" s="970">
        <f t="shared" si="178"/>
        <v>0</v>
      </c>
      <c r="AO299" s="326">
        <f t="shared" si="172"/>
        <v>0</v>
      </c>
      <c r="AP299" s="30">
        <v>0</v>
      </c>
      <c r="AQ299" s="43"/>
      <c r="AR299" s="358">
        <f t="shared" si="173"/>
        <v>0</v>
      </c>
      <c r="AS299" s="359">
        <f t="shared" si="174"/>
        <v>0</v>
      </c>
      <c r="AT299" s="360">
        <f t="shared" si="175"/>
        <v>0</v>
      </c>
      <c r="AU299" s="43"/>
      <c r="AV299" s="2120">
        <f t="shared" si="179"/>
        <v>0</v>
      </c>
      <c r="AW299" s="119"/>
      <c r="AX299" s="2120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78" t="s">
        <v>990</v>
      </c>
      <c r="C300" s="1034"/>
      <c r="D300" s="1034"/>
      <c r="E300" s="1034"/>
      <c r="F300" s="1034"/>
      <c r="G300" s="1034"/>
      <c r="H300" s="1034"/>
      <c r="I300" s="1034"/>
      <c r="J300" s="1034"/>
      <c r="K300" s="1034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25"/>
      <c r="R300" s="324"/>
      <c r="S300" s="27">
        <f t="shared" si="176"/>
        <v>0</v>
      </c>
      <c r="T300" s="30">
        <v>0</v>
      </c>
      <c r="U300" s="51"/>
      <c r="V300" s="541">
        <f>+'NF-KSF-TRIAL-BAL-2021'!O300+'RA-TRIAL-BAL-2021'!O300+'DES-TRIAL-BAL-2021'!O300+'DMP-TRIAL-BAL-2021'!O300</f>
        <v>0</v>
      </c>
      <c r="W300" s="529">
        <f>+'NF-KSF-TRIAL-BAL-2021'!P300+'RA-TRIAL-BAL-2021'!P300+'DES-TRIAL-BAL-2021'!P300+'DMP-TRIAL-BAL-2021'!P300</f>
        <v>0</v>
      </c>
      <c r="X300" s="528">
        <f>+'NF-KSF-TRIAL-BAL-2021'!Q300+'RA-TRIAL-BAL-2021'!Q300+'DES-TRIAL-BAL-2021'!Q300+'DMP-TRIAL-BAL-2021'!Q300</f>
        <v>0</v>
      </c>
      <c r="Y300" s="529">
        <f>+'NF-KSF-TRIAL-BAL-2021'!R300+'RA-TRIAL-BAL-2021'!R300+'DES-TRIAL-BAL-2021'!R300+'DMP-TRIAL-BAL-2021'!R300</f>
        <v>0</v>
      </c>
      <c r="Z300" s="528">
        <f>+'NF-KSF-TRIAL-BAL-2021'!S300+'RA-TRIAL-BAL-2021'!S300+'DES-TRIAL-BAL-2021'!S300+'DMP-TRIAL-BAL-2021'!S300</f>
        <v>0</v>
      </c>
      <c r="AA300" s="347">
        <f>+'NF-KSF-TRIAL-BAL-2021'!T300+'RA-TRIAL-BAL-2021'!T300+'DES-TRIAL-BAL-2021'!T300+'DMP-TRIAL-BAL-2021'!T300</f>
        <v>0</v>
      </c>
      <c r="AB300" s="51"/>
      <c r="AC300" s="120"/>
      <c r="AD300" s="9">
        <v>0</v>
      </c>
      <c r="AE300" s="325"/>
      <c r="AF300" s="324"/>
      <c r="AG300" s="27">
        <f t="shared" si="169"/>
        <v>0</v>
      </c>
      <c r="AH300" s="30">
        <v>0</v>
      </c>
      <c r="AI300" s="51"/>
      <c r="AJ300" s="1497">
        <f t="shared" si="124"/>
        <v>5017</v>
      </c>
      <c r="AK300" s="951">
        <f t="shared" si="177"/>
        <v>0</v>
      </c>
      <c r="AL300" s="9">
        <v>0</v>
      </c>
      <c r="AM300" s="326">
        <f t="shared" si="178"/>
        <v>0</v>
      </c>
      <c r="AN300" s="970">
        <f t="shared" si="178"/>
        <v>0</v>
      </c>
      <c r="AO300" s="326">
        <f t="shared" si="172"/>
        <v>0</v>
      </c>
      <c r="AP300" s="30">
        <v>0</v>
      </c>
      <c r="AQ300" s="43"/>
      <c r="AR300" s="358">
        <f t="shared" si="173"/>
        <v>0</v>
      </c>
      <c r="AS300" s="359">
        <f t="shared" si="174"/>
        <v>0</v>
      </c>
      <c r="AT300" s="360">
        <f t="shared" si="175"/>
        <v>0</v>
      </c>
      <c r="AU300" s="43"/>
      <c r="AV300" s="2120">
        <f t="shared" si="179"/>
        <v>0</v>
      </c>
      <c r="AW300" s="119"/>
      <c r="AX300" s="2120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78" t="s">
        <v>991</v>
      </c>
      <c r="C301" s="1034"/>
      <c r="D301" s="1034"/>
      <c r="E301" s="1034"/>
      <c r="F301" s="1034"/>
      <c r="G301" s="1034"/>
      <c r="H301" s="1034"/>
      <c r="I301" s="1034"/>
      <c r="J301" s="1034"/>
      <c r="K301" s="1034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25"/>
      <c r="R301" s="324"/>
      <c r="S301" s="27">
        <f t="shared" si="176"/>
        <v>0</v>
      </c>
      <c r="T301" s="30">
        <v>0</v>
      </c>
      <c r="U301" s="51"/>
      <c r="V301" s="541">
        <f>+'NF-KSF-TRIAL-BAL-2021'!O301+'RA-TRIAL-BAL-2021'!O301+'DES-TRIAL-BAL-2021'!O301+'DMP-TRIAL-BAL-2021'!O301</f>
        <v>0</v>
      </c>
      <c r="W301" s="529">
        <f>+'NF-KSF-TRIAL-BAL-2021'!P301+'RA-TRIAL-BAL-2021'!P301+'DES-TRIAL-BAL-2021'!P301+'DMP-TRIAL-BAL-2021'!P301</f>
        <v>0</v>
      </c>
      <c r="X301" s="528">
        <f>+'NF-KSF-TRIAL-BAL-2021'!Q301+'RA-TRIAL-BAL-2021'!Q301+'DES-TRIAL-BAL-2021'!Q301+'DMP-TRIAL-BAL-2021'!Q301</f>
        <v>0</v>
      </c>
      <c r="Y301" s="529">
        <f>+'NF-KSF-TRIAL-BAL-2021'!R301+'RA-TRIAL-BAL-2021'!R301+'DES-TRIAL-BAL-2021'!R301+'DMP-TRIAL-BAL-2021'!R301</f>
        <v>0</v>
      </c>
      <c r="Z301" s="528">
        <f>+'NF-KSF-TRIAL-BAL-2021'!S301+'RA-TRIAL-BAL-2021'!S301+'DES-TRIAL-BAL-2021'!S301+'DMP-TRIAL-BAL-2021'!S301</f>
        <v>0</v>
      </c>
      <c r="AA301" s="347">
        <f>+'NF-KSF-TRIAL-BAL-2021'!T301+'RA-TRIAL-BAL-2021'!T301+'DES-TRIAL-BAL-2021'!T301+'DMP-TRIAL-BAL-2021'!T301</f>
        <v>0</v>
      </c>
      <c r="AB301" s="51"/>
      <c r="AC301" s="120"/>
      <c r="AD301" s="9">
        <v>0</v>
      </c>
      <c r="AE301" s="122"/>
      <c r="AF301" s="324"/>
      <c r="AG301" s="27">
        <f t="shared" si="169"/>
        <v>0</v>
      </c>
      <c r="AH301" s="30">
        <v>0</v>
      </c>
      <c r="AI301" s="51"/>
      <c r="AJ301" s="1497">
        <f t="shared" si="124"/>
        <v>5018</v>
      </c>
      <c r="AK301" s="951">
        <f t="shared" si="177"/>
        <v>0</v>
      </c>
      <c r="AL301" s="9">
        <v>0</v>
      </c>
      <c r="AM301" s="326">
        <f t="shared" si="178"/>
        <v>0</v>
      </c>
      <c r="AN301" s="970">
        <f t="shared" si="178"/>
        <v>0</v>
      </c>
      <c r="AO301" s="326">
        <f t="shared" si="172"/>
        <v>0</v>
      </c>
      <c r="AP301" s="30">
        <v>0</v>
      </c>
      <c r="AQ301" s="43"/>
      <c r="AR301" s="358">
        <f t="shared" si="173"/>
        <v>0</v>
      </c>
      <c r="AS301" s="359">
        <f t="shared" si="174"/>
        <v>0</v>
      </c>
      <c r="AT301" s="360">
        <f t="shared" si="175"/>
        <v>0</v>
      </c>
      <c r="AU301" s="43"/>
      <c r="AV301" s="2120">
        <f t="shared" si="179"/>
        <v>0</v>
      </c>
      <c r="AW301" s="119"/>
      <c r="AX301" s="2120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78" t="s">
        <v>992</v>
      </c>
      <c r="C302" s="1034"/>
      <c r="D302" s="1034"/>
      <c r="E302" s="1034"/>
      <c r="F302" s="1034"/>
      <c r="G302" s="1034"/>
      <c r="H302" s="1034"/>
      <c r="I302" s="1034"/>
      <c r="J302" s="1034"/>
      <c r="K302" s="1034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25"/>
      <c r="R302" s="324"/>
      <c r="S302" s="27">
        <f t="shared" si="176"/>
        <v>0</v>
      </c>
      <c r="T302" s="30">
        <v>0</v>
      </c>
      <c r="U302" s="51"/>
      <c r="V302" s="541">
        <f>+'NF-KSF-TRIAL-BAL-2021'!O302+'RA-TRIAL-BAL-2021'!O302+'DES-TRIAL-BAL-2021'!O302+'DMP-TRIAL-BAL-2021'!O302</f>
        <v>0</v>
      </c>
      <c r="W302" s="529">
        <f>+'NF-KSF-TRIAL-BAL-2021'!P302+'RA-TRIAL-BAL-2021'!P302+'DES-TRIAL-BAL-2021'!P302+'DMP-TRIAL-BAL-2021'!P302</f>
        <v>0</v>
      </c>
      <c r="X302" s="528">
        <f>+'NF-KSF-TRIAL-BAL-2021'!Q302+'RA-TRIAL-BAL-2021'!Q302+'DES-TRIAL-BAL-2021'!Q302+'DMP-TRIAL-BAL-2021'!Q302</f>
        <v>0</v>
      </c>
      <c r="Y302" s="529">
        <f>+'NF-KSF-TRIAL-BAL-2021'!R302+'RA-TRIAL-BAL-2021'!R302+'DES-TRIAL-BAL-2021'!R302+'DMP-TRIAL-BAL-2021'!R302</f>
        <v>0</v>
      </c>
      <c r="Z302" s="528">
        <f>+'NF-KSF-TRIAL-BAL-2021'!S302+'RA-TRIAL-BAL-2021'!S302+'DES-TRIAL-BAL-2021'!S302+'DMP-TRIAL-BAL-2021'!S302</f>
        <v>0</v>
      </c>
      <c r="AA302" s="347">
        <f>+'NF-KSF-TRIAL-BAL-2021'!T302+'RA-TRIAL-BAL-2021'!T302+'DES-TRIAL-BAL-2021'!T302+'DMP-TRIAL-BAL-2021'!T302</f>
        <v>0</v>
      </c>
      <c r="AB302" s="51"/>
      <c r="AC302" s="120"/>
      <c r="AD302" s="9">
        <v>0</v>
      </c>
      <c r="AE302" s="122"/>
      <c r="AF302" s="324"/>
      <c r="AG302" s="27">
        <f t="shared" si="169"/>
        <v>0</v>
      </c>
      <c r="AH302" s="30">
        <v>0</v>
      </c>
      <c r="AI302" s="51"/>
      <c r="AJ302" s="1497">
        <f t="shared" si="124"/>
        <v>5022</v>
      </c>
      <c r="AK302" s="951">
        <f t="shared" si="177"/>
        <v>0</v>
      </c>
      <c r="AL302" s="9">
        <v>0</v>
      </c>
      <c r="AM302" s="326">
        <f t="shared" si="178"/>
        <v>0</v>
      </c>
      <c r="AN302" s="970">
        <f t="shared" si="178"/>
        <v>0</v>
      </c>
      <c r="AO302" s="326">
        <f t="shared" si="172"/>
        <v>0</v>
      </c>
      <c r="AP302" s="30">
        <v>0</v>
      </c>
      <c r="AQ302" s="43"/>
      <c r="AR302" s="358">
        <f t="shared" si="173"/>
        <v>0</v>
      </c>
      <c r="AS302" s="359">
        <f t="shared" si="174"/>
        <v>0</v>
      </c>
      <c r="AT302" s="360">
        <f t="shared" si="175"/>
        <v>0</v>
      </c>
      <c r="AU302" s="43"/>
      <c r="AV302" s="2120">
        <f t="shared" si="179"/>
        <v>0</v>
      </c>
      <c r="AW302" s="119"/>
      <c r="AX302" s="2120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78" t="s">
        <v>993</v>
      </c>
      <c r="C303" s="1034"/>
      <c r="D303" s="1034"/>
      <c r="E303" s="1034"/>
      <c r="F303" s="1034"/>
      <c r="G303" s="1034"/>
      <c r="H303" s="1034"/>
      <c r="I303" s="1034"/>
      <c r="J303" s="1034"/>
      <c r="K303" s="1034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25"/>
      <c r="R303" s="324"/>
      <c r="S303" s="27">
        <f t="shared" si="176"/>
        <v>0</v>
      </c>
      <c r="T303" s="30">
        <v>0</v>
      </c>
      <c r="U303" s="51"/>
      <c r="V303" s="541">
        <f>+'NF-KSF-TRIAL-BAL-2021'!O303+'RA-TRIAL-BAL-2021'!O303+'DES-TRIAL-BAL-2021'!O303+'DMP-TRIAL-BAL-2021'!O303</f>
        <v>0</v>
      </c>
      <c r="W303" s="529">
        <f>+'NF-KSF-TRIAL-BAL-2021'!P303+'RA-TRIAL-BAL-2021'!P303+'DES-TRIAL-BAL-2021'!P303+'DMP-TRIAL-BAL-2021'!P303</f>
        <v>0</v>
      </c>
      <c r="X303" s="528">
        <f>+'NF-KSF-TRIAL-BAL-2021'!Q303+'RA-TRIAL-BAL-2021'!Q303+'DES-TRIAL-BAL-2021'!Q303+'DMP-TRIAL-BAL-2021'!Q303</f>
        <v>0</v>
      </c>
      <c r="Y303" s="529">
        <f>+'NF-KSF-TRIAL-BAL-2021'!R303+'RA-TRIAL-BAL-2021'!R303+'DES-TRIAL-BAL-2021'!R303+'DMP-TRIAL-BAL-2021'!R303</f>
        <v>0</v>
      </c>
      <c r="Z303" s="528">
        <f>+'NF-KSF-TRIAL-BAL-2021'!S303+'RA-TRIAL-BAL-2021'!S303+'DES-TRIAL-BAL-2021'!S303+'DMP-TRIAL-BAL-2021'!S303</f>
        <v>0</v>
      </c>
      <c r="AA303" s="347">
        <f>+'NF-KSF-TRIAL-BAL-2021'!T303+'RA-TRIAL-BAL-2021'!T303+'DES-TRIAL-BAL-2021'!T303+'DMP-TRIAL-BAL-2021'!T303</f>
        <v>0</v>
      </c>
      <c r="AB303" s="51"/>
      <c r="AC303" s="120"/>
      <c r="AD303" s="9">
        <v>0</v>
      </c>
      <c r="AE303" s="325"/>
      <c r="AF303" s="324"/>
      <c r="AG303" s="27">
        <f t="shared" si="169"/>
        <v>0</v>
      </c>
      <c r="AH303" s="30">
        <v>0</v>
      </c>
      <c r="AI303" s="51"/>
      <c r="AJ303" s="1497">
        <f t="shared" si="124"/>
        <v>5024</v>
      </c>
      <c r="AK303" s="951">
        <f t="shared" si="177"/>
        <v>0</v>
      </c>
      <c r="AL303" s="9">
        <v>0</v>
      </c>
      <c r="AM303" s="326">
        <f t="shared" si="178"/>
        <v>0</v>
      </c>
      <c r="AN303" s="970">
        <f t="shared" si="178"/>
        <v>0</v>
      </c>
      <c r="AO303" s="326">
        <f t="shared" si="172"/>
        <v>0</v>
      </c>
      <c r="AP303" s="30">
        <v>0</v>
      </c>
      <c r="AQ303" s="43"/>
      <c r="AR303" s="358">
        <f t="shared" si="173"/>
        <v>0</v>
      </c>
      <c r="AS303" s="359">
        <f t="shared" si="174"/>
        <v>0</v>
      </c>
      <c r="AT303" s="360">
        <f t="shared" si="175"/>
        <v>0</v>
      </c>
      <c r="AU303" s="43"/>
      <c r="AV303" s="2120">
        <f t="shared" si="179"/>
        <v>0</v>
      </c>
      <c r="AW303" s="119"/>
      <c r="AX303" s="2120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78" t="s">
        <v>994</v>
      </c>
      <c r="C304" s="1034"/>
      <c r="D304" s="1034"/>
      <c r="E304" s="1034"/>
      <c r="F304" s="1034"/>
      <c r="G304" s="1034"/>
      <c r="H304" s="1034"/>
      <c r="I304" s="1034"/>
      <c r="J304" s="1034"/>
      <c r="K304" s="1034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25"/>
      <c r="R304" s="324"/>
      <c r="S304" s="27">
        <f t="shared" si="176"/>
        <v>0</v>
      </c>
      <c r="T304" s="30">
        <v>0</v>
      </c>
      <c r="U304" s="51"/>
      <c r="V304" s="541">
        <f>+'NF-KSF-TRIAL-BAL-2021'!O304+'RA-TRIAL-BAL-2021'!O304+'DES-TRIAL-BAL-2021'!O304+'DMP-TRIAL-BAL-2021'!O304</f>
        <v>0</v>
      </c>
      <c r="W304" s="529">
        <f>+'NF-KSF-TRIAL-BAL-2021'!P304+'RA-TRIAL-BAL-2021'!P304+'DES-TRIAL-BAL-2021'!P304+'DMP-TRIAL-BAL-2021'!P304</f>
        <v>0</v>
      </c>
      <c r="X304" s="528">
        <f>+'NF-KSF-TRIAL-BAL-2021'!Q304+'RA-TRIAL-BAL-2021'!Q304+'DES-TRIAL-BAL-2021'!Q304+'DMP-TRIAL-BAL-2021'!Q304</f>
        <v>0</v>
      </c>
      <c r="Y304" s="529">
        <f>+'NF-KSF-TRIAL-BAL-2021'!R304+'RA-TRIAL-BAL-2021'!R304+'DES-TRIAL-BAL-2021'!R304+'DMP-TRIAL-BAL-2021'!R304</f>
        <v>0</v>
      </c>
      <c r="Z304" s="528">
        <f>+'NF-KSF-TRIAL-BAL-2021'!S304+'RA-TRIAL-BAL-2021'!S304+'DES-TRIAL-BAL-2021'!S304+'DMP-TRIAL-BAL-2021'!S304</f>
        <v>0</v>
      </c>
      <c r="AA304" s="347">
        <f>+'NF-KSF-TRIAL-BAL-2021'!T304+'RA-TRIAL-BAL-2021'!T304+'DES-TRIAL-BAL-2021'!T304+'DMP-TRIAL-BAL-2021'!T304</f>
        <v>0</v>
      </c>
      <c r="AB304" s="51"/>
      <c r="AC304" s="120"/>
      <c r="AD304" s="9">
        <v>0</v>
      </c>
      <c r="AE304" s="325"/>
      <c r="AF304" s="324"/>
      <c r="AG304" s="27">
        <f t="shared" si="169"/>
        <v>0</v>
      </c>
      <c r="AH304" s="30">
        <v>0</v>
      </c>
      <c r="AI304" s="51"/>
      <c r="AJ304" s="1497">
        <f t="shared" si="124"/>
        <v>5026</v>
      </c>
      <c r="AK304" s="951">
        <f t="shared" si="177"/>
        <v>0</v>
      </c>
      <c r="AL304" s="9">
        <v>0</v>
      </c>
      <c r="AM304" s="326">
        <f t="shared" si="178"/>
        <v>0</v>
      </c>
      <c r="AN304" s="970">
        <f t="shared" si="178"/>
        <v>0</v>
      </c>
      <c r="AO304" s="326">
        <f t="shared" si="172"/>
        <v>0</v>
      </c>
      <c r="AP304" s="30">
        <v>0</v>
      </c>
      <c r="AQ304" s="43"/>
      <c r="AR304" s="358">
        <f t="shared" si="173"/>
        <v>0</v>
      </c>
      <c r="AS304" s="359">
        <f t="shared" si="174"/>
        <v>0</v>
      </c>
      <c r="AT304" s="360">
        <f t="shared" si="175"/>
        <v>0</v>
      </c>
      <c r="AU304" s="43"/>
      <c r="AV304" s="2120">
        <f t="shared" si="179"/>
        <v>0</v>
      </c>
      <c r="AW304" s="119"/>
      <c r="AX304" s="2120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78" t="s">
        <v>995</v>
      </c>
      <c r="C305" s="1034"/>
      <c r="D305" s="1034"/>
      <c r="E305" s="1034"/>
      <c r="F305" s="1034"/>
      <c r="G305" s="1034"/>
      <c r="H305" s="1034"/>
      <c r="I305" s="1034"/>
      <c r="J305" s="1034"/>
      <c r="K305" s="1034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25"/>
      <c r="R305" s="324"/>
      <c r="S305" s="27">
        <f t="shared" si="176"/>
        <v>0</v>
      </c>
      <c r="T305" s="30">
        <v>0</v>
      </c>
      <c r="U305" s="51"/>
      <c r="V305" s="541">
        <f>+'NF-KSF-TRIAL-BAL-2021'!O305+'RA-TRIAL-BAL-2021'!O305+'DES-TRIAL-BAL-2021'!O305+'DMP-TRIAL-BAL-2021'!O305</f>
        <v>0</v>
      </c>
      <c r="W305" s="529">
        <f>+'NF-KSF-TRIAL-BAL-2021'!P305+'RA-TRIAL-BAL-2021'!P305+'DES-TRIAL-BAL-2021'!P305+'DMP-TRIAL-BAL-2021'!P305</f>
        <v>0</v>
      </c>
      <c r="X305" s="528">
        <f>+'NF-KSF-TRIAL-BAL-2021'!Q305+'RA-TRIAL-BAL-2021'!Q305+'DES-TRIAL-BAL-2021'!Q305+'DMP-TRIAL-BAL-2021'!Q305</f>
        <v>0</v>
      </c>
      <c r="Y305" s="529">
        <f>+'NF-KSF-TRIAL-BAL-2021'!R305+'RA-TRIAL-BAL-2021'!R305+'DES-TRIAL-BAL-2021'!R305+'DMP-TRIAL-BAL-2021'!R305</f>
        <v>0</v>
      </c>
      <c r="Z305" s="528">
        <f>+'NF-KSF-TRIAL-BAL-2021'!S305+'RA-TRIAL-BAL-2021'!S305+'DES-TRIAL-BAL-2021'!S305+'DMP-TRIAL-BAL-2021'!S305</f>
        <v>0</v>
      </c>
      <c r="AA305" s="347">
        <f>+'NF-KSF-TRIAL-BAL-2021'!T305+'RA-TRIAL-BAL-2021'!T305+'DES-TRIAL-BAL-2021'!T305+'DMP-TRIAL-BAL-2021'!T305</f>
        <v>0</v>
      </c>
      <c r="AB305" s="51"/>
      <c r="AC305" s="120"/>
      <c r="AD305" s="9">
        <v>0</v>
      </c>
      <c r="AE305" s="325"/>
      <c r="AF305" s="324"/>
      <c r="AG305" s="27">
        <f t="shared" si="169"/>
        <v>0</v>
      </c>
      <c r="AH305" s="30">
        <v>0</v>
      </c>
      <c r="AI305" s="51"/>
      <c r="AJ305" s="1497">
        <f t="shared" si="124"/>
        <v>5028</v>
      </c>
      <c r="AK305" s="951">
        <f t="shared" si="177"/>
        <v>0</v>
      </c>
      <c r="AL305" s="9">
        <v>0</v>
      </c>
      <c r="AM305" s="326">
        <f t="shared" si="178"/>
        <v>0</v>
      </c>
      <c r="AN305" s="970">
        <f t="shared" si="178"/>
        <v>0</v>
      </c>
      <c r="AO305" s="326">
        <f t="shared" si="172"/>
        <v>0</v>
      </c>
      <c r="AP305" s="30">
        <v>0</v>
      </c>
      <c r="AQ305" s="43"/>
      <c r="AR305" s="358">
        <f t="shared" si="173"/>
        <v>0</v>
      </c>
      <c r="AS305" s="359">
        <f t="shared" si="174"/>
        <v>0</v>
      </c>
      <c r="AT305" s="360">
        <f t="shared" si="175"/>
        <v>0</v>
      </c>
      <c r="AU305" s="43"/>
      <c r="AV305" s="2120">
        <f t="shared" si="179"/>
        <v>0</v>
      </c>
      <c r="AW305" s="119"/>
      <c r="AX305" s="2120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78" t="s">
        <v>996</v>
      </c>
      <c r="C306" s="1034"/>
      <c r="D306" s="1034"/>
      <c r="E306" s="1034"/>
      <c r="F306" s="1034"/>
      <c r="G306" s="1034"/>
      <c r="H306" s="1034"/>
      <c r="I306" s="1034"/>
      <c r="J306" s="1034"/>
      <c r="K306" s="1034"/>
      <c r="L306" s="574"/>
      <c r="M306" s="51" t="s">
        <v>265</v>
      </c>
      <c r="N306" s="113">
        <f t="shared" si="168"/>
        <v>5071</v>
      </c>
      <c r="O306" s="581"/>
      <c r="P306" s="582">
        <v>0</v>
      </c>
      <c r="Q306" s="325"/>
      <c r="R306" s="324"/>
      <c r="S306" s="583">
        <f t="shared" si="176"/>
        <v>0</v>
      </c>
      <c r="T306" s="584">
        <v>0</v>
      </c>
      <c r="U306" s="51"/>
      <c r="V306" s="541">
        <f>+'NF-KSF-TRIAL-BAL-2021'!O306+'RA-TRIAL-BAL-2021'!O306+'DES-TRIAL-BAL-2021'!O306+'DMP-TRIAL-BAL-2021'!O306</f>
        <v>0</v>
      </c>
      <c r="W306" s="529">
        <f>+'NF-KSF-TRIAL-BAL-2021'!P306+'RA-TRIAL-BAL-2021'!P306+'DES-TRIAL-BAL-2021'!P306+'DMP-TRIAL-BAL-2021'!P306</f>
        <v>0</v>
      </c>
      <c r="X306" s="587">
        <f>+'NF-KSF-TRIAL-BAL-2021'!Q306+'RA-TRIAL-BAL-2021'!Q306+'DES-TRIAL-BAL-2021'!Q306+'DMP-TRIAL-BAL-2021'!Q306</f>
        <v>0</v>
      </c>
      <c r="Y306" s="586">
        <f>+'NF-KSF-TRIAL-BAL-2021'!R306+'RA-TRIAL-BAL-2021'!R306+'DES-TRIAL-BAL-2021'!R306+'DMP-TRIAL-BAL-2021'!R306</f>
        <v>0</v>
      </c>
      <c r="Z306" s="587">
        <f>+'NF-KSF-TRIAL-BAL-2021'!S306+'RA-TRIAL-BAL-2021'!S306+'DES-TRIAL-BAL-2021'!S306+'DMP-TRIAL-BAL-2021'!S306</f>
        <v>0</v>
      </c>
      <c r="AA306" s="588">
        <f>+'NF-KSF-TRIAL-BAL-2021'!T306+'RA-TRIAL-BAL-2021'!T306+'DES-TRIAL-BAL-2021'!T306+'DMP-TRIAL-BAL-2021'!T306</f>
        <v>0</v>
      </c>
      <c r="AB306" s="51"/>
      <c r="AC306" s="581"/>
      <c r="AD306" s="582">
        <v>0</v>
      </c>
      <c r="AE306" s="122"/>
      <c r="AF306" s="324"/>
      <c r="AG306" s="583">
        <f t="shared" si="169"/>
        <v>0</v>
      </c>
      <c r="AH306" s="584">
        <v>0</v>
      </c>
      <c r="AI306" s="51"/>
      <c r="AJ306" s="1497">
        <f t="shared" si="124"/>
        <v>5071</v>
      </c>
      <c r="AK306" s="951">
        <f t="shared" si="177"/>
        <v>0</v>
      </c>
      <c r="AL306" s="9">
        <v>0</v>
      </c>
      <c r="AM306" s="326">
        <f t="shared" si="178"/>
        <v>0</v>
      </c>
      <c r="AN306" s="970">
        <f t="shared" si="178"/>
        <v>0</v>
      </c>
      <c r="AO306" s="326">
        <f t="shared" ref="AO306:AP336" si="181">+S306+Z306+AG306</f>
        <v>0</v>
      </c>
      <c r="AP306" s="30">
        <v>0</v>
      </c>
      <c r="AQ306" s="43"/>
      <c r="AR306" s="358">
        <f t="shared" si="173"/>
        <v>0</v>
      </c>
      <c r="AS306" s="359">
        <f t="shared" si="174"/>
        <v>0</v>
      </c>
      <c r="AT306" s="360">
        <f t="shared" si="175"/>
        <v>0</v>
      </c>
      <c r="AU306" s="43"/>
      <c r="AV306" s="2120">
        <f t="shared" si="179"/>
        <v>0</v>
      </c>
      <c r="AW306" s="119"/>
      <c r="AX306" s="2120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78" t="s">
        <v>997</v>
      </c>
      <c r="C307" s="1034"/>
      <c r="D307" s="1034"/>
      <c r="E307" s="1034"/>
      <c r="F307" s="1034"/>
      <c r="G307" s="1034"/>
      <c r="H307" s="1034"/>
      <c r="I307" s="1034"/>
      <c r="J307" s="1034"/>
      <c r="K307" s="1034"/>
      <c r="L307" s="574"/>
      <c r="M307" s="51" t="s">
        <v>265</v>
      </c>
      <c r="N307" s="113">
        <f t="shared" si="168"/>
        <v>5073</v>
      </c>
      <c r="O307" s="581"/>
      <c r="P307" s="582">
        <v>0</v>
      </c>
      <c r="Q307" s="325"/>
      <c r="R307" s="324"/>
      <c r="S307" s="583">
        <f t="shared" si="176"/>
        <v>0</v>
      </c>
      <c r="T307" s="584">
        <v>0</v>
      </c>
      <c r="U307" s="51"/>
      <c r="V307" s="541">
        <f>+'NF-KSF-TRIAL-BAL-2021'!O307+'RA-TRIAL-BAL-2021'!O307+'DES-TRIAL-BAL-2021'!O307+'DMP-TRIAL-BAL-2021'!O307</f>
        <v>0</v>
      </c>
      <c r="W307" s="529">
        <f>+'NF-KSF-TRIAL-BAL-2021'!P307+'RA-TRIAL-BAL-2021'!P307+'DES-TRIAL-BAL-2021'!P307+'DMP-TRIAL-BAL-2021'!P307</f>
        <v>0</v>
      </c>
      <c r="X307" s="587">
        <f>+'NF-KSF-TRIAL-BAL-2021'!Q307+'RA-TRIAL-BAL-2021'!Q307+'DES-TRIAL-BAL-2021'!Q307+'DMP-TRIAL-BAL-2021'!Q307</f>
        <v>0</v>
      </c>
      <c r="Y307" s="586">
        <f>+'NF-KSF-TRIAL-BAL-2021'!R307+'RA-TRIAL-BAL-2021'!R307+'DES-TRIAL-BAL-2021'!R307+'DMP-TRIAL-BAL-2021'!R307</f>
        <v>0</v>
      </c>
      <c r="Z307" s="587">
        <f>+'NF-KSF-TRIAL-BAL-2021'!S307+'RA-TRIAL-BAL-2021'!S307+'DES-TRIAL-BAL-2021'!S307+'DMP-TRIAL-BAL-2021'!S307</f>
        <v>0</v>
      </c>
      <c r="AA307" s="588">
        <f>+'NF-KSF-TRIAL-BAL-2021'!T307+'RA-TRIAL-BAL-2021'!T307+'DES-TRIAL-BAL-2021'!T307+'DMP-TRIAL-BAL-2021'!T307</f>
        <v>0</v>
      </c>
      <c r="AB307" s="51"/>
      <c r="AC307" s="581"/>
      <c r="AD307" s="582">
        <v>0</v>
      </c>
      <c r="AE307" s="122"/>
      <c r="AF307" s="324"/>
      <c r="AG307" s="583">
        <f t="shared" si="169"/>
        <v>0</v>
      </c>
      <c r="AH307" s="584">
        <v>0</v>
      </c>
      <c r="AI307" s="51"/>
      <c r="AJ307" s="1497">
        <f t="shared" si="124"/>
        <v>5073</v>
      </c>
      <c r="AK307" s="951">
        <f t="shared" si="177"/>
        <v>0</v>
      </c>
      <c r="AL307" s="9">
        <v>0</v>
      </c>
      <c r="AM307" s="326">
        <f t="shared" si="178"/>
        <v>0</v>
      </c>
      <c r="AN307" s="970">
        <f t="shared" si="178"/>
        <v>0</v>
      </c>
      <c r="AO307" s="326">
        <f t="shared" si="181"/>
        <v>0</v>
      </c>
      <c r="AP307" s="30">
        <v>0</v>
      </c>
      <c r="AQ307" s="43"/>
      <c r="AR307" s="358">
        <f t="shared" si="173"/>
        <v>0</v>
      </c>
      <c r="AS307" s="359">
        <f t="shared" si="174"/>
        <v>0</v>
      </c>
      <c r="AT307" s="360">
        <f t="shared" si="175"/>
        <v>0</v>
      </c>
      <c r="AU307" s="43"/>
      <c r="AV307" s="2120">
        <f t="shared" si="179"/>
        <v>0</v>
      </c>
      <c r="AW307" s="119"/>
      <c r="AX307" s="2120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78" t="s">
        <v>998</v>
      </c>
      <c r="C308" s="1034"/>
      <c r="D308" s="1034"/>
      <c r="E308" s="1034"/>
      <c r="F308" s="1034"/>
      <c r="G308" s="1034"/>
      <c r="H308" s="1034"/>
      <c r="I308" s="1034"/>
      <c r="J308" s="1034"/>
      <c r="K308" s="1034"/>
      <c r="L308" s="574"/>
      <c r="M308" s="51" t="s">
        <v>265</v>
      </c>
      <c r="N308" s="113">
        <f t="shared" si="168"/>
        <v>5078</v>
      </c>
      <c r="O308" s="581"/>
      <c r="P308" s="582">
        <v>0</v>
      </c>
      <c r="Q308" s="325"/>
      <c r="R308" s="324"/>
      <c r="S308" s="583">
        <f t="shared" si="176"/>
        <v>0</v>
      </c>
      <c r="T308" s="584">
        <v>0</v>
      </c>
      <c r="U308" s="51"/>
      <c r="V308" s="541">
        <f>+'NF-KSF-TRIAL-BAL-2021'!O308+'RA-TRIAL-BAL-2021'!O308+'DES-TRIAL-BAL-2021'!O308+'DMP-TRIAL-BAL-2021'!O308</f>
        <v>0</v>
      </c>
      <c r="W308" s="529">
        <f>+'NF-KSF-TRIAL-BAL-2021'!P308+'RA-TRIAL-BAL-2021'!P308+'DES-TRIAL-BAL-2021'!P308+'DMP-TRIAL-BAL-2021'!P308</f>
        <v>0</v>
      </c>
      <c r="X308" s="587">
        <f>+'NF-KSF-TRIAL-BAL-2021'!Q308+'RA-TRIAL-BAL-2021'!Q308+'DES-TRIAL-BAL-2021'!Q308+'DMP-TRIAL-BAL-2021'!Q308</f>
        <v>0</v>
      </c>
      <c r="Y308" s="586">
        <f>+'NF-KSF-TRIAL-BAL-2021'!R308+'RA-TRIAL-BAL-2021'!R308+'DES-TRIAL-BAL-2021'!R308+'DMP-TRIAL-BAL-2021'!R308</f>
        <v>0</v>
      </c>
      <c r="Z308" s="587">
        <f>+'NF-KSF-TRIAL-BAL-2021'!S308+'RA-TRIAL-BAL-2021'!S308+'DES-TRIAL-BAL-2021'!S308+'DMP-TRIAL-BAL-2021'!S308</f>
        <v>0</v>
      </c>
      <c r="AA308" s="588">
        <f>+'NF-KSF-TRIAL-BAL-2021'!T308+'RA-TRIAL-BAL-2021'!T308+'DES-TRIAL-BAL-2021'!T308+'DMP-TRIAL-BAL-2021'!T308</f>
        <v>0</v>
      </c>
      <c r="AB308" s="51"/>
      <c r="AC308" s="581"/>
      <c r="AD308" s="582">
        <v>0</v>
      </c>
      <c r="AE308" s="325"/>
      <c r="AF308" s="324"/>
      <c r="AG308" s="583">
        <f t="shared" si="169"/>
        <v>0</v>
      </c>
      <c r="AH308" s="584">
        <v>0</v>
      </c>
      <c r="AI308" s="51"/>
      <c r="AJ308" s="1497">
        <f t="shared" si="124"/>
        <v>5078</v>
      </c>
      <c r="AK308" s="951">
        <f t="shared" si="177"/>
        <v>0</v>
      </c>
      <c r="AL308" s="9">
        <v>0</v>
      </c>
      <c r="AM308" s="326">
        <f t="shared" si="178"/>
        <v>0</v>
      </c>
      <c r="AN308" s="970">
        <f t="shared" si="178"/>
        <v>0</v>
      </c>
      <c r="AO308" s="326">
        <f t="shared" si="181"/>
        <v>0</v>
      </c>
      <c r="AP308" s="30">
        <v>0</v>
      </c>
      <c r="AQ308" s="43"/>
      <c r="AR308" s="358">
        <f t="shared" si="173"/>
        <v>0</v>
      </c>
      <c r="AS308" s="359">
        <f t="shared" si="174"/>
        <v>0</v>
      </c>
      <c r="AT308" s="360">
        <f t="shared" si="175"/>
        <v>0</v>
      </c>
      <c r="AU308" s="43"/>
      <c r="AV308" s="2120">
        <f t="shared" si="179"/>
        <v>0</v>
      </c>
      <c r="AW308" s="119"/>
      <c r="AX308" s="2120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 t="s">
        <v>265</v>
      </c>
      <c r="N309" s="113">
        <f t="shared" si="168"/>
        <v>5081</v>
      </c>
      <c r="O309" s="581"/>
      <c r="P309" s="582">
        <v>0</v>
      </c>
      <c r="Q309" s="325"/>
      <c r="R309" s="324"/>
      <c r="S309" s="583">
        <f t="shared" si="176"/>
        <v>0</v>
      </c>
      <c r="T309" s="584">
        <v>0</v>
      </c>
      <c r="U309" s="51"/>
      <c r="V309" s="541">
        <f>+'NF-KSF-TRIAL-BAL-2021'!O309+'RA-TRIAL-BAL-2021'!O309+'DES-TRIAL-BAL-2021'!O309+'DMP-TRIAL-BAL-2021'!O309</f>
        <v>0</v>
      </c>
      <c r="W309" s="529">
        <f>+'NF-KSF-TRIAL-BAL-2021'!P309+'RA-TRIAL-BAL-2021'!P309+'DES-TRIAL-BAL-2021'!P309+'DMP-TRIAL-BAL-2021'!P309</f>
        <v>0</v>
      </c>
      <c r="X309" s="587">
        <f>+'NF-KSF-TRIAL-BAL-2021'!Q309+'RA-TRIAL-BAL-2021'!Q309+'DES-TRIAL-BAL-2021'!Q309+'DMP-TRIAL-BAL-2021'!Q309</f>
        <v>0</v>
      </c>
      <c r="Y309" s="586">
        <f>+'NF-KSF-TRIAL-BAL-2021'!R309+'RA-TRIAL-BAL-2021'!R309+'DES-TRIAL-BAL-2021'!R309+'DMP-TRIAL-BAL-2021'!R309</f>
        <v>0</v>
      </c>
      <c r="Z309" s="587">
        <f>+'NF-KSF-TRIAL-BAL-2021'!S309+'RA-TRIAL-BAL-2021'!S309+'DES-TRIAL-BAL-2021'!S309+'DMP-TRIAL-BAL-2021'!S309</f>
        <v>0</v>
      </c>
      <c r="AA309" s="588">
        <f>+'NF-KSF-TRIAL-BAL-2021'!T309+'RA-TRIAL-BAL-2021'!T309+'DES-TRIAL-BAL-2021'!T309+'DMP-TRIAL-BAL-2021'!T309</f>
        <v>0</v>
      </c>
      <c r="AB309" s="51"/>
      <c r="AC309" s="581"/>
      <c r="AD309" s="582">
        <v>0</v>
      </c>
      <c r="AE309" s="325"/>
      <c r="AF309" s="324"/>
      <c r="AG309" s="583">
        <f t="shared" si="169"/>
        <v>0</v>
      </c>
      <c r="AH309" s="584">
        <v>0</v>
      </c>
      <c r="AI309" s="51"/>
      <c r="AJ309" s="1497">
        <f t="shared" si="124"/>
        <v>5081</v>
      </c>
      <c r="AK309" s="951">
        <f t="shared" si="177"/>
        <v>0</v>
      </c>
      <c r="AL309" s="9">
        <v>0</v>
      </c>
      <c r="AM309" s="326">
        <f t="shared" si="178"/>
        <v>0</v>
      </c>
      <c r="AN309" s="970">
        <f t="shared" si="178"/>
        <v>0</v>
      </c>
      <c r="AO309" s="326">
        <f t="shared" si="181"/>
        <v>0</v>
      </c>
      <c r="AP309" s="30">
        <v>0</v>
      </c>
      <c r="AQ309" s="43"/>
      <c r="AR309" s="358">
        <f t="shared" si="173"/>
        <v>0</v>
      </c>
      <c r="AS309" s="359">
        <f t="shared" si="174"/>
        <v>0</v>
      </c>
      <c r="AT309" s="360">
        <f t="shared" si="175"/>
        <v>0</v>
      </c>
      <c r="AU309" s="43"/>
      <c r="AV309" s="2120">
        <f t="shared" si="179"/>
        <v>0</v>
      </c>
      <c r="AW309" s="119"/>
      <c r="AX309" s="2120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 t="s">
        <v>265</v>
      </c>
      <c r="N310" s="113">
        <f t="shared" si="168"/>
        <v>5082</v>
      </c>
      <c r="O310" s="581"/>
      <c r="P310" s="582">
        <v>0</v>
      </c>
      <c r="Q310" s="325"/>
      <c r="R310" s="324"/>
      <c r="S310" s="583">
        <f t="shared" si="176"/>
        <v>0</v>
      </c>
      <c r="T310" s="584">
        <v>0</v>
      </c>
      <c r="U310" s="51"/>
      <c r="V310" s="541">
        <f>+'NF-KSF-TRIAL-BAL-2021'!O310+'RA-TRIAL-BAL-2021'!O310+'DES-TRIAL-BAL-2021'!O310+'DMP-TRIAL-BAL-2021'!O310</f>
        <v>0</v>
      </c>
      <c r="W310" s="529">
        <f>+'NF-KSF-TRIAL-BAL-2021'!P310+'RA-TRIAL-BAL-2021'!P310+'DES-TRIAL-BAL-2021'!P310+'DMP-TRIAL-BAL-2021'!P310</f>
        <v>0</v>
      </c>
      <c r="X310" s="587">
        <f>+'NF-KSF-TRIAL-BAL-2021'!Q310+'RA-TRIAL-BAL-2021'!Q310+'DES-TRIAL-BAL-2021'!Q310+'DMP-TRIAL-BAL-2021'!Q310</f>
        <v>0</v>
      </c>
      <c r="Y310" s="586">
        <f>+'NF-KSF-TRIAL-BAL-2021'!R310+'RA-TRIAL-BAL-2021'!R310+'DES-TRIAL-BAL-2021'!R310+'DMP-TRIAL-BAL-2021'!R310</f>
        <v>0</v>
      </c>
      <c r="Z310" s="587">
        <f>+'NF-KSF-TRIAL-BAL-2021'!S310+'RA-TRIAL-BAL-2021'!S310+'DES-TRIAL-BAL-2021'!S310+'DMP-TRIAL-BAL-2021'!S310</f>
        <v>0</v>
      </c>
      <c r="AA310" s="588">
        <f>+'NF-KSF-TRIAL-BAL-2021'!T310+'RA-TRIAL-BAL-2021'!T310+'DES-TRIAL-BAL-2021'!T310+'DMP-TRIAL-BAL-2021'!T310</f>
        <v>0</v>
      </c>
      <c r="AB310" s="51"/>
      <c r="AC310" s="581"/>
      <c r="AD310" s="582">
        <v>0</v>
      </c>
      <c r="AE310" s="325"/>
      <c r="AF310" s="324"/>
      <c r="AG310" s="583">
        <f t="shared" si="169"/>
        <v>0</v>
      </c>
      <c r="AH310" s="584">
        <v>0</v>
      </c>
      <c r="AI310" s="51"/>
      <c r="AJ310" s="1497">
        <f t="shared" si="124"/>
        <v>5082</v>
      </c>
      <c r="AK310" s="951">
        <f t="shared" si="177"/>
        <v>0</v>
      </c>
      <c r="AL310" s="9">
        <v>0</v>
      </c>
      <c r="AM310" s="326">
        <f t="shared" si="178"/>
        <v>0</v>
      </c>
      <c r="AN310" s="970">
        <f t="shared" si="178"/>
        <v>0</v>
      </c>
      <c r="AO310" s="326">
        <f t="shared" si="181"/>
        <v>0</v>
      </c>
      <c r="AP310" s="30">
        <v>0</v>
      </c>
      <c r="AQ310" s="43"/>
      <c r="AR310" s="358">
        <f t="shared" si="173"/>
        <v>0</v>
      </c>
      <c r="AS310" s="359">
        <f t="shared" si="174"/>
        <v>0</v>
      </c>
      <c r="AT310" s="360">
        <f t="shared" si="175"/>
        <v>0</v>
      </c>
      <c r="AU310" s="43"/>
      <c r="AV310" s="2120">
        <f t="shared" si="179"/>
        <v>0</v>
      </c>
      <c r="AW310" s="119"/>
      <c r="AX310" s="2120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78" t="s">
        <v>123</v>
      </c>
      <c r="C311" s="1034"/>
      <c r="D311" s="1034"/>
      <c r="E311" s="1034"/>
      <c r="F311" s="1034"/>
      <c r="G311" s="1034"/>
      <c r="H311" s="1034"/>
      <c r="I311" s="1034"/>
      <c r="J311" s="1034"/>
      <c r="K311" s="1034"/>
      <c r="L311" s="574"/>
      <c r="M311" s="51" t="s">
        <v>265</v>
      </c>
      <c r="N311" s="113">
        <f t="shared" si="168"/>
        <v>5091</v>
      </c>
      <c r="O311" s="581"/>
      <c r="P311" s="582">
        <v>0</v>
      </c>
      <c r="Q311" s="325"/>
      <c r="R311" s="324"/>
      <c r="S311" s="583">
        <f t="shared" si="176"/>
        <v>0</v>
      </c>
      <c r="T311" s="584">
        <v>0</v>
      </c>
      <c r="U311" s="51"/>
      <c r="V311" s="541">
        <f>+'NF-KSF-TRIAL-BAL-2021'!O311+'RA-TRIAL-BAL-2021'!O311+'DES-TRIAL-BAL-2021'!O311+'DMP-TRIAL-BAL-2021'!O311</f>
        <v>0</v>
      </c>
      <c r="W311" s="529">
        <f>+'NF-KSF-TRIAL-BAL-2021'!P311+'RA-TRIAL-BAL-2021'!P311+'DES-TRIAL-BAL-2021'!P311+'DMP-TRIAL-BAL-2021'!P311</f>
        <v>0</v>
      </c>
      <c r="X311" s="587">
        <f>+'NF-KSF-TRIAL-BAL-2021'!Q311+'RA-TRIAL-BAL-2021'!Q311+'DES-TRIAL-BAL-2021'!Q311+'DMP-TRIAL-BAL-2021'!Q311</f>
        <v>0</v>
      </c>
      <c r="Y311" s="586">
        <f>+'NF-KSF-TRIAL-BAL-2021'!R311+'RA-TRIAL-BAL-2021'!R311+'DES-TRIAL-BAL-2021'!R311+'DMP-TRIAL-BAL-2021'!R311</f>
        <v>0</v>
      </c>
      <c r="Z311" s="587">
        <f>+'NF-KSF-TRIAL-BAL-2021'!S311+'RA-TRIAL-BAL-2021'!S311+'DES-TRIAL-BAL-2021'!S311+'DMP-TRIAL-BAL-2021'!S311</f>
        <v>0</v>
      </c>
      <c r="AA311" s="588">
        <f>+'NF-KSF-TRIAL-BAL-2021'!T311+'RA-TRIAL-BAL-2021'!T311+'DES-TRIAL-BAL-2021'!T311+'DMP-TRIAL-BAL-2021'!T311</f>
        <v>0</v>
      </c>
      <c r="AB311" s="51"/>
      <c r="AC311" s="581"/>
      <c r="AD311" s="582">
        <v>0</v>
      </c>
      <c r="AE311" s="122"/>
      <c r="AF311" s="324"/>
      <c r="AG311" s="583">
        <f t="shared" si="169"/>
        <v>0</v>
      </c>
      <c r="AH311" s="584">
        <v>0</v>
      </c>
      <c r="AI311" s="51"/>
      <c r="AJ311" s="1497">
        <f t="shared" si="124"/>
        <v>5091</v>
      </c>
      <c r="AK311" s="951">
        <f t="shared" si="177"/>
        <v>0</v>
      </c>
      <c r="AL311" s="9">
        <v>0</v>
      </c>
      <c r="AM311" s="326">
        <f t="shared" si="178"/>
        <v>0</v>
      </c>
      <c r="AN311" s="970">
        <f t="shared" si="178"/>
        <v>0</v>
      </c>
      <c r="AO311" s="326">
        <f t="shared" si="181"/>
        <v>0</v>
      </c>
      <c r="AP311" s="30">
        <v>0</v>
      </c>
      <c r="AQ311" s="43"/>
      <c r="AR311" s="358">
        <f t="shared" si="173"/>
        <v>0</v>
      </c>
      <c r="AS311" s="359">
        <f t="shared" si="174"/>
        <v>0</v>
      </c>
      <c r="AT311" s="360">
        <f t="shared" si="175"/>
        <v>0</v>
      </c>
      <c r="AU311" s="43"/>
      <c r="AV311" s="2120">
        <f t="shared" si="179"/>
        <v>0</v>
      </c>
      <c r="AW311" s="119"/>
      <c r="AX311" s="2120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78" t="s">
        <v>124</v>
      </c>
      <c r="C312" s="1034"/>
      <c r="D312" s="1034"/>
      <c r="E312" s="1034"/>
      <c r="F312" s="1034"/>
      <c r="G312" s="1034"/>
      <c r="H312" s="1034"/>
      <c r="I312" s="1034"/>
      <c r="J312" s="1034"/>
      <c r="K312" s="1034"/>
      <c r="L312" s="574"/>
      <c r="M312" s="51" t="s">
        <v>265</v>
      </c>
      <c r="N312" s="113">
        <f t="shared" si="168"/>
        <v>5092</v>
      </c>
      <c r="O312" s="581"/>
      <c r="P312" s="582">
        <v>0</v>
      </c>
      <c r="Q312" s="325"/>
      <c r="R312" s="324"/>
      <c r="S312" s="583">
        <f t="shared" si="176"/>
        <v>0</v>
      </c>
      <c r="T312" s="584">
        <v>0</v>
      </c>
      <c r="U312" s="51"/>
      <c r="V312" s="541">
        <f>+'NF-KSF-TRIAL-BAL-2021'!O312+'RA-TRIAL-BAL-2021'!O312+'DES-TRIAL-BAL-2021'!O312+'DMP-TRIAL-BAL-2021'!O312</f>
        <v>0</v>
      </c>
      <c r="W312" s="529">
        <f>+'NF-KSF-TRIAL-BAL-2021'!P312+'RA-TRIAL-BAL-2021'!P312+'DES-TRIAL-BAL-2021'!P312+'DMP-TRIAL-BAL-2021'!P312</f>
        <v>0</v>
      </c>
      <c r="X312" s="587">
        <f>+'NF-KSF-TRIAL-BAL-2021'!Q312+'RA-TRIAL-BAL-2021'!Q312+'DES-TRIAL-BAL-2021'!Q312+'DMP-TRIAL-BAL-2021'!Q312</f>
        <v>0</v>
      </c>
      <c r="Y312" s="586">
        <f>+'NF-KSF-TRIAL-BAL-2021'!R312+'RA-TRIAL-BAL-2021'!R312+'DES-TRIAL-BAL-2021'!R312+'DMP-TRIAL-BAL-2021'!R312</f>
        <v>0</v>
      </c>
      <c r="Z312" s="587">
        <f>+'NF-KSF-TRIAL-BAL-2021'!S312+'RA-TRIAL-BAL-2021'!S312+'DES-TRIAL-BAL-2021'!S312+'DMP-TRIAL-BAL-2021'!S312</f>
        <v>0</v>
      </c>
      <c r="AA312" s="588">
        <f>+'NF-KSF-TRIAL-BAL-2021'!T312+'RA-TRIAL-BAL-2021'!T312+'DES-TRIAL-BAL-2021'!T312+'DMP-TRIAL-BAL-2021'!T312</f>
        <v>0</v>
      </c>
      <c r="AB312" s="51"/>
      <c r="AC312" s="581"/>
      <c r="AD312" s="582">
        <v>0</v>
      </c>
      <c r="AE312" s="122"/>
      <c r="AF312" s="324"/>
      <c r="AG312" s="583">
        <f t="shared" si="169"/>
        <v>0</v>
      </c>
      <c r="AH312" s="584">
        <v>0</v>
      </c>
      <c r="AI312" s="51"/>
      <c r="AJ312" s="1497">
        <f t="shared" si="124"/>
        <v>5092</v>
      </c>
      <c r="AK312" s="951">
        <f t="shared" si="177"/>
        <v>0</v>
      </c>
      <c r="AL312" s="9">
        <v>0</v>
      </c>
      <c r="AM312" s="326">
        <f t="shared" si="178"/>
        <v>0</v>
      </c>
      <c r="AN312" s="970">
        <f t="shared" si="178"/>
        <v>0</v>
      </c>
      <c r="AO312" s="326">
        <f t="shared" si="181"/>
        <v>0</v>
      </c>
      <c r="AP312" s="30">
        <v>0</v>
      </c>
      <c r="AQ312" s="43"/>
      <c r="AR312" s="358">
        <f t="shared" si="173"/>
        <v>0</v>
      </c>
      <c r="AS312" s="359">
        <f t="shared" si="174"/>
        <v>0</v>
      </c>
      <c r="AT312" s="360">
        <f t="shared" si="175"/>
        <v>0</v>
      </c>
      <c r="AU312" s="43"/>
      <c r="AV312" s="2120">
        <f t="shared" si="179"/>
        <v>0</v>
      </c>
      <c r="AW312" s="119"/>
      <c r="AX312" s="2120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32" t="s">
        <v>125</v>
      </c>
      <c r="C313" s="1034"/>
      <c r="D313" s="1034"/>
      <c r="E313" s="1034"/>
      <c r="F313" s="1034"/>
      <c r="G313" s="1034"/>
      <c r="H313" s="1034"/>
      <c r="I313" s="1034"/>
      <c r="J313" s="1034"/>
      <c r="K313" s="1034"/>
      <c r="L313" s="574"/>
      <c r="M313" s="51" t="s">
        <v>265</v>
      </c>
      <c r="N313" s="113">
        <f t="shared" si="168"/>
        <v>5111</v>
      </c>
      <c r="O313" s="581">
        <v>964917.04</v>
      </c>
      <c r="P313" s="582">
        <v>0</v>
      </c>
      <c r="Q313" s="325"/>
      <c r="R313" s="324">
        <v>1139.17</v>
      </c>
      <c r="S313" s="583">
        <f t="shared" si="176"/>
        <v>963777.87</v>
      </c>
      <c r="T313" s="584">
        <v>0</v>
      </c>
      <c r="U313" s="51"/>
      <c r="V313" s="541">
        <f>+'NF-KSF-TRIAL-BAL-2021'!O313+'RA-TRIAL-BAL-2021'!O313+'DES-TRIAL-BAL-2021'!O313+'DMP-TRIAL-BAL-2021'!O313</f>
        <v>0</v>
      </c>
      <c r="W313" s="529">
        <f>+'NF-KSF-TRIAL-BAL-2021'!P313+'RA-TRIAL-BAL-2021'!P313+'DES-TRIAL-BAL-2021'!P313+'DMP-TRIAL-BAL-2021'!P313</f>
        <v>0</v>
      </c>
      <c r="X313" s="587">
        <f>+'NF-KSF-TRIAL-BAL-2021'!Q313+'RA-TRIAL-BAL-2021'!Q313+'DES-TRIAL-BAL-2021'!Q313+'DMP-TRIAL-BAL-2021'!Q313</f>
        <v>0</v>
      </c>
      <c r="Y313" s="586">
        <f>+'NF-KSF-TRIAL-BAL-2021'!R313+'RA-TRIAL-BAL-2021'!R313+'DES-TRIAL-BAL-2021'!R313+'DMP-TRIAL-BAL-2021'!R313</f>
        <v>0</v>
      </c>
      <c r="Z313" s="587">
        <f>+'NF-KSF-TRIAL-BAL-2021'!S313+'RA-TRIAL-BAL-2021'!S313+'DES-TRIAL-BAL-2021'!S313+'DMP-TRIAL-BAL-2021'!S313</f>
        <v>0</v>
      </c>
      <c r="AA313" s="588">
        <f>+'NF-KSF-TRIAL-BAL-2021'!T313+'RA-TRIAL-BAL-2021'!T313+'DES-TRIAL-BAL-2021'!T313+'DMP-TRIAL-BAL-2021'!T313</f>
        <v>0</v>
      </c>
      <c r="AB313" s="51"/>
      <c r="AC313" s="581"/>
      <c r="AD313" s="582">
        <v>0</v>
      </c>
      <c r="AE313" s="325"/>
      <c r="AF313" s="324"/>
      <c r="AG313" s="583">
        <f t="shared" si="169"/>
        <v>0</v>
      </c>
      <c r="AH313" s="584">
        <v>0</v>
      </c>
      <c r="AI313" s="51"/>
      <c r="AJ313" s="1497">
        <f t="shared" si="124"/>
        <v>5111</v>
      </c>
      <c r="AK313" s="951">
        <f t="shared" si="177"/>
        <v>964917.04</v>
      </c>
      <c r="AL313" s="9">
        <v>0</v>
      </c>
      <c r="AM313" s="326">
        <f t="shared" si="178"/>
        <v>0</v>
      </c>
      <c r="AN313" s="970">
        <f t="shared" si="178"/>
        <v>1139.17</v>
      </c>
      <c r="AO313" s="326">
        <f t="shared" si="181"/>
        <v>963777.87</v>
      </c>
      <c r="AP313" s="30">
        <v>0</v>
      </c>
      <c r="AQ313" s="43"/>
      <c r="AR313" s="358">
        <f t="shared" si="173"/>
        <v>0</v>
      </c>
      <c r="AS313" s="359">
        <f t="shared" si="174"/>
        <v>0</v>
      </c>
      <c r="AT313" s="360">
        <f t="shared" si="175"/>
        <v>0</v>
      </c>
      <c r="AU313" s="43"/>
      <c r="AV313" s="2120">
        <f t="shared" si="179"/>
        <v>0</v>
      </c>
      <c r="AW313" s="119"/>
      <c r="AX313" s="2120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32" t="s">
        <v>1178</v>
      </c>
      <c r="C314" s="1034"/>
      <c r="D314" s="1034"/>
      <c r="E314" s="1034"/>
      <c r="F314" s="1034"/>
      <c r="G314" s="1034"/>
      <c r="H314" s="1034"/>
      <c r="I314" s="1034"/>
      <c r="J314" s="1034"/>
      <c r="K314" s="1034"/>
      <c r="L314" s="574"/>
      <c r="M314" s="51" t="s">
        <v>265</v>
      </c>
      <c r="N314" s="113">
        <f t="shared" si="168"/>
        <v>5112</v>
      </c>
      <c r="O314" s="581"/>
      <c r="P314" s="582">
        <v>0</v>
      </c>
      <c r="Q314" s="325"/>
      <c r="R314" s="324"/>
      <c r="S314" s="583">
        <f t="shared" si="176"/>
        <v>0</v>
      </c>
      <c r="T314" s="584">
        <v>0</v>
      </c>
      <c r="U314" s="51"/>
      <c r="V314" s="541">
        <f>+'NF-KSF-TRIAL-BAL-2021'!O314+'RA-TRIAL-BAL-2021'!O314+'DES-TRIAL-BAL-2021'!O314+'DMP-TRIAL-BAL-2021'!O314</f>
        <v>0</v>
      </c>
      <c r="W314" s="529">
        <f>+'NF-KSF-TRIAL-BAL-2021'!P314+'RA-TRIAL-BAL-2021'!P314+'DES-TRIAL-BAL-2021'!P314+'DMP-TRIAL-BAL-2021'!P314</f>
        <v>0</v>
      </c>
      <c r="X314" s="587">
        <f>+'NF-KSF-TRIAL-BAL-2021'!Q314+'RA-TRIAL-BAL-2021'!Q314+'DES-TRIAL-BAL-2021'!Q314+'DMP-TRIAL-BAL-2021'!Q314</f>
        <v>0</v>
      </c>
      <c r="Y314" s="586">
        <f>+'NF-KSF-TRIAL-BAL-2021'!R314+'RA-TRIAL-BAL-2021'!R314+'DES-TRIAL-BAL-2021'!R314+'DMP-TRIAL-BAL-2021'!R314</f>
        <v>0</v>
      </c>
      <c r="Z314" s="587">
        <f>+'NF-KSF-TRIAL-BAL-2021'!S314+'RA-TRIAL-BAL-2021'!S314+'DES-TRIAL-BAL-2021'!S314+'DMP-TRIAL-BAL-2021'!S314</f>
        <v>0</v>
      </c>
      <c r="AA314" s="588">
        <f>+'NF-KSF-TRIAL-BAL-2021'!T314+'RA-TRIAL-BAL-2021'!T314+'DES-TRIAL-BAL-2021'!T314+'DMP-TRIAL-BAL-2021'!T314</f>
        <v>0</v>
      </c>
      <c r="AB314" s="51"/>
      <c r="AC314" s="581"/>
      <c r="AD314" s="582">
        <v>0</v>
      </c>
      <c r="AE314" s="325"/>
      <c r="AF314" s="324"/>
      <c r="AG314" s="583">
        <f t="shared" si="169"/>
        <v>0</v>
      </c>
      <c r="AH314" s="584">
        <v>0</v>
      </c>
      <c r="AI314" s="51"/>
      <c r="AJ314" s="1497">
        <f t="shared" si="124"/>
        <v>5112</v>
      </c>
      <c r="AK314" s="951">
        <f t="shared" si="177"/>
        <v>0</v>
      </c>
      <c r="AL314" s="9">
        <v>0</v>
      </c>
      <c r="AM314" s="326">
        <f t="shared" si="178"/>
        <v>0</v>
      </c>
      <c r="AN314" s="970">
        <f t="shared" si="178"/>
        <v>0</v>
      </c>
      <c r="AO314" s="326">
        <f t="shared" si="181"/>
        <v>0</v>
      </c>
      <c r="AP314" s="30">
        <v>0</v>
      </c>
      <c r="AQ314" s="43"/>
      <c r="AR314" s="358">
        <f t="shared" si="173"/>
        <v>0</v>
      </c>
      <c r="AS314" s="359">
        <f t="shared" si="174"/>
        <v>0</v>
      </c>
      <c r="AT314" s="360">
        <f t="shared" si="175"/>
        <v>0</v>
      </c>
      <c r="AU314" s="43"/>
      <c r="AV314" s="2120">
        <f t="shared" si="179"/>
        <v>0</v>
      </c>
      <c r="AW314" s="119"/>
      <c r="AX314" s="2120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32" t="s">
        <v>126</v>
      </c>
      <c r="C315" s="1034"/>
      <c r="D315" s="1034"/>
      <c r="E315" s="1034"/>
      <c r="F315" s="1034"/>
      <c r="G315" s="1034"/>
      <c r="H315" s="1034"/>
      <c r="I315" s="1034"/>
      <c r="J315" s="1034"/>
      <c r="K315" s="1034"/>
      <c r="L315" s="574"/>
      <c r="M315" s="51" t="s">
        <v>265</v>
      </c>
      <c r="N315" s="113">
        <f t="shared" si="168"/>
        <v>5113</v>
      </c>
      <c r="O315" s="581"/>
      <c r="P315" s="582">
        <v>0</v>
      </c>
      <c r="Q315" s="325"/>
      <c r="R315" s="324"/>
      <c r="S315" s="583">
        <f t="shared" si="176"/>
        <v>0</v>
      </c>
      <c r="T315" s="584">
        <v>0</v>
      </c>
      <c r="U315" s="51"/>
      <c r="V315" s="541">
        <f>+'NF-KSF-TRIAL-BAL-2021'!O315+'RA-TRIAL-BAL-2021'!O315+'DES-TRIAL-BAL-2021'!O315+'DMP-TRIAL-BAL-2021'!O315</f>
        <v>0</v>
      </c>
      <c r="W315" s="529">
        <f>+'NF-KSF-TRIAL-BAL-2021'!P315+'RA-TRIAL-BAL-2021'!P315+'DES-TRIAL-BAL-2021'!P315+'DMP-TRIAL-BAL-2021'!P315</f>
        <v>0</v>
      </c>
      <c r="X315" s="587">
        <f>+'NF-KSF-TRIAL-BAL-2021'!Q315+'RA-TRIAL-BAL-2021'!Q315+'DES-TRIAL-BAL-2021'!Q315+'DMP-TRIAL-BAL-2021'!Q315</f>
        <v>0</v>
      </c>
      <c r="Y315" s="586">
        <f>+'NF-KSF-TRIAL-BAL-2021'!R315+'RA-TRIAL-BAL-2021'!R315+'DES-TRIAL-BAL-2021'!R315+'DMP-TRIAL-BAL-2021'!R315</f>
        <v>0</v>
      </c>
      <c r="Z315" s="587">
        <f>+'NF-KSF-TRIAL-BAL-2021'!S315+'RA-TRIAL-BAL-2021'!S315+'DES-TRIAL-BAL-2021'!S315+'DMP-TRIAL-BAL-2021'!S315</f>
        <v>0</v>
      </c>
      <c r="AA315" s="588">
        <f>+'NF-KSF-TRIAL-BAL-2021'!T315+'RA-TRIAL-BAL-2021'!T315+'DES-TRIAL-BAL-2021'!T315+'DMP-TRIAL-BAL-2021'!T315</f>
        <v>0</v>
      </c>
      <c r="AB315" s="51"/>
      <c r="AC315" s="581"/>
      <c r="AD315" s="582">
        <v>0</v>
      </c>
      <c r="AE315" s="325"/>
      <c r="AF315" s="324"/>
      <c r="AG315" s="583">
        <f t="shared" si="169"/>
        <v>0</v>
      </c>
      <c r="AH315" s="584">
        <v>0</v>
      </c>
      <c r="AI315" s="51"/>
      <c r="AJ315" s="1497">
        <f t="shared" si="124"/>
        <v>5113</v>
      </c>
      <c r="AK315" s="951">
        <f t="shared" si="177"/>
        <v>0</v>
      </c>
      <c r="AL315" s="9">
        <v>0</v>
      </c>
      <c r="AM315" s="326">
        <f t="shared" si="178"/>
        <v>0</v>
      </c>
      <c r="AN315" s="970">
        <f t="shared" si="178"/>
        <v>0</v>
      </c>
      <c r="AO315" s="326">
        <f t="shared" si="181"/>
        <v>0</v>
      </c>
      <c r="AP315" s="30">
        <v>0</v>
      </c>
      <c r="AQ315" s="43"/>
      <c r="AR315" s="358">
        <f t="shared" si="173"/>
        <v>0</v>
      </c>
      <c r="AS315" s="359">
        <f t="shared" si="174"/>
        <v>0</v>
      </c>
      <c r="AT315" s="360">
        <f t="shared" si="175"/>
        <v>0</v>
      </c>
      <c r="AU315" s="43"/>
      <c r="AV315" s="2120">
        <f t="shared" si="179"/>
        <v>0</v>
      </c>
      <c r="AW315" s="119"/>
      <c r="AX315" s="2120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32" t="s">
        <v>127</v>
      </c>
      <c r="C316" s="1034"/>
      <c r="D316" s="1034"/>
      <c r="E316" s="1034"/>
      <c r="F316" s="1034"/>
      <c r="G316" s="1034"/>
      <c r="H316" s="1034"/>
      <c r="I316" s="1034"/>
      <c r="J316" s="1034"/>
      <c r="K316" s="1034"/>
      <c r="L316" s="574"/>
      <c r="M316" s="51" t="s">
        <v>265</v>
      </c>
      <c r="N316" s="113">
        <f t="shared" si="168"/>
        <v>5114</v>
      </c>
      <c r="O316" s="581"/>
      <c r="P316" s="582">
        <v>0</v>
      </c>
      <c r="Q316" s="325"/>
      <c r="R316" s="324"/>
      <c r="S316" s="583">
        <f t="shared" si="176"/>
        <v>0</v>
      </c>
      <c r="T316" s="584">
        <v>0</v>
      </c>
      <c r="U316" s="51"/>
      <c r="V316" s="541">
        <f>+'NF-KSF-TRIAL-BAL-2021'!O316+'RA-TRIAL-BAL-2021'!O316+'DES-TRIAL-BAL-2021'!O316+'DMP-TRIAL-BAL-2021'!O316</f>
        <v>0</v>
      </c>
      <c r="W316" s="529">
        <f>+'NF-KSF-TRIAL-BAL-2021'!P316+'RA-TRIAL-BAL-2021'!P316+'DES-TRIAL-BAL-2021'!P316+'DMP-TRIAL-BAL-2021'!P316</f>
        <v>0</v>
      </c>
      <c r="X316" s="587">
        <f>+'NF-KSF-TRIAL-BAL-2021'!Q316+'RA-TRIAL-BAL-2021'!Q316+'DES-TRIAL-BAL-2021'!Q316+'DMP-TRIAL-BAL-2021'!Q316</f>
        <v>0</v>
      </c>
      <c r="Y316" s="586">
        <f>+'NF-KSF-TRIAL-BAL-2021'!R316+'RA-TRIAL-BAL-2021'!R316+'DES-TRIAL-BAL-2021'!R316+'DMP-TRIAL-BAL-2021'!R316</f>
        <v>0</v>
      </c>
      <c r="Z316" s="587">
        <f>+'NF-KSF-TRIAL-BAL-2021'!S316+'RA-TRIAL-BAL-2021'!S316+'DES-TRIAL-BAL-2021'!S316+'DMP-TRIAL-BAL-2021'!S316</f>
        <v>0</v>
      </c>
      <c r="AA316" s="588">
        <f>+'NF-KSF-TRIAL-BAL-2021'!T316+'RA-TRIAL-BAL-2021'!T316+'DES-TRIAL-BAL-2021'!T316+'DMP-TRIAL-BAL-2021'!T316</f>
        <v>0</v>
      </c>
      <c r="AB316" s="51"/>
      <c r="AC316" s="581"/>
      <c r="AD316" s="582">
        <v>0</v>
      </c>
      <c r="AE316" s="122"/>
      <c r="AF316" s="324"/>
      <c r="AG316" s="583">
        <f t="shared" si="169"/>
        <v>0</v>
      </c>
      <c r="AH316" s="584">
        <v>0</v>
      </c>
      <c r="AI316" s="51"/>
      <c r="AJ316" s="1497">
        <f t="shared" si="124"/>
        <v>5114</v>
      </c>
      <c r="AK316" s="951">
        <f t="shared" si="177"/>
        <v>0</v>
      </c>
      <c r="AL316" s="9">
        <v>0</v>
      </c>
      <c r="AM316" s="326">
        <f t="shared" si="178"/>
        <v>0</v>
      </c>
      <c r="AN316" s="970">
        <f t="shared" si="178"/>
        <v>0</v>
      </c>
      <c r="AO316" s="326">
        <f t="shared" si="181"/>
        <v>0</v>
      </c>
      <c r="AP316" s="30">
        <v>0</v>
      </c>
      <c r="AQ316" s="43"/>
      <c r="AR316" s="358">
        <f t="shared" si="173"/>
        <v>0</v>
      </c>
      <c r="AS316" s="359">
        <f t="shared" si="174"/>
        <v>0</v>
      </c>
      <c r="AT316" s="360">
        <f t="shared" si="175"/>
        <v>0</v>
      </c>
      <c r="AU316" s="43"/>
      <c r="AV316" s="2120">
        <f t="shared" si="179"/>
        <v>0</v>
      </c>
      <c r="AW316" s="119"/>
      <c r="AX316" s="2120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32" t="s">
        <v>128</v>
      </c>
      <c r="C317" s="1034"/>
      <c r="D317" s="1034"/>
      <c r="E317" s="1034"/>
      <c r="F317" s="1034"/>
      <c r="G317" s="1034"/>
      <c r="H317" s="1034"/>
      <c r="I317" s="1034"/>
      <c r="J317" s="1034"/>
      <c r="K317" s="1034"/>
      <c r="L317" s="574"/>
      <c r="M317" s="51" t="s">
        <v>265</v>
      </c>
      <c r="N317" s="113">
        <f t="shared" si="168"/>
        <v>5121</v>
      </c>
      <c r="O317" s="581"/>
      <c r="P317" s="582">
        <v>0</v>
      </c>
      <c r="Q317" s="325"/>
      <c r="R317" s="324"/>
      <c r="S317" s="583">
        <f t="shared" si="176"/>
        <v>0</v>
      </c>
      <c r="T317" s="584">
        <v>0</v>
      </c>
      <c r="U317" s="51"/>
      <c r="V317" s="541">
        <f>+'NF-KSF-TRIAL-BAL-2021'!O317+'RA-TRIAL-BAL-2021'!O317+'DES-TRIAL-BAL-2021'!O317+'DMP-TRIAL-BAL-2021'!O317</f>
        <v>0</v>
      </c>
      <c r="W317" s="529">
        <f>+'NF-KSF-TRIAL-BAL-2021'!P317+'RA-TRIAL-BAL-2021'!P317+'DES-TRIAL-BAL-2021'!P317+'DMP-TRIAL-BAL-2021'!P317</f>
        <v>0</v>
      </c>
      <c r="X317" s="587">
        <f>+'NF-KSF-TRIAL-BAL-2021'!Q317+'RA-TRIAL-BAL-2021'!Q317+'DES-TRIAL-BAL-2021'!Q317+'DMP-TRIAL-BAL-2021'!Q317</f>
        <v>0</v>
      </c>
      <c r="Y317" s="586">
        <f>+'NF-KSF-TRIAL-BAL-2021'!R317+'RA-TRIAL-BAL-2021'!R317+'DES-TRIAL-BAL-2021'!R317+'DMP-TRIAL-BAL-2021'!R317</f>
        <v>0</v>
      </c>
      <c r="Z317" s="587">
        <f>+'NF-KSF-TRIAL-BAL-2021'!S317+'RA-TRIAL-BAL-2021'!S317+'DES-TRIAL-BAL-2021'!S317+'DMP-TRIAL-BAL-2021'!S317</f>
        <v>0</v>
      </c>
      <c r="AA317" s="588">
        <f>+'NF-KSF-TRIAL-BAL-2021'!T317+'RA-TRIAL-BAL-2021'!T317+'DES-TRIAL-BAL-2021'!T317+'DMP-TRIAL-BAL-2021'!T317</f>
        <v>0</v>
      </c>
      <c r="AB317" s="51"/>
      <c r="AC317" s="581"/>
      <c r="AD317" s="582">
        <v>0</v>
      </c>
      <c r="AE317" s="122"/>
      <c r="AF317" s="324"/>
      <c r="AG317" s="583">
        <f t="shared" si="169"/>
        <v>0</v>
      </c>
      <c r="AH317" s="584">
        <v>0</v>
      </c>
      <c r="AI317" s="51"/>
      <c r="AJ317" s="1497">
        <f t="shared" si="124"/>
        <v>5121</v>
      </c>
      <c r="AK317" s="951">
        <f t="shared" si="177"/>
        <v>0</v>
      </c>
      <c r="AL317" s="9">
        <v>0</v>
      </c>
      <c r="AM317" s="326">
        <f t="shared" si="178"/>
        <v>0</v>
      </c>
      <c r="AN317" s="970">
        <f t="shared" si="178"/>
        <v>0</v>
      </c>
      <c r="AO317" s="326">
        <f t="shared" si="181"/>
        <v>0</v>
      </c>
      <c r="AP317" s="30">
        <v>0</v>
      </c>
      <c r="AQ317" s="43"/>
      <c r="AR317" s="358">
        <f t="shared" si="173"/>
        <v>0</v>
      </c>
      <c r="AS317" s="359">
        <f t="shared" si="174"/>
        <v>0</v>
      </c>
      <c r="AT317" s="360">
        <f t="shared" si="175"/>
        <v>0</v>
      </c>
      <c r="AU317" s="43"/>
      <c r="AV317" s="2120">
        <f t="shared" si="179"/>
        <v>0</v>
      </c>
      <c r="AW317" s="119"/>
      <c r="AX317" s="2120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32" t="s">
        <v>1163</v>
      </c>
      <c r="C318" s="1034"/>
      <c r="D318" s="1034"/>
      <c r="E318" s="1034"/>
      <c r="F318" s="1034"/>
      <c r="G318" s="1034"/>
      <c r="H318" s="1034"/>
      <c r="I318" s="1034"/>
      <c r="J318" s="1034"/>
      <c r="K318" s="1034"/>
      <c r="L318" s="574"/>
      <c r="M318" s="51" t="s">
        <v>265</v>
      </c>
      <c r="N318" s="113">
        <f t="shared" si="168"/>
        <v>5122</v>
      </c>
      <c r="O318" s="581"/>
      <c r="P318" s="582">
        <v>0</v>
      </c>
      <c r="Q318" s="325"/>
      <c r="R318" s="324"/>
      <c r="S318" s="583">
        <f t="shared" si="176"/>
        <v>0</v>
      </c>
      <c r="T318" s="584">
        <v>0</v>
      </c>
      <c r="U318" s="51"/>
      <c r="V318" s="541">
        <f>+'NF-KSF-TRIAL-BAL-2021'!O318+'RA-TRIAL-BAL-2021'!O318+'DES-TRIAL-BAL-2021'!O318+'DMP-TRIAL-BAL-2021'!O318</f>
        <v>0</v>
      </c>
      <c r="W318" s="529">
        <f>+'NF-KSF-TRIAL-BAL-2021'!P318+'RA-TRIAL-BAL-2021'!P318+'DES-TRIAL-BAL-2021'!P318+'DMP-TRIAL-BAL-2021'!P318</f>
        <v>0</v>
      </c>
      <c r="X318" s="587">
        <f>+'NF-KSF-TRIAL-BAL-2021'!Q318+'RA-TRIAL-BAL-2021'!Q318+'DES-TRIAL-BAL-2021'!Q318+'DMP-TRIAL-BAL-2021'!Q318</f>
        <v>0</v>
      </c>
      <c r="Y318" s="586">
        <f>+'NF-KSF-TRIAL-BAL-2021'!R318+'RA-TRIAL-BAL-2021'!R318+'DES-TRIAL-BAL-2021'!R318+'DMP-TRIAL-BAL-2021'!R318</f>
        <v>0</v>
      </c>
      <c r="Z318" s="587">
        <f>+'NF-KSF-TRIAL-BAL-2021'!S318+'RA-TRIAL-BAL-2021'!S318+'DES-TRIAL-BAL-2021'!S318+'DMP-TRIAL-BAL-2021'!S318</f>
        <v>0</v>
      </c>
      <c r="AA318" s="588">
        <f>+'NF-KSF-TRIAL-BAL-2021'!T318+'RA-TRIAL-BAL-2021'!T318+'DES-TRIAL-BAL-2021'!T318+'DMP-TRIAL-BAL-2021'!T318</f>
        <v>0</v>
      </c>
      <c r="AB318" s="51"/>
      <c r="AC318" s="581"/>
      <c r="AD318" s="582">
        <v>0</v>
      </c>
      <c r="AE318" s="325"/>
      <c r="AF318" s="324"/>
      <c r="AG318" s="583">
        <f t="shared" si="169"/>
        <v>0</v>
      </c>
      <c r="AH318" s="584">
        <v>0</v>
      </c>
      <c r="AI318" s="51"/>
      <c r="AJ318" s="1497">
        <f t="shared" si="124"/>
        <v>5122</v>
      </c>
      <c r="AK318" s="951">
        <f t="shared" si="177"/>
        <v>0</v>
      </c>
      <c r="AL318" s="9">
        <v>0</v>
      </c>
      <c r="AM318" s="326">
        <f t="shared" si="178"/>
        <v>0</v>
      </c>
      <c r="AN318" s="970">
        <f t="shared" si="178"/>
        <v>0</v>
      </c>
      <c r="AO318" s="326">
        <f t="shared" si="181"/>
        <v>0</v>
      </c>
      <c r="AP318" s="30">
        <v>0</v>
      </c>
      <c r="AQ318" s="43"/>
      <c r="AR318" s="358">
        <f t="shared" si="173"/>
        <v>0</v>
      </c>
      <c r="AS318" s="359">
        <f t="shared" si="174"/>
        <v>0</v>
      </c>
      <c r="AT318" s="360">
        <f t="shared" si="175"/>
        <v>0</v>
      </c>
      <c r="AU318" s="43"/>
      <c r="AV318" s="2120">
        <f t="shared" si="179"/>
        <v>0</v>
      </c>
      <c r="AW318" s="119"/>
      <c r="AX318" s="2120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32" t="s">
        <v>129</v>
      </c>
      <c r="C319" s="1034"/>
      <c r="D319" s="1034"/>
      <c r="E319" s="1034"/>
      <c r="F319" s="1034"/>
      <c r="G319" s="1034"/>
      <c r="H319" s="1034"/>
      <c r="I319" s="1034"/>
      <c r="J319" s="1034"/>
      <c r="K319" s="1034"/>
      <c r="L319" s="574"/>
      <c r="M319" s="51" t="s">
        <v>265</v>
      </c>
      <c r="N319" s="113">
        <f t="shared" si="168"/>
        <v>5123</v>
      </c>
      <c r="O319" s="581"/>
      <c r="P319" s="582">
        <v>0</v>
      </c>
      <c r="Q319" s="325"/>
      <c r="R319" s="324"/>
      <c r="S319" s="583">
        <f t="shared" si="176"/>
        <v>0</v>
      </c>
      <c r="T319" s="584">
        <v>0</v>
      </c>
      <c r="U319" s="51"/>
      <c r="V319" s="541">
        <f>+'NF-KSF-TRIAL-BAL-2021'!O319+'RA-TRIAL-BAL-2021'!O319+'DES-TRIAL-BAL-2021'!O319+'DMP-TRIAL-BAL-2021'!O319</f>
        <v>0</v>
      </c>
      <c r="W319" s="529">
        <f>+'NF-KSF-TRIAL-BAL-2021'!P319+'RA-TRIAL-BAL-2021'!P319+'DES-TRIAL-BAL-2021'!P319+'DMP-TRIAL-BAL-2021'!P319</f>
        <v>0</v>
      </c>
      <c r="X319" s="587">
        <f>+'NF-KSF-TRIAL-BAL-2021'!Q319+'RA-TRIAL-BAL-2021'!Q319+'DES-TRIAL-BAL-2021'!Q319+'DMP-TRIAL-BAL-2021'!Q319</f>
        <v>0</v>
      </c>
      <c r="Y319" s="586">
        <f>+'NF-KSF-TRIAL-BAL-2021'!R319+'RA-TRIAL-BAL-2021'!R319+'DES-TRIAL-BAL-2021'!R319+'DMP-TRIAL-BAL-2021'!R319</f>
        <v>0</v>
      </c>
      <c r="Z319" s="587">
        <f>+'NF-KSF-TRIAL-BAL-2021'!S319+'RA-TRIAL-BAL-2021'!S319+'DES-TRIAL-BAL-2021'!S319+'DMP-TRIAL-BAL-2021'!S319</f>
        <v>0</v>
      </c>
      <c r="AA319" s="588">
        <f>+'NF-KSF-TRIAL-BAL-2021'!T319+'RA-TRIAL-BAL-2021'!T319+'DES-TRIAL-BAL-2021'!T319+'DMP-TRIAL-BAL-2021'!T319</f>
        <v>0</v>
      </c>
      <c r="AB319" s="51"/>
      <c r="AC319" s="581"/>
      <c r="AD319" s="582">
        <v>0</v>
      </c>
      <c r="AE319" s="325"/>
      <c r="AF319" s="324"/>
      <c r="AG319" s="583">
        <f t="shared" si="169"/>
        <v>0</v>
      </c>
      <c r="AH319" s="584">
        <v>0</v>
      </c>
      <c r="AI319" s="51"/>
      <c r="AJ319" s="1497">
        <f t="shared" si="124"/>
        <v>5123</v>
      </c>
      <c r="AK319" s="951">
        <f t="shared" si="177"/>
        <v>0</v>
      </c>
      <c r="AL319" s="9">
        <v>0</v>
      </c>
      <c r="AM319" s="326">
        <f t="shared" si="178"/>
        <v>0</v>
      </c>
      <c r="AN319" s="970">
        <f t="shared" si="178"/>
        <v>0</v>
      </c>
      <c r="AO319" s="326">
        <f t="shared" si="181"/>
        <v>0</v>
      </c>
      <c r="AP319" s="30">
        <v>0</v>
      </c>
      <c r="AQ319" s="43"/>
      <c r="AR319" s="358">
        <f t="shared" si="173"/>
        <v>0</v>
      </c>
      <c r="AS319" s="359">
        <f t="shared" si="174"/>
        <v>0</v>
      </c>
      <c r="AT319" s="360">
        <f t="shared" si="175"/>
        <v>0</v>
      </c>
      <c r="AU319" s="43"/>
      <c r="AV319" s="2120">
        <f t="shared" si="179"/>
        <v>0</v>
      </c>
      <c r="AW319" s="119"/>
      <c r="AX319" s="2120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32" t="s">
        <v>1164</v>
      </c>
      <c r="C320" s="1034"/>
      <c r="D320" s="1034"/>
      <c r="E320" s="1034"/>
      <c r="F320" s="1034"/>
      <c r="G320" s="1034"/>
      <c r="H320" s="1034"/>
      <c r="I320" s="1034"/>
      <c r="J320" s="1034"/>
      <c r="K320" s="1034"/>
      <c r="L320" s="574"/>
      <c r="M320" s="51" t="s">
        <v>265</v>
      </c>
      <c r="N320" s="113">
        <f t="shared" si="168"/>
        <v>5124</v>
      </c>
      <c r="O320" s="581"/>
      <c r="P320" s="582">
        <v>0</v>
      </c>
      <c r="Q320" s="325"/>
      <c r="R320" s="324"/>
      <c r="S320" s="583">
        <f t="shared" si="176"/>
        <v>0</v>
      </c>
      <c r="T320" s="584">
        <v>0</v>
      </c>
      <c r="U320" s="51"/>
      <c r="V320" s="541">
        <f>+'NF-KSF-TRIAL-BAL-2021'!O320+'RA-TRIAL-BAL-2021'!O320+'DES-TRIAL-BAL-2021'!O320+'DMP-TRIAL-BAL-2021'!O320</f>
        <v>0</v>
      </c>
      <c r="W320" s="529">
        <f>+'NF-KSF-TRIAL-BAL-2021'!P320+'RA-TRIAL-BAL-2021'!P320+'DES-TRIAL-BAL-2021'!P320+'DMP-TRIAL-BAL-2021'!P320</f>
        <v>0</v>
      </c>
      <c r="X320" s="587">
        <f>+'NF-KSF-TRIAL-BAL-2021'!Q320+'RA-TRIAL-BAL-2021'!Q320+'DES-TRIAL-BAL-2021'!Q320+'DMP-TRIAL-BAL-2021'!Q320</f>
        <v>0</v>
      </c>
      <c r="Y320" s="586">
        <f>+'NF-KSF-TRIAL-BAL-2021'!R320+'RA-TRIAL-BAL-2021'!R320+'DES-TRIAL-BAL-2021'!R320+'DMP-TRIAL-BAL-2021'!R320</f>
        <v>0</v>
      </c>
      <c r="Z320" s="587">
        <f>+'NF-KSF-TRIAL-BAL-2021'!S320+'RA-TRIAL-BAL-2021'!S320+'DES-TRIAL-BAL-2021'!S320+'DMP-TRIAL-BAL-2021'!S320</f>
        <v>0</v>
      </c>
      <c r="AA320" s="588">
        <f>+'NF-KSF-TRIAL-BAL-2021'!T320+'RA-TRIAL-BAL-2021'!T320+'DES-TRIAL-BAL-2021'!T320+'DMP-TRIAL-BAL-2021'!T320</f>
        <v>0</v>
      </c>
      <c r="AB320" s="51"/>
      <c r="AC320" s="581"/>
      <c r="AD320" s="582">
        <v>0</v>
      </c>
      <c r="AE320" s="325"/>
      <c r="AF320" s="324"/>
      <c r="AG320" s="583">
        <f t="shared" si="169"/>
        <v>0</v>
      </c>
      <c r="AH320" s="584">
        <v>0</v>
      </c>
      <c r="AI320" s="51"/>
      <c r="AJ320" s="1497">
        <f t="shared" si="124"/>
        <v>5124</v>
      </c>
      <c r="AK320" s="951">
        <f t="shared" si="177"/>
        <v>0</v>
      </c>
      <c r="AL320" s="9">
        <v>0</v>
      </c>
      <c r="AM320" s="326">
        <f t="shared" si="178"/>
        <v>0</v>
      </c>
      <c r="AN320" s="970">
        <f t="shared" si="178"/>
        <v>0</v>
      </c>
      <c r="AO320" s="326">
        <f t="shared" si="181"/>
        <v>0</v>
      </c>
      <c r="AP320" s="30">
        <v>0</v>
      </c>
      <c r="AQ320" s="43"/>
      <c r="AR320" s="358">
        <f t="shared" si="173"/>
        <v>0</v>
      </c>
      <c r="AS320" s="359">
        <f t="shared" si="174"/>
        <v>0</v>
      </c>
      <c r="AT320" s="360">
        <f t="shared" si="175"/>
        <v>0</v>
      </c>
      <c r="AU320" s="43"/>
      <c r="AV320" s="2120">
        <f t="shared" si="179"/>
        <v>0</v>
      </c>
      <c r="AW320" s="119"/>
      <c r="AX320" s="2120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78" t="s">
        <v>130</v>
      </c>
      <c r="C321" s="1034"/>
      <c r="D321" s="1034"/>
      <c r="E321" s="1034"/>
      <c r="F321" s="1034"/>
      <c r="G321" s="1034"/>
      <c r="H321" s="1034"/>
      <c r="I321" s="1034"/>
      <c r="J321" s="1034"/>
      <c r="K321" s="1034"/>
      <c r="L321" s="574"/>
      <c r="M321" s="51" t="s">
        <v>265</v>
      </c>
      <c r="N321" s="113">
        <f t="shared" si="168"/>
        <v>5131</v>
      </c>
      <c r="O321" s="581"/>
      <c r="P321" s="582">
        <v>0</v>
      </c>
      <c r="Q321" s="325"/>
      <c r="R321" s="324"/>
      <c r="S321" s="583">
        <f t="shared" si="176"/>
        <v>0</v>
      </c>
      <c r="T321" s="584">
        <v>0</v>
      </c>
      <c r="U321" s="51"/>
      <c r="V321" s="541">
        <f>+'NF-KSF-TRIAL-BAL-2021'!O321+'RA-TRIAL-BAL-2021'!O321+'DES-TRIAL-BAL-2021'!O321+'DMP-TRIAL-BAL-2021'!O321</f>
        <v>0</v>
      </c>
      <c r="W321" s="529">
        <f>+'NF-KSF-TRIAL-BAL-2021'!P321+'RA-TRIAL-BAL-2021'!P321+'DES-TRIAL-BAL-2021'!P321+'DMP-TRIAL-BAL-2021'!P321</f>
        <v>0</v>
      </c>
      <c r="X321" s="587">
        <f>+'NF-KSF-TRIAL-BAL-2021'!Q321+'RA-TRIAL-BAL-2021'!Q321+'DES-TRIAL-BAL-2021'!Q321+'DMP-TRIAL-BAL-2021'!Q321</f>
        <v>0</v>
      </c>
      <c r="Y321" s="586">
        <f>+'NF-KSF-TRIAL-BAL-2021'!R321+'RA-TRIAL-BAL-2021'!R321+'DES-TRIAL-BAL-2021'!R321+'DMP-TRIAL-BAL-2021'!R321</f>
        <v>0</v>
      </c>
      <c r="Z321" s="587">
        <f>+'NF-KSF-TRIAL-BAL-2021'!S321+'RA-TRIAL-BAL-2021'!S321+'DES-TRIAL-BAL-2021'!S321+'DMP-TRIAL-BAL-2021'!S321</f>
        <v>0</v>
      </c>
      <c r="AA321" s="588">
        <f>+'NF-KSF-TRIAL-BAL-2021'!T321+'RA-TRIAL-BAL-2021'!T321+'DES-TRIAL-BAL-2021'!T321+'DMP-TRIAL-BAL-2021'!T321</f>
        <v>0</v>
      </c>
      <c r="AB321" s="51"/>
      <c r="AC321" s="581"/>
      <c r="AD321" s="582">
        <v>0</v>
      </c>
      <c r="AE321" s="122"/>
      <c r="AF321" s="324"/>
      <c r="AG321" s="583">
        <f t="shared" si="169"/>
        <v>0</v>
      </c>
      <c r="AH321" s="584">
        <v>0</v>
      </c>
      <c r="AI321" s="51"/>
      <c r="AJ321" s="1497">
        <f t="shared" si="124"/>
        <v>5131</v>
      </c>
      <c r="AK321" s="951">
        <f t="shared" si="177"/>
        <v>0</v>
      </c>
      <c r="AL321" s="9">
        <v>0</v>
      </c>
      <c r="AM321" s="326">
        <f t="shared" si="178"/>
        <v>0</v>
      </c>
      <c r="AN321" s="970">
        <f t="shared" si="178"/>
        <v>0</v>
      </c>
      <c r="AO321" s="326">
        <f t="shared" si="181"/>
        <v>0</v>
      </c>
      <c r="AP321" s="30">
        <v>0</v>
      </c>
      <c r="AQ321" s="43"/>
      <c r="AR321" s="358">
        <f t="shared" si="173"/>
        <v>0</v>
      </c>
      <c r="AS321" s="359">
        <f t="shared" si="174"/>
        <v>0</v>
      </c>
      <c r="AT321" s="360">
        <f t="shared" si="175"/>
        <v>0</v>
      </c>
      <c r="AU321" s="43"/>
      <c r="AV321" s="2120">
        <f t="shared" si="179"/>
        <v>0</v>
      </c>
      <c r="AW321" s="119"/>
      <c r="AX321" s="2120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78" t="s">
        <v>135</v>
      </c>
      <c r="C322" s="1034"/>
      <c r="D322" s="1034"/>
      <c r="E322" s="1034"/>
      <c r="F322" s="1034"/>
      <c r="G322" s="1034"/>
      <c r="H322" s="1034"/>
      <c r="I322" s="1034"/>
      <c r="J322" s="1034"/>
      <c r="K322" s="1034"/>
      <c r="L322" s="574"/>
      <c r="M322" s="51" t="s">
        <v>265</v>
      </c>
      <c r="N322" s="113">
        <f t="shared" si="168"/>
        <v>5139</v>
      </c>
      <c r="O322" s="581"/>
      <c r="P322" s="576"/>
      <c r="Q322" s="325"/>
      <c r="R322" s="324"/>
      <c r="S322" s="583">
        <f t="shared" ref="S322:S357" si="182">+IF(ABS(+O322+Q322)&gt;=ABS(P322+R322),+O322-P322+Q322-R322,0)</f>
        <v>0</v>
      </c>
      <c r="T322" s="580">
        <f>+IF(ABS(+O322+Q322)&lt;=ABS(P322+R322),-O322+P322-Q322+R322,0)</f>
        <v>0</v>
      </c>
      <c r="U322" s="51"/>
      <c r="V322" s="541">
        <f>+'NF-KSF-TRIAL-BAL-2021'!O322+'RA-TRIAL-BAL-2021'!O322+'DES-TRIAL-BAL-2021'!O322+'DMP-TRIAL-BAL-2021'!O322</f>
        <v>0</v>
      </c>
      <c r="W322" s="529">
        <f>+'NF-KSF-TRIAL-BAL-2021'!P322+'RA-TRIAL-BAL-2021'!P322+'DES-TRIAL-BAL-2021'!P322+'DMP-TRIAL-BAL-2021'!P322</f>
        <v>0</v>
      </c>
      <c r="X322" s="587">
        <f>+'NF-KSF-TRIAL-BAL-2021'!Q322+'RA-TRIAL-BAL-2021'!Q322+'DES-TRIAL-BAL-2021'!Q322+'DMP-TRIAL-BAL-2021'!Q322</f>
        <v>0</v>
      </c>
      <c r="Y322" s="586">
        <f>+'NF-KSF-TRIAL-BAL-2021'!R322+'RA-TRIAL-BAL-2021'!R322+'DES-TRIAL-BAL-2021'!R322+'DMP-TRIAL-BAL-2021'!R322</f>
        <v>0</v>
      </c>
      <c r="Z322" s="587">
        <f>+'NF-KSF-TRIAL-BAL-2021'!S322+'RA-TRIAL-BAL-2021'!S322+'DES-TRIAL-BAL-2021'!S322+'DMP-TRIAL-BAL-2021'!S322</f>
        <v>0</v>
      </c>
      <c r="AA322" s="588">
        <f>+'NF-KSF-TRIAL-BAL-2021'!T322+'RA-TRIAL-BAL-2021'!T322+'DES-TRIAL-BAL-2021'!T322+'DMP-TRIAL-BAL-2021'!T322</f>
        <v>0</v>
      </c>
      <c r="AB322" s="51"/>
      <c r="AC322" s="581"/>
      <c r="AD322" s="576"/>
      <c r="AE322" s="122"/>
      <c r="AF322" s="121"/>
      <c r="AG322" s="583">
        <f t="shared" ref="AG322:AG357" si="183">+IF(ABS(+AC322+AE322)&gt;=ABS(AD322+AF322),+AC322-AD322+AE322-AF322,0)</f>
        <v>0</v>
      </c>
      <c r="AH322" s="580">
        <f>+IF(ABS(+AC322+AE322)&lt;=ABS(AD322+AF322),-AC322+AD322-AE322+AF322,0)</f>
        <v>0</v>
      </c>
      <c r="AI322" s="51"/>
      <c r="AJ322" s="1497">
        <f t="shared" si="124"/>
        <v>5139</v>
      </c>
      <c r="AK322" s="951">
        <f t="shared" si="177"/>
        <v>0</v>
      </c>
      <c r="AL322" s="970">
        <f>+ROUND(+P322+W322+AD322,2)</f>
        <v>0</v>
      </c>
      <c r="AM322" s="326">
        <f t="shared" si="178"/>
        <v>0</v>
      </c>
      <c r="AN322" s="970">
        <f t="shared" si="178"/>
        <v>0</v>
      </c>
      <c r="AO322" s="326">
        <f t="shared" si="181"/>
        <v>0</v>
      </c>
      <c r="AP322" s="327">
        <f t="shared" si="181"/>
        <v>0</v>
      </c>
      <c r="AQ322" s="43"/>
      <c r="AR322" s="358">
        <f t="shared" si="173"/>
        <v>0</v>
      </c>
      <c r="AS322" s="359">
        <f t="shared" si="174"/>
        <v>0</v>
      </c>
      <c r="AT322" s="360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78" t="s">
        <v>131</v>
      </c>
      <c r="C323" s="1034"/>
      <c r="D323" s="1034"/>
      <c r="E323" s="1034"/>
      <c r="F323" s="1034"/>
      <c r="G323" s="1034"/>
      <c r="H323" s="1034"/>
      <c r="I323" s="1034"/>
      <c r="J323" s="1034"/>
      <c r="K323" s="1034"/>
      <c r="L323" s="574"/>
      <c r="M323" s="51" t="s">
        <v>265</v>
      </c>
      <c r="N323" s="113">
        <f t="shared" si="168"/>
        <v>5141</v>
      </c>
      <c r="O323" s="581"/>
      <c r="P323" s="582">
        <v>0</v>
      </c>
      <c r="Q323" s="325"/>
      <c r="R323" s="324"/>
      <c r="S323" s="583">
        <f t="shared" si="182"/>
        <v>0</v>
      </c>
      <c r="T323" s="584">
        <v>0</v>
      </c>
      <c r="U323" s="51"/>
      <c r="V323" s="541">
        <f>+'NF-KSF-TRIAL-BAL-2021'!O323+'RA-TRIAL-BAL-2021'!O323+'DES-TRIAL-BAL-2021'!O323+'DMP-TRIAL-BAL-2021'!O323</f>
        <v>0</v>
      </c>
      <c r="W323" s="529">
        <f>+'NF-KSF-TRIAL-BAL-2021'!P323+'RA-TRIAL-BAL-2021'!P323+'DES-TRIAL-BAL-2021'!P323+'DMP-TRIAL-BAL-2021'!P323</f>
        <v>0</v>
      </c>
      <c r="X323" s="587">
        <f>+'NF-KSF-TRIAL-BAL-2021'!Q323+'RA-TRIAL-BAL-2021'!Q323+'DES-TRIAL-BAL-2021'!Q323+'DMP-TRIAL-BAL-2021'!Q323</f>
        <v>0</v>
      </c>
      <c r="Y323" s="586">
        <f>+'NF-KSF-TRIAL-BAL-2021'!R323+'RA-TRIAL-BAL-2021'!R323+'DES-TRIAL-BAL-2021'!R323+'DMP-TRIAL-BAL-2021'!R323</f>
        <v>0</v>
      </c>
      <c r="Z323" s="587">
        <f>+'NF-KSF-TRIAL-BAL-2021'!S323+'RA-TRIAL-BAL-2021'!S323+'DES-TRIAL-BAL-2021'!S323+'DMP-TRIAL-BAL-2021'!S323</f>
        <v>0</v>
      </c>
      <c r="AA323" s="588">
        <f>+'NF-KSF-TRIAL-BAL-2021'!T323+'RA-TRIAL-BAL-2021'!T323+'DES-TRIAL-BAL-2021'!T323+'DMP-TRIAL-BAL-2021'!T323</f>
        <v>0</v>
      </c>
      <c r="AB323" s="51"/>
      <c r="AC323" s="581"/>
      <c r="AD323" s="582">
        <v>0</v>
      </c>
      <c r="AE323" s="325"/>
      <c r="AF323" s="324"/>
      <c r="AG323" s="583">
        <f t="shared" si="183"/>
        <v>0</v>
      </c>
      <c r="AH323" s="584">
        <v>0</v>
      </c>
      <c r="AI323" s="51"/>
      <c r="AJ323" s="1497">
        <f t="shared" si="124"/>
        <v>5141</v>
      </c>
      <c r="AK323" s="951">
        <f t="shared" si="177"/>
        <v>0</v>
      </c>
      <c r="AL323" s="9">
        <v>0</v>
      </c>
      <c r="AM323" s="326">
        <f t="shared" si="178"/>
        <v>0</v>
      </c>
      <c r="AN323" s="970">
        <f t="shared" si="178"/>
        <v>0</v>
      </c>
      <c r="AO323" s="326">
        <f t="shared" si="181"/>
        <v>0</v>
      </c>
      <c r="AP323" s="30">
        <v>0</v>
      </c>
      <c r="AQ323" s="43"/>
      <c r="AR323" s="358">
        <f t="shared" si="173"/>
        <v>0</v>
      </c>
      <c r="AS323" s="359">
        <f t="shared" si="174"/>
        <v>0</v>
      </c>
      <c r="AT323" s="360">
        <f t="shared" si="175"/>
        <v>0</v>
      </c>
      <c r="AU323" s="43"/>
      <c r="AV323" s="2120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120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78" t="s">
        <v>132</v>
      </c>
      <c r="C324" s="1034"/>
      <c r="D324" s="1034"/>
      <c r="E324" s="1034"/>
      <c r="F324" s="1034"/>
      <c r="G324" s="1034"/>
      <c r="H324" s="1034"/>
      <c r="I324" s="1034"/>
      <c r="J324" s="1034"/>
      <c r="K324" s="1034"/>
      <c r="L324" s="574"/>
      <c r="M324" s="51" t="s">
        <v>265</v>
      </c>
      <c r="N324" s="113">
        <f t="shared" si="168"/>
        <v>5142</v>
      </c>
      <c r="O324" s="581"/>
      <c r="P324" s="582">
        <v>0</v>
      </c>
      <c r="Q324" s="325"/>
      <c r="R324" s="324"/>
      <c r="S324" s="583">
        <f t="shared" si="182"/>
        <v>0</v>
      </c>
      <c r="T324" s="584">
        <v>0</v>
      </c>
      <c r="U324" s="51"/>
      <c r="V324" s="541">
        <f>+'NF-KSF-TRIAL-BAL-2021'!O324+'RA-TRIAL-BAL-2021'!O324+'DES-TRIAL-BAL-2021'!O324+'DMP-TRIAL-BAL-2021'!O324</f>
        <v>0</v>
      </c>
      <c r="W324" s="529">
        <f>+'NF-KSF-TRIAL-BAL-2021'!P324+'RA-TRIAL-BAL-2021'!P324+'DES-TRIAL-BAL-2021'!P324+'DMP-TRIAL-BAL-2021'!P324</f>
        <v>0</v>
      </c>
      <c r="X324" s="587">
        <f>+'NF-KSF-TRIAL-BAL-2021'!Q324+'RA-TRIAL-BAL-2021'!Q324+'DES-TRIAL-BAL-2021'!Q324+'DMP-TRIAL-BAL-2021'!Q324</f>
        <v>0</v>
      </c>
      <c r="Y324" s="586">
        <f>+'NF-KSF-TRIAL-BAL-2021'!R324+'RA-TRIAL-BAL-2021'!R324+'DES-TRIAL-BAL-2021'!R324+'DMP-TRIAL-BAL-2021'!R324</f>
        <v>0</v>
      </c>
      <c r="Z324" s="587">
        <f>+'NF-KSF-TRIAL-BAL-2021'!S324+'RA-TRIAL-BAL-2021'!S324+'DES-TRIAL-BAL-2021'!S324+'DMP-TRIAL-BAL-2021'!S324</f>
        <v>0</v>
      </c>
      <c r="AA324" s="588">
        <f>+'NF-KSF-TRIAL-BAL-2021'!T324+'RA-TRIAL-BAL-2021'!T324+'DES-TRIAL-BAL-2021'!T324+'DMP-TRIAL-BAL-2021'!T324</f>
        <v>0</v>
      </c>
      <c r="AB324" s="51"/>
      <c r="AC324" s="581"/>
      <c r="AD324" s="582">
        <v>0</v>
      </c>
      <c r="AE324" s="325"/>
      <c r="AF324" s="324"/>
      <c r="AG324" s="583">
        <f t="shared" si="183"/>
        <v>0</v>
      </c>
      <c r="AH324" s="584">
        <v>0</v>
      </c>
      <c r="AI324" s="51"/>
      <c r="AJ324" s="1497">
        <f t="shared" si="124"/>
        <v>5142</v>
      </c>
      <c r="AK324" s="951">
        <f t="shared" si="177"/>
        <v>0</v>
      </c>
      <c r="AL324" s="9">
        <v>0</v>
      </c>
      <c r="AM324" s="326">
        <f t="shared" si="178"/>
        <v>0</v>
      </c>
      <c r="AN324" s="970">
        <f t="shared" si="178"/>
        <v>0</v>
      </c>
      <c r="AO324" s="326">
        <f t="shared" si="181"/>
        <v>0</v>
      </c>
      <c r="AP324" s="30">
        <v>0</v>
      </c>
      <c r="AQ324" s="43"/>
      <c r="AR324" s="358">
        <f t="shared" si="173"/>
        <v>0</v>
      </c>
      <c r="AS324" s="359">
        <f t="shared" si="174"/>
        <v>0</v>
      </c>
      <c r="AT324" s="360">
        <f t="shared" si="175"/>
        <v>0</v>
      </c>
      <c r="AU324" s="43"/>
      <c r="AV324" s="2120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120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 t="s">
        <v>265</v>
      </c>
      <c r="N325" s="113">
        <f t="shared" si="168"/>
        <v>5143</v>
      </c>
      <c r="O325" s="581"/>
      <c r="P325" s="582">
        <v>0</v>
      </c>
      <c r="Q325" s="325"/>
      <c r="R325" s="324"/>
      <c r="S325" s="583">
        <f t="shared" si="182"/>
        <v>0</v>
      </c>
      <c r="T325" s="584">
        <v>0</v>
      </c>
      <c r="U325" s="51"/>
      <c r="V325" s="541">
        <f>+'NF-KSF-TRIAL-BAL-2021'!O325+'RA-TRIAL-BAL-2021'!O325+'DES-TRIAL-BAL-2021'!O325+'DMP-TRIAL-BAL-2021'!O325</f>
        <v>0</v>
      </c>
      <c r="W325" s="529">
        <f>+'NF-KSF-TRIAL-BAL-2021'!P325+'RA-TRIAL-BAL-2021'!P325+'DES-TRIAL-BAL-2021'!P325+'DMP-TRIAL-BAL-2021'!P325</f>
        <v>0</v>
      </c>
      <c r="X325" s="587">
        <f>+'NF-KSF-TRIAL-BAL-2021'!Q325+'RA-TRIAL-BAL-2021'!Q325+'DES-TRIAL-BAL-2021'!Q325+'DMP-TRIAL-BAL-2021'!Q325</f>
        <v>0</v>
      </c>
      <c r="Y325" s="586">
        <f>+'NF-KSF-TRIAL-BAL-2021'!R325+'RA-TRIAL-BAL-2021'!R325+'DES-TRIAL-BAL-2021'!R325+'DMP-TRIAL-BAL-2021'!R325</f>
        <v>0</v>
      </c>
      <c r="Z325" s="587">
        <f>+'NF-KSF-TRIAL-BAL-2021'!S325+'RA-TRIAL-BAL-2021'!S325+'DES-TRIAL-BAL-2021'!S325+'DMP-TRIAL-BAL-2021'!S325</f>
        <v>0</v>
      </c>
      <c r="AA325" s="588">
        <f>+'NF-KSF-TRIAL-BAL-2021'!T325+'RA-TRIAL-BAL-2021'!T325+'DES-TRIAL-BAL-2021'!T325+'DMP-TRIAL-BAL-2021'!T325</f>
        <v>0</v>
      </c>
      <c r="AB325" s="51"/>
      <c r="AC325" s="581"/>
      <c r="AD325" s="582">
        <v>0</v>
      </c>
      <c r="AE325" s="325"/>
      <c r="AF325" s="324"/>
      <c r="AG325" s="583">
        <f t="shared" si="183"/>
        <v>0</v>
      </c>
      <c r="AH325" s="584">
        <v>0</v>
      </c>
      <c r="AI325" s="51"/>
      <c r="AJ325" s="1497">
        <f t="shared" si="124"/>
        <v>5143</v>
      </c>
      <c r="AK325" s="951">
        <f t="shared" si="177"/>
        <v>0</v>
      </c>
      <c r="AL325" s="9">
        <v>0</v>
      </c>
      <c r="AM325" s="326">
        <f t="shared" si="178"/>
        <v>0</v>
      </c>
      <c r="AN325" s="970">
        <f t="shared" si="178"/>
        <v>0</v>
      </c>
      <c r="AO325" s="326">
        <f t="shared" si="181"/>
        <v>0</v>
      </c>
      <c r="AP325" s="30">
        <v>0</v>
      </c>
      <c r="AQ325" s="43"/>
      <c r="AR325" s="358">
        <f t="shared" si="173"/>
        <v>0</v>
      </c>
      <c r="AS325" s="359">
        <f t="shared" si="174"/>
        <v>0</v>
      </c>
      <c r="AT325" s="360">
        <f t="shared" si="175"/>
        <v>0</v>
      </c>
      <c r="AU325" s="43"/>
      <c r="AV325" s="2120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120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 t="s">
        <v>265</v>
      </c>
      <c r="N326" s="113">
        <f t="shared" si="168"/>
        <v>5144</v>
      </c>
      <c r="O326" s="581"/>
      <c r="P326" s="582">
        <v>0</v>
      </c>
      <c r="Q326" s="325"/>
      <c r="R326" s="324"/>
      <c r="S326" s="583">
        <f t="shared" si="182"/>
        <v>0</v>
      </c>
      <c r="T326" s="584">
        <v>0</v>
      </c>
      <c r="U326" s="51"/>
      <c r="V326" s="541">
        <f>+'NF-KSF-TRIAL-BAL-2021'!O326+'RA-TRIAL-BAL-2021'!O326+'DES-TRIAL-BAL-2021'!O326+'DMP-TRIAL-BAL-2021'!O326</f>
        <v>0</v>
      </c>
      <c r="W326" s="529">
        <f>+'NF-KSF-TRIAL-BAL-2021'!P326+'RA-TRIAL-BAL-2021'!P326+'DES-TRIAL-BAL-2021'!P326+'DMP-TRIAL-BAL-2021'!P326</f>
        <v>0</v>
      </c>
      <c r="X326" s="587">
        <f>+'NF-KSF-TRIAL-BAL-2021'!Q326+'RA-TRIAL-BAL-2021'!Q326+'DES-TRIAL-BAL-2021'!Q326+'DMP-TRIAL-BAL-2021'!Q326</f>
        <v>0</v>
      </c>
      <c r="Y326" s="586">
        <f>+'NF-KSF-TRIAL-BAL-2021'!R326+'RA-TRIAL-BAL-2021'!R326+'DES-TRIAL-BAL-2021'!R326+'DMP-TRIAL-BAL-2021'!R326</f>
        <v>0</v>
      </c>
      <c r="Z326" s="587">
        <f>+'NF-KSF-TRIAL-BAL-2021'!S326+'RA-TRIAL-BAL-2021'!S326+'DES-TRIAL-BAL-2021'!S326+'DMP-TRIAL-BAL-2021'!S326</f>
        <v>0</v>
      </c>
      <c r="AA326" s="588">
        <f>+'NF-KSF-TRIAL-BAL-2021'!T326+'RA-TRIAL-BAL-2021'!T326+'DES-TRIAL-BAL-2021'!T326+'DMP-TRIAL-BAL-2021'!T326</f>
        <v>0</v>
      </c>
      <c r="AB326" s="51"/>
      <c r="AC326" s="581"/>
      <c r="AD326" s="582">
        <v>0</v>
      </c>
      <c r="AE326" s="122"/>
      <c r="AF326" s="324"/>
      <c r="AG326" s="583">
        <f t="shared" si="183"/>
        <v>0</v>
      </c>
      <c r="AH326" s="584">
        <v>0</v>
      </c>
      <c r="AI326" s="51"/>
      <c r="AJ326" s="1497">
        <f t="shared" ref="AJ326:AJ401" si="184">+N326</f>
        <v>5144</v>
      </c>
      <c r="AK326" s="951">
        <f t="shared" ref="AK326:AK351" si="185">+ROUND(+O326+V326+AC326,2)</f>
        <v>0</v>
      </c>
      <c r="AL326" s="9">
        <v>0</v>
      </c>
      <c r="AM326" s="326">
        <f t="shared" si="178"/>
        <v>0</v>
      </c>
      <c r="AN326" s="970">
        <f t="shared" si="178"/>
        <v>0</v>
      </c>
      <c r="AO326" s="326">
        <f t="shared" si="181"/>
        <v>0</v>
      </c>
      <c r="AP326" s="30">
        <v>0</v>
      </c>
      <c r="AQ326" s="43"/>
      <c r="AR326" s="358">
        <f t="shared" si="173"/>
        <v>0</v>
      </c>
      <c r="AS326" s="359">
        <f t="shared" si="174"/>
        <v>0</v>
      </c>
      <c r="AT326" s="360">
        <f t="shared" si="175"/>
        <v>0</v>
      </c>
      <c r="AU326" s="43"/>
      <c r="AV326" s="2120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120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 t="s">
        <v>265</v>
      </c>
      <c r="N327" s="113">
        <f t="shared" si="168"/>
        <v>5145</v>
      </c>
      <c r="O327" s="581"/>
      <c r="P327" s="576"/>
      <c r="Q327" s="325"/>
      <c r="R327" s="324"/>
      <c r="S327" s="583">
        <f t="shared" si="182"/>
        <v>0</v>
      </c>
      <c r="T327" s="580">
        <f>+IF(ABS(+O327+Q327)&lt;=ABS(P327+R327),-O327+P327-Q327+R327,0)</f>
        <v>0</v>
      </c>
      <c r="U327" s="51"/>
      <c r="V327" s="541">
        <f>+'NF-KSF-TRIAL-BAL-2021'!O327+'RA-TRIAL-BAL-2021'!O327+'DES-TRIAL-BAL-2021'!O327+'DMP-TRIAL-BAL-2021'!O327</f>
        <v>0</v>
      </c>
      <c r="W327" s="529">
        <f>+'NF-KSF-TRIAL-BAL-2021'!P327+'RA-TRIAL-BAL-2021'!P327+'DES-TRIAL-BAL-2021'!P327+'DMP-TRIAL-BAL-2021'!P327</f>
        <v>0</v>
      </c>
      <c r="X327" s="587">
        <f>+'NF-KSF-TRIAL-BAL-2021'!Q327+'RA-TRIAL-BAL-2021'!Q327+'DES-TRIAL-BAL-2021'!Q327+'DMP-TRIAL-BAL-2021'!Q327</f>
        <v>0</v>
      </c>
      <c r="Y327" s="586">
        <f>+'NF-KSF-TRIAL-BAL-2021'!R327+'RA-TRIAL-BAL-2021'!R327+'DES-TRIAL-BAL-2021'!R327+'DMP-TRIAL-BAL-2021'!R327</f>
        <v>0</v>
      </c>
      <c r="Z327" s="587">
        <f>+'NF-KSF-TRIAL-BAL-2021'!S327+'RA-TRIAL-BAL-2021'!S327+'DES-TRIAL-BAL-2021'!S327+'DMP-TRIAL-BAL-2021'!S327</f>
        <v>0</v>
      </c>
      <c r="AA327" s="588">
        <f>+'NF-KSF-TRIAL-BAL-2021'!T327+'RA-TRIAL-BAL-2021'!T327+'DES-TRIAL-BAL-2021'!T327+'DMP-TRIAL-BAL-2021'!T327</f>
        <v>0</v>
      </c>
      <c r="AB327" s="51"/>
      <c r="AC327" s="581"/>
      <c r="AD327" s="576"/>
      <c r="AE327" s="122"/>
      <c r="AF327" s="121"/>
      <c r="AG327" s="583">
        <f t="shared" si="183"/>
        <v>0</v>
      </c>
      <c r="AH327" s="580">
        <f>+IF(ABS(+AC327+AE327)&lt;=ABS(AD327+AF327),-AC327+AD327-AE327+AF327,0)</f>
        <v>0</v>
      </c>
      <c r="AI327" s="51"/>
      <c r="AJ327" s="1497">
        <f t="shared" si="184"/>
        <v>5145</v>
      </c>
      <c r="AK327" s="951">
        <f t="shared" si="185"/>
        <v>0</v>
      </c>
      <c r="AL327" s="970">
        <f>+ROUND(+P327+W327+AD327,2)</f>
        <v>0</v>
      </c>
      <c r="AM327" s="326">
        <f t="shared" si="178"/>
        <v>0</v>
      </c>
      <c r="AN327" s="970">
        <f t="shared" si="178"/>
        <v>0</v>
      </c>
      <c r="AO327" s="326">
        <f t="shared" si="181"/>
        <v>0</v>
      </c>
      <c r="AP327" s="327">
        <f t="shared" si="181"/>
        <v>0</v>
      </c>
      <c r="AQ327" s="43"/>
      <c r="AR327" s="358">
        <f t="shared" si="173"/>
        <v>0</v>
      </c>
      <c r="AS327" s="359">
        <f t="shared" si="174"/>
        <v>0</v>
      </c>
      <c r="AT327" s="360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 t="s">
        <v>265</v>
      </c>
      <c r="N328" s="113">
        <f t="shared" si="168"/>
        <v>5146</v>
      </c>
      <c r="O328" s="581"/>
      <c r="P328" s="576"/>
      <c r="Q328" s="325"/>
      <c r="R328" s="324"/>
      <c r="S328" s="583">
        <f t="shared" si="182"/>
        <v>0</v>
      </c>
      <c r="T328" s="580">
        <f>+IF(ABS(+O328+Q328)&lt;=ABS(P328+R328),-O328+P328-Q328+R328,0)</f>
        <v>0</v>
      </c>
      <c r="U328" s="51"/>
      <c r="V328" s="541">
        <f>+'NF-KSF-TRIAL-BAL-2021'!O328+'RA-TRIAL-BAL-2021'!O328+'DES-TRIAL-BAL-2021'!O328+'DMP-TRIAL-BAL-2021'!O328</f>
        <v>0</v>
      </c>
      <c r="W328" s="529">
        <f>+'NF-KSF-TRIAL-BAL-2021'!P328+'RA-TRIAL-BAL-2021'!P328+'DES-TRIAL-BAL-2021'!P328+'DMP-TRIAL-BAL-2021'!P328</f>
        <v>0</v>
      </c>
      <c r="X328" s="587">
        <f>+'NF-KSF-TRIAL-BAL-2021'!Q328+'RA-TRIAL-BAL-2021'!Q328+'DES-TRIAL-BAL-2021'!Q328+'DMP-TRIAL-BAL-2021'!Q328</f>
        <v>0</v>
      </c>
      <c r="Y328" s="586">
        <f>+'NF-KSF-TRIAL-BAL-2021'!R328+'RA-TRIAL-BAL-2021'!R328+'DES-TRIAL-BAL-2021'!R328+'DMP-TRIAL-BAL-2021'!R328</f>
        <v>0</v>
      </c>
      <c r="Z328" s="587">
        <f>+'NF-KSF-TRIAL-BAL-2021'!S328+'RA-TRIAL-BAL-2021'!S328+'DES-TRIAL-BAL-2021'!S328+'DMP-TRIAL-BAL-2021'!S328</f>
        <v>0</v>
      </c>
      <c r="AA328" s="588">
        <f>+'NF-KSF-TRIAL-BAL-2021'!T328+'RA-TRIAL-BAL-2021'!T328+'DES-TRIAL-BAL-2021'!T328+'DMP-TRIAL-BAL-2021'!T328</f>
        <v>0</v>
      </c>
      <c r="AB328" s="51"/>
      <c r="AC328" s="581"/>
      <c r="AD328" s="576"/>
      <c r="AE328" s="325"/>
      <c r="AF328" s="324"/>
      <c r="AG328" s="583">
        <f t="shared" si="183"/>
        <v>0</v>
      </c>
      <c r="AH328" s="580">
        <f>+IF(ABS(+AC328+AE328)&lt;=ABS(AD328+AF328),-AC328+AD328-AE328+AF328,0)</f>
        <v>0</v>
      </c>
      <c r="AI328" s="51"/>
      <c r="AJ328" s="1497">
        <f t="shared" si="184"/>
        <v>5146</v>
      </c>
      <c r="AK328" s="951">
        <f t="shared" si="185"/>
        <v>0</v>
      </c>
      <c r="AL328" s="970">
        <f>+ROUND(+P328+W328+AD328,2)</f>
        <v>0</v>
      </c>
      <c r="AM328" s="326">
        <f t="shared" si="178"/>
        <v>0</v>
      </c>
      <c r="AN328" s="970">
        <f t="shared" si="178"/>
        <v>0</v>
      </c>
      <c r="AO328" s="326">
        <f t="shared" si="181"/>
        <v>0</v>
      </c>
      <c r="AP328" s="327">
        <f t="shared" si="181"/>
        <v>0</v>
      </c>
      <c r="AQ328" s="43"/>
      <c r="AR328" s="358">
        <f t="shared" si="173"/>
        <v>0</v>
      </c>
      <c r="AS328" s="359">
        <f t="shared" si="174"/>
        <v>0</v>
      </c>
      <c r="AT328" s="360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 t="s">
        <v>265</v>
      </c>
      <c r="N329" s="113">
        <f t="shared" si="168"/>
        <v>5147</v>
      </c>
      <c r="O329" s="581"/>
      <c r="P329" s="576"/>
      <c r="Q329" s="325"/>
      <c r="R329" s="324"/>
      <c r="S329" s="583">
        <f t="shared" si="182"/>
        <v>0</v>
      </c>
      <c r="T329" s="580">
        <f>+IF(ABS(+O329+Q329)&lt;=ABS(P329+R329),-O329+P329-Q329+R329,0)</f>
        <v>0</v>
      </c>
      <c r="U329" s="51"/>
      <c r="V329" s="541">
        <f>+'NF-KSF-TRIAL-BAL-2021'!O329+'RA-TRIAL-BAL-2021'!O329+'DES-TRIAL-BAL-2021'!O329+'DMP-TRIAL-BAL-2021'!O329</f>
        <v>0</v>
      </c>
      <c r="W329" s="529">
        <f>+'NF-KSF-TRIAL-BAL-2021'!P329+'RA-TRIAL-BAL-2021'!P329+'DES-TRIAL-BAL-2021'!P329+'DMP-TRIAL-BAL-2021'!P329</f>
        <v>0</v>
      </c>
      <c r="X329" s="587">
        <f>+'NF-KSF-TRIAL-BAL-2021'!Q329+'RA-TRIAL-BAL-2021'!Q329+'DES-TRIAL-BAL-2021'!Q329+'DMP-TRIAL-BAL-2021'!Q329</f>
        <v>0</v>
      </c>
      <c r="Y329" s="586">
        <f>+'NF-KSF-TRIAL-BAL-2021'!R329+'RA-TRIAL-BAL-2021'!R329+'DES-TRIAL-BAL-2021'!R329+'DMP-TRIAL-BAL-2021'!R329</f>
        <v>0</v>
      </c>
      <c r="Z329" s="587">
        <f>+'NF-KSF-TRIAL-BAL-2021'!S329+'RA-TRIAL-BAL-2021'!S329+'DES-TRIAL-BAL-2021'!S329+'DMP-TRIAL-BAL-2021'!S329</f>
        <v>0</v>
      </c>
      <c r="AA329" s="588">
        <f>+'NF-KSF-TRIAL-BAL-2021'!T329+'RA-TRIAL-BAL-2021'!T329+'DES-TRIAL-BAL-2021'!T329+'DMP-TRIAL-BAL-2021'!T329</f>
        <v>0</v>
      </c>
      <c r="AB329" s="51"/>
      <c r="AC329" s="581"/>
      <c r="AD329" s="576"/>
      <c r="AE329" s="325"/>
      <c r="AF329" s="324"/>
      <c r="AG329" s="583">
        <f t="shared" si="183"/>
        <v>0</v>
      </c>
      <c r="AH329" s="580">
        <f>+IF(ABS(+AC329+AE329)&lt;=ABS(AD329+AF329),-AC329+AD329-AE329+AF329,0)</f>
        <v>0</v>
      </c>
      <c r="AI329" s="51"/>
      <c r="AJ329" s="1497">
        <f t="shared" si="184"/>
        <v>5147</v>
      </c>
      <c r="AK329" s="951">
        <f t="shared" si="185"/>
        <v>0</v>
      </c>
      <c r="AL329" s="970">
        <f>+ROUND(+P329+W329+AD329,2)</f>
        <v>0</v>
      </c>
      <c r="AM329" s="326">
        <f t="shared" si="178"/>
        <v>0</v>
      </c>
      <c r="AN329" s="970">
        <f t="shared" si="178"/>
        <v>0</v>
      </c>
      <c r="AO329" s="326">
        <f t="shared" si="181"/>
        <v>0</v>
      </c>
      <c r="AP329" s="327">
        <f t="shared" si="181"/>
        <v>0</v>
      </c>
      <c r="AQ329" s="43"/>
      <c r="AR329" s="358">
        <f t="shared" si="173"/>
        <v>0</v>
      </c>
      <c r="AS329" s="359">
        <f t="shared" si="174"/>
        <v>0</v>
      </c>
      <c r="AT329" s="360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 t="s">
        <v>265</v>
      </c>
      <c r="N330" s="113">
        <f t="shared" si="168"/>
        <v>5148</v>
      </c>
      <c r="O330" s="581"/>
      <c r="P330" s="576"/>
      <c r="Q330" s="325"/>
      <c r="R330" s="324"/>
      <c r="S330" s="583">
        <f t="shared" si="182"/>
        <v>0</v>
      </c>
      <c r="T330" s="580">
        <f>+IF(ABS(+O330+Q330)&lt;=ABS(P330+R330),-O330+P330-Q330+R330,0)</f>
        <v>0</v>
      </c>
      <c r="U330" s="51"/>
      <c r="V330" s="541">
        <f>+'NF-KSF-TRIAL-BAL-2021'!O330+'RA-TRIAL-BAL-2021'!O330+'DES-TRIAL-BAL-2021'!O330+'DMP-TRIAL-BAL-2021'!O330</f>
        <v>0</v>
      </c>
      <c r="W330" s="529">
        <f>+'NF-KSF-TRIAL-BAL-2021'!P330+'RA-TRIAL-BAL-2021'!P330+'DES-TRIAL-BAL-2021'!P330+'DMP-TRIAL-BAL-2021'!P330</f>
        <v>0</v>
      </c>
      <c r="X330" s="587">
        <f>+'NF-KSF-TRIAL-BAL-2021'!Q330+'RA-TRIAL-BAL-2021'!Q330+'DES-TRIAL-BAL-2021'!Q330+'DMP-TRIAL-BAL-2021'!Q330</f>
        <v>0</v>
      </c>
      <c r="Y330" s="586">
        <f>+'NF-KSF-TRIAL-BAL-2021'!R330+'RA-TRIAL-BAL-2021'!R330+'DES-TRIAL-BAL-2021'!R330+'DMP-TRIAL-BAL-2021'!R330</f>
        <v>0</v>
      </c>
      <c r="Z330" s="587">
        <f>+'NF-KSF-TRIAL-BAL-2021'!S330+'RA-TRIAL-BAL-2021'!S330+'DES-TRIAL-BAL-2021'!S330+'DMP-TRIAL-BAL-2021'!S330</f>
        <v>0</v>
      </c>
      <c r="AA330" s="588">
        <f>+'NF-KSF-TRIAL-BAL-2021'!T330+'RA-TRIAL-BAL-2021'!T330+'DES-TRIAL-BAL-2021'!T330+'DMP-TRIAL-BAL-2021'!T330</f>
        <v>0</v>
      </c>
      <c r="AB330" s="51"/>
      <c r="AC330" s="581"/>
      <c r="AD330" s="576"/>
      <c r="AE330" s="325"/>
      <c r="AF330" s="324"/>
      <c r="AG330" s="583">
        <f t="shared" si="183"/>
        <v>0</v>
      </c>
      <c r="AH330" s="580">
        <f>+IF(ABS(+AC330+AE330)&lt;=ABS(AD330+AF330),-AC330+AD330-AE330+AF330,0)</f>
        <v>0</v>
      </c>
      <c r="AI330" s="51"/>
      <c r="AJ330" s="1497">
        <f t="shared" si="184"/>
        <v>5148</v>
      </c>
      <c r="AK330" s="951">
        <f t="shared" si="185"/>
        <v>0</v>
      </c>
      <c r="AL330" s="970">
        <f>+ROUND(+P330+W330+AD330,2)</f>
        <v>0</v>
      </c>
      <c r="AM330" s="326">
        <f t="shared" si="178"/>
        <v>0</v>
      </c>
      <c r="AN330" s="970">
        <f t="shared" si="178"/>
        <v>0</v>
      </c>
      <c r="AO330" s="326">
        <f t="shared" si="181"/>
        <v>0</v>
      </c>
      <c r="AP330" s="327">
        <f t="shared" si="181"/>
        <v>0</v>
      </c>
      <c r="AQ330" s="43"/>
      <c r="AR330" s="358">
        <f t="shared" si="173"/>
        <v>0</v>
      </c>
      <c r="AS330" s="359">
        <f t="shared" si="174"/>
        <v>0</v>
      </c>
      <c r="AT330" s="360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 t="s">
        <v>265</v>
      </c>
      <c r="N331" s="113">
        <f t="shared" si="168"/>
        <v>5181</v>
      </c>
      <c r="O331" s="581"/>
      <c r="P331" s="582">
        <v>0</v>
      </c>
      <c r="Q331" s="325"/>
      <c r="R331" s="324"/>
      <c r="S331" s="583">
        <f t="shared" si="182"/>
        <v>0</v>
      </c>
      <c r="T331" s="584">
        <v>0</v>
      </c>
      <c r="U331" s="51"/>
      <c r="V331" s="541">
        <f>+'NF-KSF-TRIAL-BAL-2021'!O331+'RA-TRIAL-BAL-2021'!O331+'DES-TRIAL-BAL-2021'!O331+'DMP-TRIAL-BAL-2021'!O331</f>
        <v>0</v>
      </c>
      <c r="W331" s="529">
        <f>+'NF-KSF-TRIAL-BAL-2021'!P331+'RA-TRIAL-BAL-2021'!P331+'DES-TRIAL-BAL-2021'!P331+'DMP-TRIAL-BAL-2021'!P331</f>
        <v>0</v>
      </c>
      <c r="X331" s="587">
        <f>+'NF-KSF-TRIAL-BAL-2021'!Q331+'RA-TRIAL-BAL-2021'!Q331+'DES-TRIAL-BAL-2021'!Q331+'DMP-TRIAL-BAL-2021'!Q331</f>
        <v>0</v>
      </c>
      <c r="Y331" s="586">
        <f>+'NF-KSF-TRIAL-BAL-2021'!R331+'RA-TRIAL-BAL-2021'!R331+'DES-TRIAL-BAL-2021'!R331+'DMP-TRIAL-BAL-2021'!R331</f>
        <v>0</v>
      </c>
      <c r="Z331" s="587">
        <f>+'NF-KSF-TRIAL-BAL-2021'!S331+'RA-TRIAL-BAL-2021'!S331+'DES-TRIAL-BAL-2021'!S331+'DMP-TRIAL-BAL-2021'!S331</f>
        <v>0</v>
      </c>
      <c r="AA331" s="588">
        <f>+'NF-KSF-TRIAL-BAL-2021'!T331+'RA-TRIAL-BAL-2021'!T331+'DES-TRIAL-BAL-2021'!T331+'DMP-TRIAL-BAL-2021'!T331</f>
        <v>0</v>
      </c>
      <c r="AB331" s="51"/>
      <c r="AC331" s="581"/>
      <c r="AD331" s="582">
        <v>0</v>
      </c>
      <c r="AE331" s="122"/>
      <c r="AF331" s="324"/>
      <c r="AG331" s="583">
        <f t="shared" si="183"/>
        <v>0</v>
      </c>
      <c r="AH331" s="584">
        <v>0</v>
      </c>
      <c r="AI331" s="51"/>
      <c r="AJ331" s="1497">
        <f t="shared" si="184"/>
        <v>5181</v>
      </c>
      <c r="AK331" s="951">
        <f t="shared" si="185"/>
        <v>0</v>
      </c>
      <c r="AL331" s="9">
        <v>0</v>
      </c>
      <c r="AM331" s="326">
        <f t="shared" ref="AM331:AN335" si="186">+ROUND(+Q331+X331+AE331,2)</f>
        <v>0</v>
      </c>
      <c r="AN331" s="970">
        <f t="shared" si="186"/>
        <v>0</v>
      </c>
      <c r="AO331" s="326">
        <f t="shared" si="181"/>
        <v>0</v>
      </c>
      <c r="AP331" s="30">
        <v>0</v>
      </c>
      <c r="AQ331" s="43"/>
      <c r="AR331" s="358">
        <f>+ROUND(+SUM(AK331-AL331)-SUM(O331-P331)-SUM(V331-W331)-SUM(AC331-AD331),2)</f>
        <v>0</v>
      </c>
      <c r="AS331" s="359">
        <f>+ROUND(+SUM(AM331-AN331)-SUM(Q331-R331)-SUM(X331-Y331)-SUM(AE331-AF331),2)</f>
        <v>0</v>
      </c>
      <c r="AT331" s="360">
        <f>+ROUND(+SUM(AO331-AP331)-SUM(S331-T331)-SUM(Z331-AA331)-SUM(AG331-AH331),2)</f>
        <v>0</v>
      </c>
      <c r="AU331" s="43"/>
      <c r="AV331" s="2120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120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 t="s">
        <v>265</v>
      </c>
      <c r="N332" s="113">
        <f t="shared" si="168"/>
        <v>5184</v>
      </c>
      <c r="O332" s="581"/>
      <c r="P332" s="582">
        <v>0</v>
      </c>
      <c r="Q332" s="325"/>
      <c r="R332" s="324"/>
      <c r="S332" s="583">
        <f t="shared" si="182"/>
        <v>0</v>
      </c>
      <c r="T332" s="584">
        <v>0</v>
      </c>
      <c r="U332" s="51"/>
      <c r="V332" s="541">
        <f>+'NF-KSF-TRIAL-BAL-2021'!O332+'RA-TRIAL-BAL-2021'!O332+'DES-TRIAL-BAL-2021'!O332+'DMP-TRIAL-BAL-2021'!O332</f>
        <v>0</v>
      </c>
      <c r="W332" s="529">
        <f>+'NF-KSF-TRIAL-BAL-2021'!P332+'RA-TRIAL-BAL-2021'!P332+'DES-TRIAL-BAL-2021'!P332+'DMP-TRIAL-BAL-2021'!P332</f>
        <v>0</v>
      </c>
      <c r="X332" s="587">
        <f>+'NF-KSF-TRIAL-BAL-2021'!Q332+'RA-TRIAL-BAL-2021'!Q332+'DES-TRIAL-BAL-2021'!Q332+'DMP-TRIAL-BAL-2021'!Q332</f>
        <v>0</v>
      </c>
      <c r="Y332" s="586">
        <f>+'NF-KSF-TRIAL-BAL-2021'!R332+'RA-TRIAL-BAL-2021'!R332+'DES-TRIAL-BAL-2021'!R332+'DMP-TRIAL-BAL-2021'!R332</f>
        <v>0</v>
      </c>
      <c r="Z332" s="587">
        <f>+'NF-KSF-TRIAL-BAL-2021'!S332+'RA-TRIAL-BAL-2021'!S332+'DES-TRIAL-BAL-2021'!S332+'DMP-TRIAL-BAL-2021'!S332</f>
        <v>0</v>
      </c>
      <c r="AA332" s="588">
        <f>+'NF-KSF-TRIAL-BAL-2021'!T332+'RA-TRIAL-BAL-2021'!T332+'DES-TRIAL-BAL-2021'!T332+'DMP-TRIAL-BAL-2021'!T332</f>
        <v>0</v>
      </c>
      <c r="AB332" s="51"/>
      <c r="AC332" s="581"/>
      <c r="AD332" s="582">
        <v>0</v>
      </c>
      <c r="AE332" s="122"/>
      <c r="AF332" s="324"/>
      <c r="AG332" s="583">
        <f t="shared" si="183"/>
        <v>0</v>
      </c>
      <c r="AH332" s="584">
        <v>0</v>
      </c>
      <c r="AI332" s="51"/>
      <c r="AJ332" s="1497">
        <f t="shared" si="184"/>
        <v>5184</v>
      </c>
      <c r="AK332" s="951">
        <f t="shared" si="185"/>
        <v>0</v>
      </c>
      <c r="AL332" s="9">
        <v>0</v>
      </c>
      <c r="AM332" s="326">
        <f t="shared" si="186"/>
        <v>0</v>
      </c>
      <c r="AN332" s="970">
        <f t="shared" si="186"/>
        <v>0</v>
      </c>
      <c r="AO332" s="326">
        <f t="shared" si="181"/>
        <v>0</v>
      </c>
      <c r="AP332" s="30">
        <v>0</v>
      </c>
      <c r="AQ332" s="43"/>
      <c r="AR332" s="358">
        <f>+ROUND(+SUM(AK332-AL332)-SUM(O332-P332)-SUM(V332-W332)-SUM(AC332-AD332),2)</f>
        <v>0</v>
      </c>
      <c r="AS332" s="359">
        <f>+ROUND(+SUM(AM332-AN332)-SUM(Q332-R332)-SUM(X332-Y332)-SUM(AE332-AF332),2)</f>
        <v>0</v>
      </c>
      <c r="AT332" s="360">
        <f>+ROUND(+SUM(AO332-AP332)-SUM(S332-T332)-SUM(Z332-AA332)-SUM(AG332-AH332),2)</f>
        <v>0</v>
      </c>
      <c r="AU332" s="43"/>
      <c r="AV332" s="2120">
        <f t="shared" si="187"/>
        <v>0</v>
      </c>
      <c r="AW332" s="119"/>
      <c r="AX332" s="2120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 t="s">
        <v>265</v>
      </c>
      <c r="N333" s="113">
        <f t="shared" si="168"/>
        <v>5186</v>
      </c>
      <c r="O333" s="581"/>
      <c r="P333" s="582">
        <v>0</v>
      </c>
      <c r="Q333" s="325"/>
      <c r="R333" s="324"/>
      <c r="S333" s="583">
        <f t="shared" si="182"/>
        <v>0</v>
      </c>
      <c r="T333" s="584">
        <v>0</v>
      </c>
      <c r="U333" s="51"/>
      <c r="V333" s="541">
        <f>+'NF-KSF-TRIAL-BAL-2021'!O333+'RA-TRIAL-BAL-2021'!O333+'DES-TRIAL-BAL-2021'!O333+'DMP-TRIAL-BAL-2021'!O333</f>
        <v>0</v>
      </c>
      <c r="W333" s="529">
        <f>+'NF-KSF-TRIAL-BAL-2021'!P333+'RA-TRIAL-BAL-2021'!P333+'DES-TRIAL-BAL-2021'!P333+'DMP-TRIAL-BAL-2021'!P333</f>
        <v>0</v>
      </c>
      <c r="X333" s="587">
        <f>+'NF-KSF-TRIAL-BAL-2021'!Q333+'RA-TRIAL-BAL-2021'!Q333+'DES-TRIAL-BAL-2021'!Q333+'DMP-TRIAL-BAL-2021'!Q333</f>
        <v>0</v>
      </c>
      <c r="Y333" s="586">
        <f>+'NF-KSF-TRIAL-BAL-2021'!R333+'RA-TRIAL-BAL-2021'!R333+'DES-TRIAL-BAL-2021'!R333+'DMP-TRIAL-BAL-2021'!R333</f>
        <v>0</v>
      </c>
      <c r="Z333" s="587">
        <f>+'NF-KSF-TRIAL-BAL-2021'!S333+'RA-TRIAL-BAL-2021'!S333+'DES-TRIAL-BAL-2021'!S333+'DMP-TRIAL-BAL-2021'!S333</f>
        <v>0</v>
      </c>
      <c r="AA333" s="588">
        <f>+'NF-KSF-TRIAL-BAL-2021'!T333+'RA-TRIAL-BAL-2021'!T333+'DES-TRIAL-BAL-2021'!T333+'DMP-TRIAL-BAL-2021'!T333</f>
        <v>0</v>
      </c>
      <c r="AB333" s="51"/>
      <c r="AC333" s="581"/>
      <c r="AD333" s="582">
        <v>0</v>
      </c>
      <c r="AE333" s="325"/>
      <c r="AF333" s="324"/>
      <c r="AG333" s="583">
        <f t="shared" si="183"/>
        <v>0</v>
      </c>
      <c r="AH333" s="584">
        <v>0</v>
      </c>
      <c r="AI333" s="51"/>
      <c r="AJ333" s="1497">
        <f t="shared" si="184"/>
        <v>5186</v>
      </c>
      <c r="AK333" s="951">
        <f t="shared" si="185"/>
        <v>0</v>
      </c>
      <c r="AL333" s="9">
        <v>0</v>
      </c>
      <c r="AM333" s="326">
        <f t="shared" si="186"/>
        <v>0</v>
      </c>
      <c r="AN333" s="970">
        <f t="shared" si="186"/>
        <v>0</v>
      </c>
      <c r="AO333" s="326">
        <f t="shared" si="181"/>
        <v>0</v>
      </c>
      <c r="AP333" s="30">
        <v>0</v>
      </c>
      <c r="AQ333" s="43"/>
      <c r="AR333" s="358">
        <f>+ROUND(+SUM(AK333-AL333)-SUM(O333-P333)-SUM(V333-W333)-SUM(AC333-AD333),2)</f>
        <v>0</v>
      </c>
      <c r="AS333" s="359">
        <f>+ROUND(+SUM(AM333-AN333)-SUM(Q333-R333)-SUM(X333-Y333)-SUM(AE333-AF333),2)</f>
        <v>0</v>
      </c>
      <c r="AT333" s="360">
        <f>+ROUND(+SUM(AO333-AP333)-SUM(S333-T333)-SUM(Z333-AA333)-SUM(AG333-AH333),2)</f>
        <v>0</v>
      </c>
      <c r="AU333" s="43"/>
      <c r="AV333" s="2120">
        <f t="shared" si="187"/>
        <v>0</v>
      </c>
      <c r="AW333" s="119"/>
      <c r="AX333" s="2120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 t="s">
        <v>265</v>
      </c>
      <c r="N334" s="113">
        <f t="shared" si="168"/>
        <v>5188</v>
      </c>
      <c r="O334" s="581"/>
      <c r="P334" s="582">
        <v>0</v>
      </c>
      <c r="Q334" s="325"/>
      <c r="R334" s="324"/>
      <c r="S334" s="583">
        <f t="shared" si="182"/>
        <v>0</v>
      </c>
      <c r="T334" s="584">
        <v>0</v>
      </c>
      <c r="U334" s="51"/>
      <c r="V334" s="541">
        <f>+'NF-KSF-TRIAL-BAL-2021'!O334+'RA-TRIAL-BAL-2021'!O334+'DES-TRIAL-BAL-2021'!O334+'DMP-TRIAL-BAL-2021'!O334</f>
        <v>0</v>
      </c>
      <c r="W334" s="529">
        <f>+'NF-KSF-TRIAL-BAL-2021'!P334+'RA-TRIAL-BAL-2021'!P334+'DES-TRIAL-BAL-2021'!P334+'DMP-TRIAL-BAL-2021'!P334</f>
        <v>0</v>
      </c>
      <c r="X334" s="587">
        <f>+'NF-KSF-TRIAL-BAL-2021'!Q334+'RA-TRIAL-BAL-2021'!Q334+'DES-TRIAL-BAL-2021'!Q334+'DMP-TRIAL-BAL-2021'!Q334</f>
        <v>0</v>
      </c>
      <c r="Y334" s="586">
        <f>+'NF-KSF-TRIAL-BAL-2021'!R334+'RA-TRIAL-BAL-2021'!R334+'DES-TRIAL-BAL-2021'!R334+'DMP-TRIAL-BAL-2021'!R334</f>
        <v>0</v>
      </c>
      <c r="Z334" s="587">
        <f>+'NF-KSF-TRIAL-BAL-2021'!S334+'RA-TRIAL-BAL-2021'!S334+'DES-TRIAL-BAL-2021'!S334+'DMP-TRIAL-BAL-2021'!S334</f>
        <v>0</v>
      </c>
      <c r="AA334" s="588">
        <f>+'NF-KSF-TRIAL-BAL-2021'!T334+'RA-TRIAL-BAL-2021'!T334+'DES-TRIAL-BAL-2021'!T334+'DMP-TRIAL-BAL-2021'!T334</f>
        <v>0</v>
      </c>
      <c r="AB334" s="51"/>
      <c r="AC334" s="581"/>
      <c r="AD334" s="582">
        <v>0</v>
      </c>
      <c r="AE334" s="325"/>
      <c r="AF334" s="324"/>
      <c r="AG334" s="583">
        <f t="shared" si="183"/>
        <v>0</v>
      </c>
      <c r="AH334" s="584">
        <v>0</v>
      </c>
      <c r="AI334" s="51"/>
      <c r="AJ334" s="1497">
        <f>+N334</f>
        <v>5188</v>
      </c>
      <c r="AK334" s="951">
        <f t="shared" si="185"/>
        <v>0</v>
      </c>
      <c r="AL334" s="9">
        <v>0</v>
      </c>
      <c r="AM334" s="326">
        <f t="shared" si="186"/>
        <v>0</v>
      </c>
      <c r="AN334" s="970">
        <f t="shared" si="186"/>
        <v>0</v>
      </c>
      <c r="AO334" s="326">
        <f t="shared" si="181"/>
        <v>0</v>
      </c>
      <c r="AP334" s="30">
        <v>0</v>
      </c>
      <c r="AQ334" s="43"/>
      <c r="AR334" s="358">
        <f>+ROUND(+SUM(AK334-AL334)-SUM(O334-P334)-SUM(V334-W334)-SUM(AC334-AD334),2)</f>
        <v>0</v>
      </c>
      <c r="AS334" s="359">
        <f>+ROUND(+SUM(AM334-AN334)-SUM(Q334-R334)-SUM(X334-Y334)-SUM(AE334-AF334),2)</f>
        <v>0</v>
      </c>
      <c r="AT334" s="360">
        <f>+ROUND(+SUM(AO334-AP334)-SUM(S334-T334)-SUM(Z334-AA334)-SUM(AG334-AH334),2)</f>
        <v>0</v>
      </c>
      <c r="AU334" s="43"/>
      <c r="AV334" s="2120">
        <f t="shared" si="187"/>
        <v>0</v>
      </c>
      <c r="AW334" s="119"/>
      <c r="AX334" s="2120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 t="s">
        <v>265</v>
      </c>
      <c r="N335" s="113">
        <f t="shared" si="168"/>
        <v>5189</v>
      </c>
      <c r="O335" s="581"/>
      <c r="P335" s="582">
        <v>0</v>
      </c>
      <c r="Q335" s="325"/>
      <c r="R335" s="324"/>
      <c r="S335" s="583">
        <f t="shared" si="182"/>
        <v>0</v>
      </c>
      <c r="T335" s="584">
        <v>0</v>
      </c>
      <c r="U335" s="51"/>
      <c r="V335" s="541">
        <f>+'NF-KSF-TRIAL-BAL-2021'!O335+'RA-TRIAL-BAL-2021'!O335+'DES-TRIAL-BAL-2021'!O335+'DMP-TRIAL-BAL-2021'!O335</f>
        <v>0</v>
      </c>
      <c r="W335" s="529">
        <f>+'NF-KSF-TRIAL-BAL-2021'!P335+'RA-TRIAL-BAL-2021'!P335+'DES-TRIAL-BAL-2021'!P335+'DMP-TRIAL-BAL-2021'!P335</f>
        <v>0</v>
      </c>
      <c r="X335" s="587">
        <f>+'NF-KSF-TRIAL-BAL-2021'!Q335+'RA-TRIAL-BAL-2021'!Q335+'DES-TRIAL-BAL-2021'!Q335+'DMP-TRIAL-BAL-2021'!Q335</f>
        <v>0</v>
      </c>
      <c r="Y335" s="586">
        <f>+'NF-KSF-TRIAL-BAL-2021'!R335+'RA-TRIAL-BAL-2021'!R335+'DES-TRIAL-BAL-2021'!R335+'DMP-TRIAL-BAL-2021'!R335</f>
        <v>0</v>
      </c>
      <c r="Z335" s="587">
        <f>+'NF-KSF-TRIAL-BAL-2021'!S335+'RA-TRIAL-BAL-2021'!S335+'DES-TRIAL-BAL-2021'!S335+'DMP-TRIAL-BAL-2021'!S335</f>
        <v>0</v>
      </c>
      <c r="AA335" s="588">
        <f>+'NF-KSF-TRIAL-BAL-2021'!T335+'RA-TRIAL-BAL-2021'!T335+'DES-TRIAL-BAL-2021'!T335+'DMP-TRIAL-BAL-2021'!T335</f>
        <v>0</v>
      </c>
      <c r="AB335" s="51"/>
      <c r="AC335" s="581"/>
      <c r="AD335" s="582">
        <v>0</v>
      </c>
      <c r="AE335" s="325"/>
      <c r="AF335" s="324"/>
      <c r="AG335" s="583">
        <f t="shared" si="183"/>
        <v>0</v>
      </c>
      <c r="AH335" s="584">
        <v>0</v>
      </c>
      <c r="AI335" s="51"/>
      <c r="AJ335" s="1497">
        <f>+N335</f>
        <v>5189</v>
      </c>
      <c r="AK335" s="951">
        <f t="shared" si="185"/>
        <v>0</v>
      </c>
      <c r="AL335" s="9">
        <v>0</v>
      </c>
      <c r="AM335" s="326">
        <f t="shared" si="186"/>
        <v>0</v>
      </c>
      <c r="AN335" s="970">
        <f t="shared" si="186"/>
        <v>0</v>
      </c>
      <c r="AO335" s="326">
        <f t="shared" si="181"/>
        <v>0</v>
      </c>
      <c r="AP335" s="30">
        <v>0</v>
      </c>
      <c r="AQ335" s="43"/>
      <c r="AR335" s="358">
        <f>+ROUND(+SUM(AK335-AL335)-SUM(O335-P335)-SUM(V335-W335)-SUM(AC335-AD335),2)</f>
        <v>0</v>
      </c>
      <c r="AS335" s="359">
        <f>+ROUND(+SUM(AM335-AN335)-SUM(Q335-R335)-SUM(X335-Y335)-SUM(AE335-AF335),2)</f>
        <v>0</v>
      </c>
      <c r="AT335" s="360">
        <f>+ROUND(+SUM(AO335-AP335)-SUM(S335-T335)-SUM(Z335-AA335)-SUM(AG335-AH335),2)</f>
        <v>0</v>
      </c>
      <c r="AU335" s="43"/>
      <c r="AV335" s="2120">
        <f t="shared" si="187"/>
        <v>0</v>
      </c>
      <c r="AW335" s="119"/>
      <c r="AX335" s="2120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 t="s">
        <v>265</v>
      </c>
      <c r="N336" s="113">
        <f t="shared" si="168"/>
        <v>5191</v>
      </c>
      <c r="O336" s="581"/>
      <c r="P336" s="582">
        <v>0</v>
      </c>
      <c r="Q336" s="325"/>
      <c r="R336" s="324"/>
      <c r="S336" s="583">
        <f t="shared" si="182"/>
        <v>0</v>
      </c>
      <c r="T336" s="584">
        <v>0</v>
      </c>
      <c r="U336" s="51"/>
      <c r="V336" s="541">
        <f>+'NF-KSF-TRIAL-BAL-2021'!O336+'RA-TRIAL-BAL-2021'!O336+'DES-TRIAL-BAL-2021'!O336+'DMP-TRIAL-BAL-2021'!O336</f>
        <v>0</v>
      </c>
      <c r="W336" s="529">
        <f>+'NF-KSF-TRIAL-BAL-2021'!P336+'RA-TRIAL-BAL-2021'!P336+'DES-TRIAL-BAL-2021'!P336+'DMP-TRIAL-BAL-2021'!P336</f>
        <v>0</v>
      </c>
      <c r="X336" s="587">
        <f>+'NF-KSF-TRIAL-BAL-2021'!Q336+'RA-TRIAL-BAL-2021'!Q336+'DES-TRIAL-BAL-2021'!Q336+'DMP-TRIAL-BAL-2021'!Q336</f>
        <v>0</v>
      </c>
      <c r="Y336" s="586">
        <f>+'NF-KSF-TRIAL-BAL-2021'!R336+'RA-TRIAL-BAL-2021'!R336+'DES-TRIAL-BAL-2021'!R336+'DMP-TRIAL-BAL-2021'!R336</f>
        <v>0</v>
      </c>
      <c r="Z336" s="587">
        <f>+'NF-KSF-TRIAL-BAL-2021'!S336+'RA-TRIAL-BAL-2021'!S336+'DES-TRIAL-BAL-2021'!S336+'DMP-TRIAL-BAL-2021'!S336</f>
        <v>0</v>
      </c>
      <c r="AA336" s="588">
        <f>+'NF-KSF-TRIAL-BAL-2021'!T336+'RA-TRIAL-BAL-2021'!T336+'DES-TRIAL-BAL-2021'!T336+'DMP-TRIAL-BAL-2021'!T336</f>
        <v>0</v>
      </c>
      <c r="AB336" s="51"/>
      <c r="AC336" s="581"/>
      <c r="AD336" s="582">
        <v>0</v>
      </c>
      <c r="AE336" s="122"/>
      <c r="AF336" s="324"/>
      <c r="AG336" s="583">
        <f t="shared" si="183"/>
        <v>0</v>
      </c>
      <c r="AH336" s="584">
        <v>0</v>
      </c>
      <c r="AI336" s="51"/>
      <c r="AJ336" s="1497">
        <f t="shared" si="184"/>
        <v>5191</v>
      </c>
      <c r="AK336" s="951">
        <f t="shared" si="185"/>
        <v>0</v>
      </c>
      <c r="AL336" s="970">
        <f>+ROUND(+P336+W336+AD336,2)</f>
        <v>0</v>
      </c>
      <c r="AM336" s="326">
        <f t="shared" si="178"/>
        <v>0</v>
      </c>
      <c r="AN336" s="970">
        <f t="shared" si="178"/>
        <v>0</v>
      </c>
      <c r="AO336" s="326">
        <f t="shared" si="181"/>
        <v>0</v>
      </c>
      <c r="AP336" s="30">
        <v>0</v>
      </c>
      <c r="AQ336" s="43"/>
      <c r="AR336" s="358">
        <f t="shared" si="173"/>
        <v>0</v>
      </c>
      <c r="AS336" s="359">
        <f t="shared" si="174"/>
        <v>0</v>
      </c>
      <c r="AT336" s="360">
        <f t="shared" si="175"/>
        <v>0</v>
      </c>
      <c r="AU336" s="43"/>
      <c r="AV336" s="2120">
        <f t="shared" si="187"/>
        <v>0</v>
      </c>
      <c r="AW336" s="119"/>
      <c r="AX336" s="2120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 t="s">
        <v>265</v>
      </c>
      <c r="N337" s="113">
        <f t="shared" si="168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541">
        <f>+'NF-KSF-TRIAL-BAL-2021'!O337+'RA-TRIAL-BAL-2021'!O337+'DES-TRIAL-BAL-2021'!O337+'DMP-TRIAL-BAL-2021'!O337</f>
        <v>0</v>
      </c>
      <c r="W337" s="529">
        <f>+'NF-KSF-TRIAL-BAL-2021'!P337+'RA-TRIAL-BAL-2021'!P337+'DES-TRIAL-BAL-2021'!P337+'DMP-TRIAL-BAL-2021'!P337</f>
        <v>0</v>
      </c>
      <c r="X337" s="587">
        <f>+'NF-KSF-TRIAL-BAL-2021'!Q337+'RA-TRIAL-BAL-2021'!Q337+'DES-TRIAL-BAL-2021'!Q337+'DMP-TRIAL-BAL-2021'!Q337</f>
        <v>0</v>
      </c>
      <c r="Y337" s="586">
        <f>+'NF-KSF-TRIAL-BAL-2021'!R337+'RA-TRIAL-BAL-2021'!R337+'DES-TRIAL-BAL-2021'!R337+'DMP-TRIAL-BAL-2021'!R337</f>
        <v>0</v>
      </c>
      <c r="Z337" s="587">
        <f>+'NF-KSF-TRIAL-BAL-2021'!S337+'RA-TRIAL-BAL-2021'!S337+'DES-TRIAL-BAL-2021'!S337+'DMP-TRIAL-BAL-2021'!S337</f>
        <v>0</v>
      </c>
      <c r="AA337" s="588">
        <f>+'NF-KSF-TRIAL-BAL-2021'!T337+'RA-TRIAL-BAL-2021'!T337+'DES-TRIAL-BAL-2021'!T337+'DMP-TRIAL-BAL-2021'!T337</f>
        <v>0</v>
      </c>
      <c r="AB337" s="51"/>
      <c r="AC337" s="575">
        <v>0</v>
      </c>
      <c r="AD337" s="576"/>
      <c r="AE337" s="122"/>
      <c r="AF337" s="324"/>
      <c r="AG337" s="579">
        <v>0</v>
      </c>
      <c r="AH337" s="580">
        <f>+IF(ABS(+AC337+AE337)&lt;=ABS(AD337+AF337),-AC337+AD337-AE337+AF337,0)</f>
        <v>0</v>
      </c>
      <c r="AI337" s="51"/>
      <c r="AJ337" s="1497">
        <f t="shared" si="184"/>
        <v>5192</v>
      </c>
      <c r="AK337" s="951">
        <f t="shared" si="185"/>
        <v>0</v>
      </c>
      <c r="AL337" s="970">
        <f>+ROUND(+P337+W337+AD337,2)</f>
        <v>0</v>
      </c>
      <c r="AM337" s="326">
        <f t="shared" si="178"/>
        <v>0</v>
      </c>
      <c r="AN337" s="970">
        <f t="shared" si="178"/>
        <v>0</v>
      </c>
      <c r="AO337" s="29">
        <v>0</v>
      </c>
      <c r="AP337" s="327">
        <f>+T337+AA337+AH337</f>
        <v>0</v>
      </c>
      <c r="AQ337" s="43"/>
      <c r="AR337" s="358">
        <f t="shared" si="173"/>
        <v>0</v>
      </c>
      <c r="AS337" s="359">
        <f t="shared" si="174"/>
        <v>0</v>
      </c>
      <c r="AT337" s="360">
        <f t="shared" si="175"/>
        <v>0</v>
      </c>
      <c r="AU337" s="43"/>
      <c r="AV337" s="2119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119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 t="s">
        <v>265</v>
      </c>
      <c r="N338" s="113">
        <f t="shared" si="168"/>
        <v>5197</v>
      </c>
      <c r="O338" s="581"/>
      <c r="P338" s="582">
        <v>0</v>
      </c>
      <c r="Q338" s="325"/>
      <c r="R338" s="324"/>
      <c r="S338" s="583">
        <f t="shared" ref="S338:S343" si="189">+IF(ABS(+O338+Q338)&gt;=ABS(P338+R338),+O338-P338+Q338-R338,0)</f>
        <v>0</v>
      </c>
      <c r="T338" s="584">
        <v>0</v>
      </c>
      <c r="U338" s="51"/>
      <c r="V338" s="541">
        <f>+'NF-KSF-TRIAL-BAL-2021'!O338+'RA-TRIAL-BAL-2021'!O338+'DES-TRIAL-BAL-2021'!O338+'DMP-TRIAL-BAL-2021'!O338</f>
        <v>0</v>
      </c>
      <c r="W338" s="529">
        <f>+'NF-KSF-TRIAL-BAL-2021'!P338+'RA-TRIAL-BAL-2021'!P338+'DES-TRIAL-BAL-2021'!P338+'DMP-TRIAL-BAL-2021'!P338</f>
        <v>0</v>
      </c>
      <c r="X338" s="587">
        <f>+'NF-KSF-TRIAL-BAL-2021'!Q338+'RA-TRIAL-BAL-2021'!Q338+'DES-TRIAL-BAL-2021'!Q338+'DMP-TRIAL-BAL-2021'!Q338</f>
        <v>0</v>
      </c>
      <c r="Y338" s="586">
        <f>+'NF-KSF-TRIAL-BAL-2021'!R338+'RA-TRIAL-BAL-2021'!R338+'DES-TRIAL-BAL-2021'!R338+'DMP-TRIAL-BAL-2021'!R338</f>
        <v>0</v>
      </c>
      <c r="Z338" s="587">
        <f>+'NF-KSF-TRIAL-BAL-2021'!S338+'RA-TRIAL-BAL-2021'!S338+'DES-TRIAL-BAL-2021'!S338+'DMP-TRIAL-BAL-2021'!S338</f>
        <v>0</v>
      </c>
      <c r="AA338" s="588">
        <f>+'NF-KSF-TRIAL-BAL-2021'!T338+'RA-TRIAL-BAL-2021'!T338+'DES-TRIAL-BAL-2021'!T338+'DMP-TRIAL-BAL-2021'!T338</f>
        <v>0</v>
      </c>
      <c r="AB338" s="51"/>
      <c r="AC338" s="581"/>
      <c r="AD338" s="582">
        <v>0</v>
      </c>
      <c r="AE338" s="325"/>
      <c r="AF338" s="324"/>
      <c r="AG338" s="583">
        <f t="shared" ref="AG338:AG343" si="190">+IF(ABS(+AC338+AE338)&gt;=ABS(AD338+AF338),+AC338-AD338+AE338-AF338,0)</f>
        <v>0</v>
      </c>
      <c r="AH338" s="584">
        <v>0</v>
      </c>
      <c r="AI338" s="51"/>
      <c r="AJ338" s="1497">
        <f t="shared" si="184"/>
        <v>5197</v>
      </c>
      <c r="AK338" s="951">
        <f t="shared" si="185"/>
        <v>0</v>
      </c>
      <c r="AL338" s="9">
        <v>0</v>
      </c>
      <c r="AM338" s="326">
        <f t="shared" si="178"/>
        <v>0</v>
      </c>
      <c r="AN338" s="970">
        <f t="shared" si="178"/>
        <v>0</v>
      </c>
      <c r="AO338" s="326">
        <f t="shared" ref="AO338:AP366" si="191">+S338+Z338+AG338</f>
        <v>0</v>
      </c>
      <c r="AP338" s="30">
        <v>0</v>
      </c>
      <c r="AQ338" s="43"/>
      <c r="AR338" s="358">
        <f t="shared" si="173"/>
        <v>0</v>
      </c>
      <c r="AS338" s="359">
        <f t="shared" si="174"/>
        <v>0</v>
      </c>
      <c r="AT338" s="360">
        <f t="shared" si="175"/>
        <v>0</v>
      </c>
      <c r="AU338" s="43"/>
      <c r="AV338" s="2120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120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 t="s">
        <v>265</v>
      </c>
      <c r="N339" s="113">
        <f t="shared" si="168"/>
        <v>5198</v>
      </c>
      <c r="O339" s="581"/>
      <c r="P339" s="582">
        <v>0</v>
      </c>
      <c r="Q339" s="325"/>
      <c r="R339" s="324"/>
      <c r="S339" s="583">
        <f t="shared" si="189"/>
        <v>0</v>
      </c>
      <c r="T339" s="584">
        <v>0</v>
      </c>
      <c r="U339" s="51"/>
      <c r="V339" s="541">
        <f>+'NF-KSF-TRIAL-BAL-2021'!O339+'RA-TRIAL-BAL-2021'!O339+'DES-TRIAL-BAL-2021'!O339+'DMP-TRIAL-BAL-2021'!O339</f>
        <v>0</v>
      </c>
      <c r="W339" s="529">
        <f>+'NF-KSF-TRIAL-BAL-2021'!P339+'RA-TRIAL-BAL-2021'!P339+'DES-TRIAL-BAL-2021'!P339+'DMP-TRIAL-BAL-2021'!P339</f>
        <v>0</v>
      </c>
      <c r="X339" s="587">
        <f>+'NF-KSF-TRIAL-BAL-2021'!Q339+'RA-TRIAL-BAL-2021'!Q339+'DES-TRIAL-BAL-2021'!Q339+'DMP-TRIAL-BAL-2021'!Q339</f>
        <v>0</v>
      </c>
      <c r="Y339" s="586">
        <f>+'NF-KSF-TRIAL-BAL-2021'!R339+'RA-TRIAL-BAL-2021'!R339+'DES-TRIAL-BAL-2021'!R339+'DMP-TRIAL-BAL-2021'!R339</f>
        <v>0</v>
      </c>
      <c r="Z339" s="587">
        <f>+'NF-KSF-TRIAL-BAL-2021'!S339+'RA-TRIAL-BAL-2021'!S339+'DES-TRIAL-BAL-2021'!S339+'DMP-TRIAL-BAL-2021'!S339</f>
        <v>0</v>
      </c>
      <c r="AA339" s="588">
        <f>+'NF-KSF-TRIAL-BAL-2021'!T339+'RA-TRIAL-BAL-2021'!T339+'DES-TRIAL-BAL-2021'!T339+'DMP-TRIAL-BAL-2021'!T339</f>
        <v>0</v>
      </c>
      <c r="AB339" s="51"/>
      <c r="AC339" s="581"/>
      <c r="AD339" s="582">
        <v>0</v>
      </c>
      <c r="AE339" s="325"/>
      <c r="AF339" s="324"/>
      <c r="AG339" s="583">
        <f t="shared" si="190"/>
        <v>0</v>
      </c>
      <c r="AH339" s="584">
        <v>0</v>
      </c>
      <c r="AI339" s="51"/>
      <c r="AJ339" s="1497">
        <f t="shared" si="184"/>
        <v>5198</v>
      </c>
      <c r="AK339" s="951">
        <f t="shared" si="185"/>
        <v>0</v>
      </c>
      <c r="AL339" s="9">
        <v>0</v>
      </c>
      <c r="AM339" s="326">
        <f t="shared" si="178"/>
        <v>0</v>
      </c>
      <c r="AN339" s="970">
        <f t="shared" si="178"/>
        <v>0</v>
      </c>
      <c r="AO339" s="326">
        <f t="shared" si="191"/>
        <v>0</v>
      </c>
      <c r="AP339" s="30">
        <v>0</v>
      </c>
      <c r="AQ339" s="43"/>
      <c r="AR339" s="358">
        <f t="shared" si="173"/>
        <v>0</v>
      </c>
      <c r="AS339" s="359">
        <f t="shared" si="174"/>
        <v>0</v>
      </c>
      <c r="AT339" s="360">
        <f t="shared" si="175"/>
        <v>0</v>
      </c>
      <c r="AU339" s="43"/>
      <c r="AV339" s="2120">
        <f t="shared" si="192"/>
        <v>0</v>
      </c>
      <c r="AW339" s="119"/>
      <c r="AX339" s="2120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 t="s">
        <v>265</v>
      </c>
      <c r="N340" s="113">
        <f t="shared" si="168"/>
        <v>5211</v>
      </c>
      <c r="O340" s="581"/>
      <c r="P340" s="582">
        <v>0</v>
      </c>
      <c r="Q340" s="325"/>
      <c r="R340" s="324"/>
      <c r="S340" s="583">
        <f t="shared" si="189"/>
        <v>0</v>
      </c>
      <c r="T340" s="584">
        <v>0</v>
      </c>
      <c r="U340" s="51"/>
      <c r="V340" s="541">
        <f>+'NF-KSF-TRIAL-BAL-2021'!O340+'RA-TRIAL-BAL-2021'!O340+'DES-TRIAL-BAL-2021'!O340+'DMP-TRIAL-BAL-2021'!O340</f>
        <v>0</v>
      </c>
      <c r="W340" s="529">
        <f>+'NF-KSF-TRIAL-BAL-2021'!P340+'RA-TRIAL-BAL-2021'!P340+'DES-TRIAL-BAL-2021'!P340+'DMP-TRIAL-BAL-2021'!P340</f>
        <v>0</v>
      </c>
      <c r="X340" s="587">
        <f>+'NF-KSF-TRIAL-BAL-2021'!Q340+'RA-TRIAL-BAL-2021'!Q340+'DES-TRIAL-BAL-2021'!Q340+'DMP-TRIAL-BAL-2021'!Q340</f>
        <v>0</v>
      </c>
      <c r="Y340" s="586">
        <f>+'NF-KSF-TRIAL-BAL-2021'!R340+'RA-TRIAL-BAL-2021'!R340+'DES-TRIAL-BAL-2021'!R340+'DMP-TRIAL-BAL-2021'!R340</f>
        <v>0</v>
      </c>
      <c r="Z340" s="587">
        <f>+'NF-KSF-TRIAL-BAL-2021'!S340+'RA-TRIAL-BAL-2021'!S340+'DES-TRIAL-BAL-2021'!S340+'DMP-TRIAL-BAL-2021'!S340</f>
        <v>0</v>
      </c>
      <c r="AA340" s="588">
        <f>+'NF-KSF-TRIAL-BAL-2021'!T340+'RA-TRIAL-BAL-2021'!T340+'DES-TRIAL-BAL-2021'!T340+'DMP-TRIAL-BAL-2021'!T340</f>
        <v>0</v>
      </c>
      <c r="AB340" s="51"/>
      <c r="AC340" s="581"/>
      <c r="AD340" s="582">
        <v>0</v>
      </c>
      <c r="AE340" s="325"/>
      <c r="AF340" s="324"/>
      <c r="AG340" s="583">
        <f t="shared" si="190"/>
        <v>0</v>
      </c>
      <c r="AH340" s="584">
        <v>0</v>
      </c>
      <c r="AI340" s="51"/>
      <c r="AJ340" s="1497">
        <f t="shared" si="184"/>
        <v>5211</v>
      </c>
      <c r="AK340" s="951">
        <f t="shared" si="185"/>
        <v>0</v>
      </c>
      <c r="AL340" s="9">
        <v>0</v>
      </c>
      <c r="AM340" s="326">
        <f t="shared" si="178"/>
        <v>0</v>
      </c>
      <c r="AN340" s="970">
        <f t="shared" si="178"/>
        <v>0</v>
      </c>
      <c r="AO340" s="326">
        <f t="shared" si="191"/>
        <v>0</v>
      </c>
      <c r="AP340" s="30">
        <v>0</v>
      </c>
      <c r="AQ340" s="43"/>
      <c r="AR340" s="358">
        <f t="shared" si="173"/>
        <v>0</v>
      </c>
      <c r="AS340" s="359">
        <f t="shared" si="174"/>
        <v>0</v>
      </c>
      <c r="AT340" s="360">
        <f t="shared" si="175"/>
        <v>0</v>
      </c>
      <c r="AU340" s="43"/>
      <c r="AV340" s="2120">
        <f t="shared" si="192"/>
        <v>0</v>
      </c>
      <c r="AW340" s="119"/>
      <c r="AX340" s="2120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 t="s">
        <v>265</v>
      </c>
      <c r="N341" s="113">
        <f t="shared" si="168"/>
        <v>5213</v>
      </c>
      <c r="O341" s="581"/>
      <c r="P341" s="582">
        <v>0</v>
      </c>
      <c r="Q341" s="325"/>
      <c r="R341" s="324"/>
      <c r="S341" s="583">
        <f t="shared" si="189"/>
        <v>0</v>
      </c>
      <c r="T341" s="584">
        <v>0</v>
      </c>
      <c r="U341" s="51"/>
      <c r="V341" s="541">
        <f>+'NF-KSF-TRIAL-BAL-2021'!O341+'RA-TRIAL-BAL-2021'!O341+'DES-TRIAL-BAL-2021'!O341+'DMP-TRIAL-BAL-2021'!O341</f>
        <v>0</v>
      </c>
      <c r="W341" s="529">
        <f>+'NF-KSF-TRIAL-BAL-2021'!P341+'RA-TRIAL-BAL-2021'!P341+'DES-TRIAL-BAL-2021'!P341+'DMP-TRIAL-BAL-2021'!P341</f>
        <v>0</v>
      </c>
      <c r="X341" s="587">
        <f>+'NF-KSF-TRIAL-BAL-2021'!Q341+'RA-TRIAL-BAL-2021'!Q341+'DES-TRIAL-BAL-2021'!Q341+'DMP-TRIAL-BAL-2021'!Q341</f>
        <v>0</v>
      </c>
      <c r="Y341" s="586">
        <f>+'NF-KSF-TRIAL-BAL-2021'!R341+'RA-TRIAL-BAL-2021'!R341+'DES-TRIAL-BAL-2021'!R341+'DMP-TRIAL-BAL-2021'!R341</f>
        <v>0</v>
      </c>
      <c r="Z341" s="587">
        <f>+'NF-KSF-TRIAL-BAL-2021'!S341+'RA-TRIAL-BAL-2021'!S341+'DES-TRIAL-BAL-2021'!S341+'DMP-TRIAL-BAL-2021'!S341</f>
        <v>0</v>
      </c>
      <c r="AA341" s="588">
        <f>+'NF-KSF-TRIAL-BAL-2021'!T341+'RA-TRIAL-BAL-2021'!T341+'DES-TRIAL-BAL-2021'!T341+'DMP-TRIAL-BAL-2021'!T341</f>
        <v>0</v>
      </c>
      <c r="AB341" s="51"/>
      <c r="AC341" s="581"/>
      <c r="AD341" s="582">
        <v>0</v>
      </c>
      <c r="AE341" s="122"/>
      <c r="AF341" s="324"/>
      <c r="AG341" s="583">
        <f t="shared" si="190"/>
        <v>0</v>
      </c>
      <c r="AH341" s="584">
        <v>0</v>
      </c>
      <c r="AI341" s="51"/>
      <c r="AJ341" s="1497">
        <f t="shared" si="184"/>
        <v>5213</v>
      </c>
      <c r="AK341" s="951">
        <f t="shared" si="185"/>
        <v>0</v>
      </c>
      <c r="AL341" s="9">
        <v>0</v>
      </c>
      <c r="AM341" s="326">
        <f t="shared" si="178"/>
        <v>0</v>
      </c>
      <c r="AN341" s="970">
        <f t="shared" si="178"/>
        <v>0</v>
      </c>
      <c r="AO341" s="326">
        <f t="shared" si="191"/>
        <v>0</v>
      </c>
      <c r="AP341" s="30">
        <v>0</v>
      </c>
      <c r="AQ341" s="43"/>
      <c r="AR341" s="358">
        <f t="shared" si="173"/>
        <v>0</v>
      </c>
      <c r="AS341" s="359">
        <f t="shared" si="174"/>
        <v>0</v>
      </c>
      <c r="AT341" s="360">
        <f t="shared" si="175"/>
        <v>0</v>
      </c>
      <c r="AU341" s="43"/>
      <c r="AV341" s="2120">
        <f t="shared" si="192"/>
        <v>0</v>
      </c>
      <c r="AW341" s="119"/>
      <c r="AX341" s="2120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 t="s">
        <v>265</v>
      </c>
      <c r="N342" s="113">
        <f t="shared" si="168"/>
        <v>5215</v>
      </c>
      <c r="O342" s="581"/>
      <c r="P342" s="582">
        <v>0</v>
      </c>
      <c r="Q342" s="325"/>
      <c r="R342" s="324"/>
      <c r="S342" s="583">
        <f t="shared" si="189"/>
        <v>0</v>
      </c>
      <c r="T342" s="584">
        <v>0</v>
      </c>
      <c r="U342" s="51"/>
      <c r="V342" s="541">
        <f>+'NF-KSF-TRIAL-BAL-2021'!O342+'RA-TRIAL-BAL-2021'!O342+'DES-TRIAL-BAL-2021'!O342+'DMP-TRIAL-BAL-2021'!O342</f>
        <v>0</v>
      </c>
      <c r="W342" s="529">
        <f>+'NF-KSF-TRIAL-BAL-2021'!P342+'RA-TRIAL-BAL-2021'!P342+'DES-TRIAL-BAL-2021'!P342+'DMP-TRIAL-BAL-2021'!P342</f>
        <v>0</v>
      </c>
      <c r="X342" s="587">
        <f>+'NF-KSF-TRIAL-BAL-2021'!Q342+'RA-TRIAL-BAL-2021'!Q342+'DES-TRIAL-BAL-2021'!Q342+'DMP-TRIAL-BAL-2021'!Q342</f>
        <v>0</v>
      </c>
      <c r="Y342" s="586">
        <f>+'NF-KSF-TRIAL-BAL-2021'!R342+'RA-TRIAL-BAL-2021'!R342+'DES-TRIAL-BAL-2021'!R342+'DMP-TRIAL-BAL-2021'!R342</f>
        <v>0</v>
      </c>
      <c r="Z342" s="587">
        <f>+'NF-KSF-TRIAL-BAL-2021'!S342+'RA-TRIAL-BAL-2021'!S342+'DES-TRIAL-BAL-2021'!S342+'DMP-TRIAL-BAL-2021'!S342</f>
        <v>0</v>
      </c>
      <c r="AA342" s="588">
        <f>+'NF-KSF-TRIAL-BAL-2021'!T342+'RA-TRIAL-BAL-2021'!T342+'DES-TRIAL-BAL-2021'!T342+'DMP-TRIAL-BAL-2021'!T342</f>
        <v>0</v>
      </c>
      <c r="AB342" s="51"/>
      <c r="AC342" s="581"/>
      <c r="AD342" s="582">
        <v>0</v>
      </c>
      <c r="AE342" s="122"/>
      <c r="AF342" s="324"/>
      <c r="AG342" s="583">
        <f t="shared" si="190"/>
        <v>0</v>
      </c>
      <c r="AH342" s="584">
        <v>0</v>
      </c>
      <c r="AI342" s="51"/>
      <c r="AJ342" s="1497">
        <f t="shared" si="184"/>
        <v>5215</v>
      </c>
      <c r="AK342" s="951">
        <f t="shared" si="185"/>
        <v>0</v>
      </c>
      <c r="AL342" s="9">
        <v>0</v>
      </c>
      <c r="AM342" s="326">
        <f t="shared" si="178"/>
        <v>0</v>
      </c>
      <c r="AN342" s="970">
        <f t="shared" si="178"/>
        <v>0</v>
      </c>
      <c r="AO342" s="326">
        <f t="shared" si="191"/>
        <v>0</v>
      </c>
      <c r="AP342" s="30">
        <v>0</v>
      </c>
      <c r="AQ342" s="43"/>
      <c r="AR342" s="358">
        <f t="shared" si="173"/>
        <v>0</v>
      </c>
      <c r="AS342" s="359">
        <f t="shared" si="174"/>
        <v>0</v>
      </c>
      <c r="AT342" s="360">
        <f t="shared" si="175"/>
        <v>0</v>
      </c>
      <c r="AU342" s="43"/>
      <c r="AV342" s="2120">
        <f t="shared" si="192"/>
        <v>0</v>
      </c>
      <c r="AW342" s="119"/>
      <c r="AX342" s="2120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 t="s">
        <v>265</v>
      </c>
      <c r="N343" s="113">
        <f t="shared" si="168"/>
        <v>5217</v>
      </c>
      <c r="O343" s="581"/>
      <c r="P343" s="582">
        <v>0</v>
      </c>
      <c r="Q343" s="325"/>
      <c r="R343" s="324"/>
      <c r="S343" s="583">
        <f t="shared" si="189"/>
        <v>0</v>
      </c>
      <c r="T343" s="584">
        <v>0</v>
      </c>
      <c r="U343" s="51"/>
      <c r="V343" s="541">
        <f>+'NF-KSF-TRIAL-BAL-2021'!O343+'RA-TRIAL-BAL-2021'!O343+'DES-TRIAL-BAL-2021'!O343+'DMP-TRIAL-BAL-2021'!O343</f>
        <v>0</v>
      </c>
      <c r="W343" s="529">
        <f>+'NF-KSF-TRIAL-BAL-2021'!P343+'RA-TRIAL-BAL-2021'!P343+'DES-TRIAL-BAL-2021'!P343+'DMP-TRIAL-BAL-2021'!P343</f>
        <v>0</v>
      </c>
      <c r="X343" s="587">
        <f>+'NF-KSF-TRIAL-BAL-2021'!Q343+'RA-TRIAL-BAL-2021'!Q343+'DES-TRIAL-BAL-2021'!Q343+'DMP-TRIAL-BAL-2021'!Q343</f>
        <v>0</v>
      </c>
      <c r="Y343" s="586">
        <f>+'NF-KSF-TRIAL-BAL-2021'!R343+'RA-TRIAL-BAL-2021'!R343+'DES-TRIAL-BAL-2021'!R343+'DMP-TRIAL-BAL-2021'!R343</f>
        <v>0</v>
      </c>
      <c r="Z343" s="587">
        <f>+'NF-KSF-TRIAL-BAL-2021'!S343+'RA-TRIAL-BAL-2021'!S343+'DES-TRIAL-BAL-2021'!S343+'DMP-TRIAL-BAL-2021'!S343</f>
        <v>0</v>
      </c>
      <c r="AA343" s="588">
        <f>+'NF-KSF-TRIAL-BAL-2021'!T343+'RA-TRIAL-BAL-2021'!T343+'DES-TRIAL-BAL-2021'!T343+'DMP-TRIAL-BAL-2021'!T343</f>
        <v>0</v>
      </c>
      <c r="AB343" s="51"/>
      <c r="AC343" s="581"/>
      <c r="AD343" s="582">
        <v>0</v>
      </c>
      <c r="AE343" s="325"/>
      <c r="AF343" s="324"/>
      <c r="AG343" s="583">
        <f t="shared" si="190"/>
        <v>0</v>
      </c>
      <c r="AH343" s="584">
        <v>0</v>
      </c>
      <c r="AI343" s="51"/>
      <c r="AJ343" s="1497">
        <f t="shared" si="184"/>
        <v>5217</v>
      </c>
      <c r="AK343" s="951">
        <f t="shared" si="185"/>
        <v>0</v>
      </c>
      <c r="AL343" s="9">
        <v>0</v>
      </c>
      <c r="AM343" s="326">
        <f t="shared" si="178"/>
        <v>0</v>
      </c>
      <c r="AN343" s="970">
        <f t="shared" si="178"/>
        <v>0</v>
      </c>
      <c r="AO343" s="326">
        <f t="shared" si="191"/>
        <v>0</v>
      </c>
      <c r="AP343" s="30">
        <v>0</v>
      </c>
      <c r="AQ343" s="43"/>
      <c r="AR343" s="358">
        <f t="shared" si="173"/>
        <v>0</v>
      </c>
      <c r="AS343" s="359">
        <f t="shared" si="174"/>
        <v>0</v>
      </c>
      <c r="AT343" s="360">
        <f t="shared" si="175"/>
        <v>0</v>
      </c>
      <c r="AU343" s="43"/>
      <c r="AV343" s="2120">
        <f t="shared" si="192"/>
        <v>0</v>
      </c>
      <c r="AW343" s="119"/>
      <c r="AX343" s="2120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 t="s">
        <v>265</v>
      </c>
      <c r="N344" s="113">
        <f t="shared" si="168"/>
        <v>5221</v>
      </c>
      <c r="O344" s="581"/>
      <c r="P344" s="576"/>
      <c r="Q344" s="325"/>
      <c r="R344" s="324"/>
      <c r="S344" s="583">
        <f t="shared" si="182"/>
        <v>0</v>
      </c>
      <c r="T344" s="580">
        <f>+IF(ABS(+O344+Q344)&lt;=ABS(P344+R344),-O344+P344-Q344+R344,0)</f>
        <v>0</v>
      </c>
      <c r="U344" s="51"/>
      <c r="V344" s="541">
        <f>+'NF-KSF-TRIAL-BAL-2021'!O344+'RA-TRIAL-BAL-2021'!O344+'DES-TRIAL-BAL-2021'!O344+'DMP-TRIAL-BAL-2021'!O344</f>
        <v>0</v>
      </c>
      <c r="W344" s="529">
        <f>+'NF-KSF-TRIAL-BAL-2021'!P344+'RA-TRIAL-BAL-2021'!P344+'DES-TRIAL-BAL-2021'!P344+'DMP-TRIAL-BAL-2021'!P344</f>
        <v>0</v>
      </c>
      <c r="X344" s="587">
        <f>+'NF-KSF-TRIAL-BAL-2021'!Q344+'RA-TRIAL-BAL-2021'!Q344+'DES-TRIAL-BAL-2021'!Q344+'DMP-TRIAL-BAL-2021'!Q344</f>
        <v>0</v>
      </c>
      <c r="Y344" s="586">
        <f>+'NF-KSF-TRIAL-BAL-2021'!R344+'RA-TRIAL-BAL-2021'!R344+'DES-TRIAL-BAL-2021'!R344+'DMP-TRIAL-BAL-2021'!R344</f>
        <v>0</v>
      </c>
      <c r="Z344" s="587">
        <f>+'NF-KSF-TRIAL-BAL-2021'!S344+'RA-TRIAL-BAL-2021'!S344+'DES-TRIAL-BAL-2021'!S344+'DMP-TRIAL-BAL-2021'!S344</f>
        <v>0</v>
      </c>
      <c r="AA344" s="588">
        <f>+'NF-KSF-TRIAL-BAL-2021'!T344+'RA-TRIAL-BAL-2021'!T344+'DES-TRIAL-BAL-2021'!T344+'DMP-TRIAL-BAL-2021'!T344</f>
        <v>0</v>
      </c>
      <c r="AB344" s="51"/>
      <c r="AC344" s="581"/>
      <c r="AD344" s="576"/>
      <c r="AE344" s="325"/>
      <c r="AF344" s="324"/>
      <c r="AG344" s="583">
        <f t="shared" si="183"/>
        <v>0</v>
      </c>
      <c r="AH344" s="580">
        <f>+IF(ABS(+AC344+AE344)&lt;=ABS(AD344+AF344),-AC344+AD344-AE344+AF344,0)</f>
        <v>0</v>
      </c>
      <c r="AI344" s="51"/>
      <c r="AJ344" s="1497">
        <f t="shared" si="184"/>
        <v>5221</v>
      </c>
      <c r="AK344" s="951">
        <f t="shared" si="185"/>
        <v>0</v>
      </c>
      <c r="AL344" s="970">
        <f>+ROUND(+P344+W344+AD344,2)</f>
        <v>0</v>
      </c>
      <c r="AM344" s="326">
        <f t="shared" si="178"/>
        <v>0</v>
      </c>
      <c r="AN344" s="970">
        <f t="shared" si="178"/>
        <v>0</v>
      </c>
      <c r="AO344" s="326">
        <f t="shared" si="191"/>
        <v>0</v>
      </c>
      <c r="AP344" s="327">
        <f t="shared" si="191"/>
        <v>0</v>
      </c>
      <c r="AQ344" s="43"/>
      <c r="AR344" s="358">
        <f t="shared" si="173"/>
        <v>0</v>
      </c>
      <c r="AS344" s="359">
        <f t="shared" si="174"/>
        <v>0</v>
      </c>
      <c r="AT344" s="360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 t="s">
        <v>265</v>
      </c>
      <c r="N345" s="113">
        <f t="shared" si="168"/>
        <v>5223</v>
      </c>
      <c r="O345" s="581"/>
      <c r="P345" s="576"/>
      <c r="Q345" s="325"/>
      <c r="R345" s="324"/>
      <c r="S345" s="583">
        <f t="shared" si="182"/>
        <v>0</v>
      </c>
      <c r="T345" s="580">
        <f>+IF(ABS(+O345+Q345)&lt;=ABS(P345+R345),-O345+P345-Q345+R345,0)</f>
        <v>0</v>
      </c>
      <c r="U345" s="51"/>
      <c r="V345" s="541">
        <f>+'NF-KSF-TRIAL-BAL-2021'!O345+'RA-TRIAL-BAL-2021'!O345+'DES-TRIAL-BAL-2021'!O345+'DMP-TRIAL-BAL-2021'!O345</f>
        <v>0</v>
      </c>
      <c r="W345" s="529">
        <f>+'NF-KSF-TRIAL-BAL-2021'!P345+'RA-TRIAL-BAL-2021'!P345+'DES-TRIAL-BAL-2021'!P345+'DMP-TRIAL-BAL-2021'!P345</f>
        <v>0</v>
      </c>
      <c r="X345" s="587">
        <f>+'NF-KSF-TRIAL-BAL-2021'!Q345+'RA-TRIAL-BAL-2021'!Q345+'DES-TRIAL-BAL-2021'!Q345+'DMP-TRIAL-BAL-2021'!Q345</f>
        <v>0</v>
      </c>
      <c r="Y345" s="586">
        <f>+'NF-KSF-TRIAL-BAL-2021'!R345+'RA-TRIAL-BAL-2021'!R345+'DES-TRIAL-BAL-2021'!R345+'DMP-TRIAL-BAL-2021'!R345</f>
        <v>0</v>
      </c>
      <c r="Z345" s="587">
        <f>+'NF-KSF-TRIAL-BAL-2021'!S345+'RA-TRIAL-BAL-2021'!S345+'DES-TRIAL-BAL-2021'!S345+'DMP-TRIAL-BAL-2021'!S345</f>
        <v>0</v>
      </c>
      <c r="AA345" s="588">
        <f>+'NF-KSF-TRIAL-BAL-2021'!T345+'RA-TRIAL-BAL-2021'!T345+'DES-TRIAL-BAL-2021'!T345+'DMP-TRIAL-BAL-2021'!T345</f>
        <v>0</v>
      </c>
      <c r="AB345" s="51"/>
      <c r="AC345" s="581"/>
      <c r="AD345" s="576"/>
      <c r="AE345" s="325"/>
      <c r="AF345" s="324"/>
      <c r="AG345" s="583">
        <f t="shared" si="183"/>
        <v>0</v>
      </c>
      <c r="AH345" s="580">
        <f>+IF(ABS(+AC345+AE345)&lt;=ABS(AD345+AF345),-AC345+AD345-AE345+AF345,0)</f>
        <v>0</v>
      </c>
      <c r="AI345" s="51"/>
      <c r="AJ345" s="1497">
        <f t="shared" si="184"/>
        <v>5223</v>
      </c>
      <c r="AK345" s="951">
        <f t="shared" si="185"/>
        <v>0</v>
      </c>
      <c r="AL345" s="970">
        <f>+ROUND(+P345+W345+AD345,2)</f>
        <v>0</v>
      </c>
      <c r="AM345" s="326">
        <f t="shared" si="178"/>
        <v>0</v>
      </c>
      <c r="AN345" s="970">
        <f t="shared" si="178"/>
        <v>0</v>
      </c>
      <c r="AO345" s="326">
        <f t="shared" si="191"/>
        <v>0</v>
      </c>
      <c r="AP345" s="327">
        <f t="shared" si="191"/>
        <v>0</v>
      </c>
      <c r="AQ345" s="43"/>
      <c r="AR345" s="358">
        <f t="shared" si="173"/>
        <v>0</v>
      </c>
      <c r="AS345" s="359">
        <f t="shared" si="174"/>
        <v>0</v>
      </c>
      <c r="AT345" s="360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 t="s">
        <v>265</v>
      </c>
      <c r="N346" s="113">
        <f t="shared" si="168"/>
        <v>5231</v>
      </c>
      <c r="O346" s="581"/>
      <c r="P346" s="582">
        <v>0</v>
      </c>
      <c r="Q346" s="325"/>
      <c r="R346" s="324"/>
      <c r="S346" s="583">
        <f t="shared" si="182"/>
        <v>0</v>
      </c>
      <c r="T346" s="584">
        <v>0</v>
      </c>
      <c r="U346" s="51"/>
      <c r="V346" s="541">
        <f>+'NF-KSF-TRIAL-BAL-2021'!O346+'RA-TRIAL-BAL-2021'!O346+'DES-TRIAL-BAL-2021'!O346+'DMP-TRIAL-BAL-2021'!O346</f>
        <v>0</v>
      </c>
      <c r="W346" s="529">
        <f>+'NF-KSF-TRIAL-BAL-2021'!P346+'RA-TRIAL-BAL-2021'!P346+'DES-TRIAL-BAL-2021'!P346+'DMP-TRIAL-BAL-2021'!P346</f>
        <v>0</v>
      </c>
      <c r="X346" s="587">
        <f>+'NF-KSF-TRIAL-BAL-2021'!Q346+'RA-TRIAL-BAL-2021'!Q346+'DES-TRIAL-BAL-2021'!Q346+'DMP-TRIAL-BAL-2021'!Q346</f>
        <v>0</v>
      </c>
      <c r="Y346" s="586">
        <f>+'NF-KSF-TRIAL-BAL-2021'!R346+'RA-TRIAL-BAL-2021'!R346+'DES-TRIAL-BAL-2021'!R346+'DMP-TRIAL-BAL-2021'!R346</f>
        <v>0</v>
      </c>
      <c r="Z346" s="587">
        <f>+'NF-KSF-TRIAL-BAL-2021'!S346+'RA-TRIAL-BAL-2021'!S346+'DES-TRIAL-BAL-2021'!S346+'DMP-TRIAL-BAL-2021'!S346</f>
        <v>0</v>
      </c>
      <c r="AA346" s="588">
        <f>+'NF-KSF-TRIAL-BAL-2021'!T346+'RA-TRIAL-BAL-2021'!T346+'DES-TRIAL-BAL-2021'!T346+'DMP-TRIAL-BAL-2021'!T346</f>
        <v>0</v>
      </c>
      <c r="AB346" s="51"/>
      <c r="AC346" s="581"/>
      <c r="AD346" s="582">
        <v>0</v>
      </c>
      <c r="AE346" s="122"/>
      <c r="AF346" s="324"/>
      <c r="AG346" s="583">
        <f t="shared" si="183"/>
        <v>0</v>
      </c>
      <c r="AH346" s="584">
        <v>0</v>
      </c>
      <c r="AI346" s="51"/>
      <c r="AJ346" s="1497">
        <f>+N346</f>
        <v>5231</v>
      </c>
      <c r="AK346" s="951">
        <f t="shared" si="185"/>
        <v>0</v>
      </c>
      <c r="AL346" s="9">
        <v>0</v>
      </c>
      <c r="AM346" s="326">
        <f t="shared" si="178"/>
        <v>0</v>
      </c>
      <c r="AN346" s="970">
        <f t="shared" si="178"/>
        <v>0</v>
      </c>
      <c r="AO346" s="326">
        <f t="shared" si="191"/>
        <v>0</v>
      </c>
      <c r="AP346" s="30">
        <v>0</v>
      </c>
      <c r="AQ346" s="43"/>
      <c r="AR346" s="358">
        <f t="shared" si="173"/>
        <v>0</v>
      </c>
      <c r="AS346" s="359">
        <f t="shared" si="174"/>
        <v>0</v>
      </c>
      <c r="AT346" s="360">
        <f t="shared" si="175"/>
        <v>0</v>
      </c>
      <c r="AU346" s="43"/>
      <c r="AV346" s="2120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120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 t="s">
        <v>265</v>
      </c>
      <c r="N347" s="113">
        <f t="shared" si="168"/>
        <v>5235</v>
      </c>
      <c r="O347" s="581"/>
      <c r="P347" s="582">
        <v>0</v>
      </c>
      <c r="Q347" s="325"/>
      <c r="R347" s="324"/>
      <c r="S347" s="583">
        <f t="shared" si="182"/>
        <v>0</v>
      </c>
      <c r="T347" s="584">
        <v>0</v>
      </c>
      <c r="U347" s="51"/>
      <c r="V347" s="541">
        <f>+'NF-KSF-TRIAL-BAL-2021'!O347+'RA-TRIAL-BAL-2021'!O347+'DES-TRIAL-BAL-2021'!O347+'DMP-TRIAL-BAL-2021'!O347</f>
        <v>0</v>
      </c>
      <c r="W347" s="529">
        <f>+'NF-KSF-TRIAL-BAL-2021'!P347+'RA-TRIAL-BAL-2021'!P347+'DES-TRIAL-BAL-2021'!P347+'DMP-TRIAL-BAL-2021'!P347</f>
        <v>0</v>
      </c>
      <c r="X347" s="587">
        <f>+'NF-KSF-TRIAL-BAL-2021'!Q347+'RA-TRIAL-BAL-2021'!Q347+'DES-TRIAL-BAL-2021'!Q347+'DMP-TRIAL-BAL-2021'!Q347</f>
        <v>0</v>
      </c>
      <c r="Y347" s="586">
        <f>+'NF-KSF-TRIAL-BAL-2021'!R347+'RA-TRIAL-BAL-2021'!R347+'DES-TRIAL-BAL-2021'!R347+'DMP-TRIAL-BAL-2021'!R347</f>
        <v>0</v>
      </c>
      <c r="Z347" s="587">
        <f>+'NF-KSF-TRIAL-BAL-2021'!S347+'RA-TRIAL-BAL-2021'!S347+'DES-TRIAL-BAL-2021'!S347+'DMP-TRIAL-BAL-2021'!S347</f>
        <v>0</v>
      </c>
      <c r="AA347" s="588">
        <f>+'NF-KSF-TRIAL-BAL-2021'!T347+'RA-TRIAL-BAL-2021'!T347+'DES-TRIAL-BAL-2021'!T347+'DMP-TRIAL-BAL-2021'!T347</f>
        <v>0</v>
      </c>
      <c r="AB347" s="51"/>
      <c r="AC347" s="581"/>
      <c r="AD347" s="582">
        <v>0</v>
      </c>
      <c r="AE347" s="122"/>
      <c r="AF347" s="324"/>
      <c r="AG347" s="583">
        <f t="shared" si="183"/>
        <v>0</v>
      </c>
      <c r="AH347" s="584">
        <v>0</v>
      </c>
      <c r="AI347" s="51"/>
      <c r="AJ347" s="1497">
        <f>+N347</f>
        <v>5235</v>
      </c>
      <c r="AK347" s="951">
        <f t="shared" si="185"/>
        <v>0</v>
      </c>
      <c r="AL347" s="9">
        <v>0</v>
      </c>
      <c r="AM347" s="326">
        <f t="shared" si="178"/>
        <v>0</v>
      </c>
      <c r="AN347" s="970">
        <f t="shared" si="178"/>
        <v>0</v>
      </c>
      <c r="AO347" s="326">
        <f t="shared" si="191"/>
        <v>0</v>
      </c>
      <c r="AP347" s="30">
        <v>0</v>
      </c>
      <c r="AQ347" s="43"/>
      <c r="AR347" s="358">
        <f t="shared" si="173"/>
        <v>0</v>
      </c>
      <c r="AS347" s="359">
        <f t="shared" si="174"/>
        <v>0</v>
      </c>
      <c r="AT347" s="360">
        <f t="shared" si="175"/>
        <v>0</v>
      </c>
      <c r="AU347" s="43"/>
      <c r="AV347" s="2120">
        <f t="shared" si="194"/>
        <v>0</v>
      </c>
      <c r="AW347" s="119"/>
      <c r="AX347" s="2120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 t="s">
        <v>265</v>
      </c>
      <c r="N348" s="113">
        <f t="shared" si="168"/>
        <v>5311</v>
      </c>
      <c r="O348" s="581">
        <v>20000</v>
      </c>
      <c r="P348" s="582">
        <v>0</v>
      </c>
      <c r="Q348" s="325"/>
      <c r="R348" s="324">
        <v>20000</v>
      </c>
      <c r="S348" s="583">
        <f t="shared" si="182"/>
        <v>0</v>
      </c>
      <c r="T348" s="584">
        <v>0</v>
      </c>
      <c r="U348" s="51"/>
      <c r="V348" s="541">
        <f>+'NF-KSF-TRIAL-BAL-2021'!O348+'RA-TRIAL-BAL-2021'!O348+'DES-TRIAL-BAL-2021'!O348+'DMP-TRIAL-BAL-2021'!O348</f>
        <v>0</v>
      </c>
      <c r="W348" s="529">
        <f>+'NF-KSF-TRIAL-BAL-2021'!P348+'RA-TRIAL-BAL-2021'!P348+'DES-TRIAL-BAL-2021'!P348+'DMP-TRIAL-BAL-2021'!P348</f>
        <v>0</v>
      </c>
      <c r="X348" s="587">
        <f>+'NF-KSF-TRIAL-BAL-2021'!Q348+'RA-TRIAL-BAL-2021'!Q348+'DES-TRIAL-BAL-2021'!Q348+'DMP-TRIAL-BAL-2021'!Q348</f>
        <v>0</v>
      </c>
      <c r="Y348" s="586">
        <f>+'NF-KSF-TRIAL-BAL-2021'!R348+'RA-TRIAL-BAL-2021'!R348+'DES-TRIAL-BAL-2021'!R348+'DMP-TRIAL-BAL-2021'!R348</f>
        <v>0</v>
      </c>
      <c r="Z348" s="587">
        <f>+'NF-KSF-TRIAL-BAL-2021'!S348+'RA-TRIAL-BAL-2021'!S348+'DES-TRIAL-BAL-2021'!S348+'DMP-TRIAL-BAL-2021'!S348</f>
        <v>0</v>
      </c>
      <c r="AA348" s="588">
        <f>+'NF-KSF-TRIAL-BAL-2021'!T348+'RA-TRIAL-BAL-2021'!T348+'DES-TRIAL-BAL-2021'!T348+'DMP-TRIAL-BAL-2021'!T348</f>
        <v>0</v>
      </c>
      <c r="AB348" s="51"/>
      <c r="AC348" s="581"/>
      <c r="AD348" s="582">
        <v>0</v>
      </c>
      <c r="AE348" s="325"/>
      <c r="AF348" s="324"/>
      <c r="AG348" s="583">
        <f t="shared" si="183"/>
        <v>0</v>
      </c>
      <c r="AH348" s="584">
        <v>0</v>
      </c>
      <c r="AI348" s="51"/>
      <c r="AJ348" s="1497">
        <f t="shared" si="184"/>
        <v>5311</v>
      </c>
      <c r="AK348" s="951">
        <f t="shared" si="185"/>
        <v>20000</v>
      </c>
      <c r="AL348" s="9">
        <v>0</v>
      </c>
      <c r="AM348" s="326">
        <f t="shared" si="178"/>
        <v>0</v>
      </c>
      <c r="AN348" s="970">
        <f t="shared" si="178"/>
        <v>20000</v>
      </c>
      <c r="AO348" s="326">
        <f t="shared" si="191"/>
        <v>0</v>
      </c>
      <c r="AP348" s="30">
        <v>0</v>
      </c>
      <c r="AQ348" s="43"/>
      <c r="AR348" s="358">
        <f t="shared" si="173"/>
        <v>0</v>
      </c>
      <c r="AS348" s="359">
        <f t="shared" si="174"/>
        <v>0</v>
      </c>
      <c r="AT348" s="360">
        <f t="shared" si="175"/>
        <v>0</v>
      </c>
      <c r="AU348" s="43"/>
      <c r="AV348" s="2120">
        <f t="shared" si="194"/>
        <v>0</v>
      </c>
      <c r="AW348" s="119"/>
      <c r="AX348" s="2120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 t="s">
        <v>265</v>
      </c>
      <c r="N349" s="113">
        <f t="shared" si="168"/>
        <v>5312</v>
      </c>
      <c r="O349" s="581"/>
      <c r="P349" s="582">
        <v>0</v>
      </c>
      <c r="Q349" s="325"/>
      <c r="R349" s="324"/>
      <c r="S349" s="583">
        <f t="shared" si="182"/>
        <v>0</v>
      </c>
      <c r="T349" s="584">
        <v>0</v>
      </c>
      <c r="U349" s="51"/>
      <c r="V349" s="541">
        <f>+'NF-KSF-TRIAL-BAL-2021'!O349+'RA-TRIAL-BAL-2021'!O349+'DES-TRIAL-BAL-2021'!O349+'DMP-TRIAL-BAL-2021'!O349</f>
        <v>0</v>
      </c>
      <c r="W349" s="529">
        <f>+'NF-KSF-TRIAL-BAL-2021'!P349+'RA-TRIAL-BAL-2021'!P349+'DES-TRIAL-BAL-2021'!P349+'DMP-TRIAL-BAL-2021'!P349</f>
        <v>0</v>
      </c>
      <c r="X349" s="587">
        <f>+'NF-KSF-TRIAL-BAL-2021'!Q349+'RA-TRIAL-BAL-2021'!Q349+'DES-TRIAL-BAL-2021'!Q349+'DMP-TRIAL-BAL-2021'!Q349</f>
        <v>0</v>
      </c>
      <c r="Y349" s="586">
        <f>+'NF-KSF-TRIAL-BAL-2021'!R349+'RA-TRIAL-BAL-2021'!R349+'DES-TRIAL-BAL-2021'!R349+'DMP-TRIAL-BAL-2021'!R349</f>
        <v>0</v>
      </c>
      <c r="Z349" s="587">
        <f>+'NF-KSF-TRIAL-BAL-2021'!S349+'RA-TRIAL-BAL-2021'!S349+'DES-TRIAL-BAL-2021'!S349+'DMP-TRIAL-BAL-2021'!S349</f>
        <v>0</v>
      </c>
      <c r="AA349" s="588">
        <f>+'NF-KSF-TRIAL-BAL-2021'!T349+'RA-TRIAL-BAL-2021'!T349+'DES-TRIAL-BAL-2021'!T349+'DMP-TRIAL-BAL-2021'!T349</f>
        <v>0</v>
      </c>
      <c r="AB349" s="51"/>
      <c r="AC349" s="581"/>
      <c r="AD349" s="582">
        <v>0</v>
      </c>
      <c r="AE349" s="325"/>
      <c r="AF349" s="324"/>
      <c r="AG349" s="583">
        <f t="shared" si="183"/>
        <v>0</v>
      </c>
      <c r="AH349" s="584">
        <v>0</v>
      </c>
      <c r="AI349" s="51"/>
      <c r="AJ349" s="1497">
        <f t="shared" si="184"/>
        <v>5312</v>
      </c>
      <c r="AK349" s="951">
        <f t="shared" si="185"/>
        <v>0</v>
      </c>
      <c r="AL349" s="9">
        <v>0</v>
      </c>
      <c r="AM349" s="326">
        <f t="shared" si="178"/>
        <v>0</v>
      </c>
      <c r="AN349" s="970">
        <f t="shared" si="178"/>
        <v>0</v>
      </c>
      <c r="AO349" s="326">
        <f t="shared" si="191"/>
        <v>0</v>
      </c>
      <c r="AP349" s="30">
        <v>0</v>
      </c>
      <c r="AQ349" s="43"/>
      <c r="AR349" s="358">
        <f t="shared" si="173"/>
        <v>0</v>
      </c>
      <c r="AS349" s="359">
        <f t="shared" si="174"/>
        <v>0</v>
      </c>
      <c r="AT349" s="360">
        <f t="shared" si="175"/>
        <v>0</v>
      </c>
      <c r="AU349" s="43"/>
      <c r="AV349" s="2120">
        <f t="shared" si="194"/>
        <v>0</v>
      </c>
      <c r="AW349" s="119"/>
      <c r="AX349" s="2120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 t="s">
        <v>265</v>
      </c>
      <c r="N350" s="113">
        <f t="shared" si="168"/>
        <v>5313</v>
      </c>
      <c r="O350" s="581"/>
      <c r="P350" s="582">
        <v>0</v>
      </c>
      <c r="Q350" s="325"/>
      <c r="R350" s="324"/>
      <c r="S350" s="583">
        <f t="shared" si="182"/>
        <v>0</v>
      </c>
      <c r="T350" s="584">
        <v>0</v>
      </c>
      <c r="U350" s="51"/>
      <c r="V350" s="541">
        <f>+'NF-KSF-TRIAL-BAL-2021'!O350+'RA-TRIAL-BAL-2021'!O350+'DES-TRIAL-BAL-2021'!O350+'DMP-TRIAL-BAL-2021'!O350</f>
        <v>0</v>
      </c>
      <c r="W350" s="529">
        <f>+'NF-KSF-TRIAL-BAL-2021'!P350+'RA-TRIAL-BAL-2021'!P350+'DES-TRIAL-BAL-2021'!P350+'DMP-TRIAL-BAL-2021'!P350</f>
        <v>0</v>
      </c>
      <c r="X350" s="587">
        <f>+'NF-KSF-TRIAL-BAL-2021'!Q350+'RA-TRIAL-BAL-2021'!Q350+'DES-TRIAL-BAL-2021'!Q350+'DMP-TRIAL-BAL-2021'!Q350</f>
        <v>0</v>
      </c>
      <c r="Y350" s="586">
        <f>+'NF-KSF-TRIAL-BAL-2021'!R350+'RA-TRIAL-BAL-2021'!R350+'DES-TRIAL-BAL-2021'!R350+'DMP-TRIAL-BAL-2021'!R350</f>
        <v>0</v>
      </c>
      <c r="Z350" s="587">
        <f>+'NF-KSF-TRIAL-BAL-2021'!S350+'RA-TRIAL-BAL-2021'!S350+'DES-TRIAL-BAL-2021'!S350+'DMP-TRIAL-BAL-2021'!S350</f>
        <v>0</v>
      </c>
      <c r="AA350" s="588">
        <f>+'NF-KSF-TRIAL-BAL-2021'!T350+'RA-TRIAL-BAL-2021'!T350+'DES-TRIAL-BAL-2021'!T350+'DMP-TRIAL-BAL-2021'!T350</f>
        <v>0</v>
      </c>
      <c r="AB350" s="51"/>
      <c r="AC350" s="581"/>
      <c r="AD350" s="582">
        <v>0</v>
      </c>
      <c r="AE350" s="325"/>
      <c r="AF350" s="324"/>
      <c r="AG350" s="583">
        <f t="shared" si="183"/>
        <v>0</v>
      </c>
      <c r="AH350" s="584">
        <v>0</v>
      </c>
      <c r="AI350" s="51"/>
      <c r="AJ350" s="1497">
        <f t="shared" si="184"/>
        <v>5313</v>
      </c>
      <c r="AK350" s="951">
        <f t="shared" si="185"/>
        <v>0</v>
      </c>
      <c r="AL350" s="9">
        <v>0</v>
      </c>
      <c r="AM350" s="326">
        <f t="shared" si="178"/>
        <v>0</v>
      </c>
      <c r="AN350" s="970">
        <f t="shared" si="178"/>
        <v>0</v>
      </c>
      <c r="AO350" s="326">
        <f t="shared" si="191"/>
        <v>0</v>
      </c>
      <c r="AP350" s="30">
        <v>0</v>
      </c>
      <c r="AQ350" s="43"/>
      <c r="AR350" s="358">
        <f t="shared" si="173"/>
        <v>0</v>
      </c>
      <c r="AS350" s="359">
        <f t="shared" si="174"/>
        <v>0</v>
      </c>
      <c r="AT350" s="360">
        <f t="shared" si="175"/>
        <v>0</v>
      </c>
      <c r="AU350" s="43"/>
      <c r="AV350" s="2120">
        <f t="shared" si="194"/>
        <v>0</v>
      </c>
      <c r="AW350" s="119"/>
      <c r="AX350" s="2120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 t="s">
        <v>265</v>
      </c>
      <c r="N351" s="113">
        <f t="shared" si="168"/>
        <v>5314</v>
      </c>
      <c r="O351" s="581"/>
      <c r="P351" s="582">
        <v>0</v>
      </c>
      <c r="Q351" s="325"/>
      <c r="R351" s="324"/>
      <c r="S351" s="583">
        <f t="shared" si="182"/>
        <v>0</v>
      </c>
      <c r="T351" s="584">
        <v>0</v>
      </c>
      <c r="U351" s="51"/>
      <c r="V351" s="541">
        <f>+'NF-KSF-TRIAL-BAL-2021'!O351+'RA-TRIAL-BAL-2021'!O351+'DES-TRIAL-BAL-2021'!O351+'DMP-TRIAL-BAL-2021'!O351</f>
        <v>0</v>
      </c>
      <c r="W351" s="529">
        <f>+'NF-KSF-TRIAL-BAL-2021'!P351+'RA-TRIAL-BAL-2021'!P351+'DES-TRIAL-BAL-2021'!P351+'DMP-TRIAL-BAL-2021'!P351</f>
        <v>0</v>
      </c>
      <c r="X351" s="587">
        <f>+'NF-KSF-TRIAL-BAL-2021'!Q351+'RA-TRIAL-BAL-2021'!Q351+'DES-TRIAL-BAL-2021'!Q351+'DMP-TRIAL-BAL-2021'!Q351</f>
        <v>0</v>
      </c>
      <c r="Y351" s="586">
        <f>+'NF-KSF-TRIAL-BAL-2021'!R351+'RA-TRIAL-BAL-2021'!R351+'DES-TRIAL-BAL-2021'!R351+'DMP-TRIAL-BAL-2021'!R351</f>
        <v>0</v>
      </c>
      <c r="Z351" s="587">
        <f>+'NF-KSF-TRIAL-BAL-2021'!S351+'RA-TRIAL-BAL-2021'!S351+'DES-TRIAL-BAL-2021'!S351+'DMP-TRIAL-BAL-2021'!S351</f>
        <v>0</v>
      </c>
      <c r="AA351" s="588">
        <f>+'NF-KSF-TRIAL-BAL-2021'!T351+'RA-TRIAL-BAL-2021'!T351+'DES-TRIAL-BAL-2021'!T351+'DMP-TRIAL-BAL-2021'!T351</f>
        <v>0</v>
      </c>
      <c r="AB351" s="51"/>
      <c r="AC351" s="581"/>
      <c r="AD351" s="582">
        <v>0</v>
      </c>
      <c r="AE351" s="122"/>
      <c r="AF351" s="324"/>
      <c r="AG351" s="583">
        <f t="shared" si="183"/>
        <v>0</v>
      </c>
      <c r="AH351" s="584">
        <v>0</v>
      </c>
      <c r="AI351" s="51"/>
      <c r="AJ351" s="1497">
        <f t="shared" si="184"/>
        <v>5314</v>
      </c>
      <c r="AK351" s="951">
        <f t="shared" si="185"/>
        <v>0</v>
      </c>
      <c r="AL351" s="9">
        <v>0</v>
      </c>
      <c r="AM351" s="326">
        <f t="shared" si="178"/>
        <v>0</v>
      </c>
      <c r="AN351" s="970">
        <f t="shared" si="178"/>
        <v>0</v>
      </c>
      <c r="AO351" s="326">
        <f t="shared" si="191"/>
        <v>0</v>
      </c>
      <c r="AP351" s="30">
        <v>0</v>
      </c>
      <c r="AQ351" s="43"/>
      <c r="AR351" s="358">
        <f t="shared" si="173"/>
        <v>0</v>
      </c>
      <c r="AS351" s="359">
        <f t="shared" si="174"/>
        <v>0</v>
      </c>
      <c r="AT351" s="360">
        <f t="shared" si="175"/>
        <v>0</v>
      </c>
      <c r="AU351" s="43"/>
      <c r="AV351" s="2120">
        <f t="shared" si="194"/>
        <v>0</v>
      </c>
      <c r="AW351" s="119"/>
      <c r="AX351" s="2120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 t="s">
        <v>265</v>
      </c>
      <c r="N352" s="113">
        <f t="shared" si="168"/>
        <v>5315</v>
      </c>
      <c r="O352" s="581"/>
      <c r="P352" s="582">
        <v>0</v>
      </c>
      <c r="Q352" s="325"/>
      <c r="R352" s="324"/>
      <c r="S352" s="583">
        <f t="shared" si="182"/>
        <v>0</v>
      </c>
      <c r="T352" s="584">
        <v>0</v>
      </c>
      <c r="U352" s="51"/>
      <c r="V352" s="541">
        <f>+'NF-KSF-TRIAL-BAL-2021'!O352+'RA-TRIAL-BAL-2021'!O352+'DES-TRIAL-BAL-2021'!O352+'DMP-TRIAL-BAL-2021'!O352</f>
        <v>0</v>
      </c>
      <c r="W352" s="529">
        <f>+'NF-KSF-TRIAL-BAL-2021'!P352+'RA-TRIAL-BAL-2021'!P352+'DES-TRIAL-BAL-2021'!P352+'DMP-TRIAL-BAL-2021'!P352</f>
        <v>0</v>
      </c>
      <c r="X352" s="587">
        <f>+'NF-KSF-TRIAL-BAL-2021'!Q352+'RA-TRIAL-BAL-2021'!Q352+'DES-TRIAL-BAL-2021'!Q352+'DMP-TRIAL-BAL-2021'!Q352</f>
        <v>0</v>
      </c>
      <c r="Y352" s="586">
        <f>+'NF-KSF-TRIAL-BAL-2021'!R352+'RA-TRIAL-BAL-2021'!R352+'DES-TRIAL-BAL-2021'!R352+'DMP-TRIAL-BAL-2021'!R352</f>
        <v>0</v>
      </c>
      <c r="Z352" s="587">
        <f>+'NF-KSF-TRIAL-BAL-2021'!S352+'RA-TRIAL-BAL-2021'!S352+'DES-TRIAL-BAL-2021'!S352+'DMP-TRIAL-BAL-2021'!S352</f>
        <v>0</v>
      </c>
      <c r="AA352" s="588">
        <f>+'NF-KSF-TRIAL-BAL-2021'!T352+'RA-TRIAL-BAL-2021'!T352+'DES-TRIAL-BAL-2021'!T352+'DMP-TRIAL-BAL-2021'!T352</f>
        <v>0</v>
      </c>
      <c r="AB352" s="51"/>
      <c r="AC352" s="581"/>
      <c r="AD352" s="582">
        <v>0</v>
      </c>
      <c r="AE352" s="122"/>
      <c r="AF352" s="324"/>
      <c r="AG352" s="583">
        <f t="shared" si="183"/>
        <v>0</v>
      </c>
      <c r="AH352" s="584">
        <v>0</v>
      </c>
      <c r="AI352" s="51"/>
      <c r="AJ352" s="1497">
        <f t="shared" si="184"/>
        <v>5315</v>
      </c>
      <c r="AK352" s="951">
        <f t="shared" ref="AK352:AK366" si="196">+ROUND(+O352+V352+AC352,2)</f>
        <v>0</v>
      </c>
      <c r="AL352" s="9">
        <v>0</v>
      </c>
      <c r="AM352" s="326">
        <f t="shared" si="178"/>
        <v>0</v>
      </c>
      <c r="AN352" s="970">
        <f t="shared" si="178"/>
        <v>0</v>
      </c>
      <c r="AO352" s="326">
        <f t="shared" si="191"/>
        <v>0</v>
      </c>
      <c r="AP352" s="30">
        <v>0</v>
      </c>
      <c r="AQ352" s="43"/>
      <c r="AR352" s="358">
        <f t="shared" si="173"/>
        <v>0</v>
      </c>
      <c r="AS352" s="359">
        <f t="shared" si="174"/>
        <v>0</v>
      </c>
      <c r="AT352" s="360">
        <f t="shared" si="175"/>
        <v>0</v>
      </c>
      <c r="AU352" s="43"/>
      <c r="AV352" s="2120">
        <f t="shared" si="194"/>
        <v>0</v>
      </c>
      <c r="AW352" s="119"/>
      <c r="AX352" s="2120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 t="s">
        <v>265</v>
      </c>
      <c r="N353" s="113">
        <f t="shared" si="168"/>
        <v>5316</v>
      </c>
      <c r="O353" s="581"/>
      <c r="P353" s="582">
        <v>0</v>
      </c>
      <c r="Q353" s="325"/>
      <c r="R353" s="324"/>
      <c r="S353" s="583">
        <f t="shared" si="182"/>
        <v>0</v>
      </c>
      <c r="T353" s="584">
        <v>0</v>
      </c>
      <c r="U353" s="51"/>
      <c r="V353" s="541">
        <f>+'NF-KSF-TRIAL-BAL-2021'!O353+'RA-TRIAL-BAL-2021'!O353+'DES-TRIAL-BAL-2021'!O353+'DMP-TRIAL-BAL-2021'!O353</f>
        <v>0</v>
      </c>
      <c r="W353" s="529">
        <f>+'NF-KSF-TRIAL-BAL-2021'!P353+'RA-TRIAL-BAL-2021'!P353+'DES-TRIAL-BAL-2021'!P353+'DMP-TRIAL-BAL-2021'!P353</f>
        <v>0</v>
      </c>
      <c r="X353" s="587">
        <f>+'NF-KSF-TRIAL-BAL-2021'!Q353+'RA-TRIAL-BAL-2021'!Q353+'DES-TRIAL-BAL-2021'!Q353+'DMP-TRIAL-BAL-2021'!Q353</f>
        <v>0</v>
      </c>
      <c r="Y353" s="586">
        <f>+'NF-KSF-TRIAL-BAL-2021'!R353+'RA-TRIAL-BAL-2021'!R353+'DES-TRIAL-BAL-2021'!R353+'DMP-TRIAL-BAL-2021'!R353</f>
        <v>0</v>
      </c>
      <c r="Z353" s="587">
        <f>+'NF-KSF-TRIAL-BAL-2021'!S353+'RA-TRIAL-BAL-2021'!S353+'DES-TRIAL-BAL-2021'!S353+'DMP-TRIAL-BAL-2021'!S353</f>
        <v>0</v>
      </c>
      <c r="AA353" s="588">
        <f>+'NF-KSF-TRIAL-BAL-2021'!T353+'RA-TRIAL-BAL-2021'!T353+'DES-TRIAL-BAL-2021'!T353+'DMP-TRIAL-BAL-2021'!T353</f>
        <v>0</v>
      </c>
      <c r="AB353" s="51"/>
      <c r="AC353" s="581"/>
      <c r="AD353" s="582">
        <v>0</v>
      </c>
      <c r="AE353" s="325"/>
      <c r="AF353" s="324"/>
      <c r="AG353" s="583">
        <f t="shared" si="183"/>
        <v>0</v>
      </c>
      <c r="AH353" s="584">
        <v>0</v>
      </c>
      <c r="AI353" s="51"/>
      <c r="AJ353" s="1497">
        <f t="shared" si="184"/>
        <v>5316</v>
      </c>
      <c r="AK353" s="951">
        <f t="shared" si="196"/>
        <v>0</v>
      </c>
      <c r="AL353" s="9">
        <v>0</v>
      </c>
      <c r="AM353" s="326">
        <f t="shared" si="178"/>
        <v>0</v>
      </c>
      <c r="AN353" s="970">
        <f t="shared" si="178"/>
        <v>0</v>
      </c>
      <c r="AO353" s="326">
        <f t="shared" si="191"/>
        <v>0</v>
      </c>
      <c r="AP353" s="30">
        <v>0</v>
      </c>
      <c r="AQ353" s="43"/>
      <c r="AR353" s="358">
        <f t="shared" si="173"/>
        <v>0</v>
      </c>
      <c r="AS353" s="359">
        <f t="shared" si="174"/>
        <v>0</v>
      </c>
      <c r="AT353" s="360">
        <f t="shared" si="175"/>
        <v>0</v>
      </c>
      <c r="AU353" s="43"/>
      <c r="AV353" s="2120">
        <f t="shared" si="194"/>
        <v>0</v>
      </c>
      <c r="AW353" s="119"/>
      <c r="AX353" s="2120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 t="s">
        <v>265</v>
      </c>
      <c r="N354" s="113">
        <f t="shared" si="168"/>
        <v>5317</v>
      </c>
      <c r="O354" s="581"/>
      <c r="P354" s="582">
        <v>0</v>
      </c>
      <c r="Q354" s="325"/>
      <c r="R354" s="324"/>
      <c r="S354" s="583">
        <f t="shared" si="182"/>
        <v>0</v>
      </c>
      <c r="T354" s="584">
        <v>0</v>
      </c>
      <c r="U354" s="51"/>
      <c r="V354" s="541">
        <f>+'NF-KSF-TRIAL-BAL-2021'!O354+'RA-TRIAL-BAL-2021'!O354+'DES-TRIAL-BAL-2021'!O354+'DMP-TRIAL-BAL-2021'!O354</f>
        <v>0</v>
      </c>
      <c r="W354" s="529">
        <f>+'NF-KSF-TRIAL-BAL-2021'!P354+'RA-TRIAL-BAL-2021'!P354+'DES-TRIAL-BAL-2021'!P354+'DMP-TRIAL-BAL-2021'!P354</f>
        <v>0</v>
      </c>
      <c r="X354" s="587">
        <f>+'NF-KSF-TRIAL-BAL-2021'!Q354+'RA-TRIAL-BAL-2021'!Q354+'DES-TRIAL-BAL-2021'!Q354+'DMP-TRIAL-BAL-2021'!Q354</f>
        <v>0</v>
      </c>
      <c r="Y354" s="586">
        <f>+'NF-KSF-TRIAL-BAL-2021'!R354+'RA-TRIAL-BAL-2021'!R354+'DES-TRIAL-BAL-2021'!R354+'DMP-TRIAL-BAL-2021'!R354</f>
        <v>0</v>
      </c>
      <c r="Z354" s="587">
        <f>+'NF-KSF-TRIAL-BAL-2021'!S354+'RA-TRIAL-BAL-2021'!S354+'DES-TRIAL-BAL-2021'!S354+'DMP-TRIAL-BAL-2021'!S354</f>
        <v>0</v>
      </c>
      <c r="AA354" s="588">
        <f>+'NF-KSF-TRIAL-BAL-2021'!T354+'RA-TRIAL-BAL-2021'!T354+'DES-TRIAL-BAL-2021'!T354+'DMP-TRIAL-BAL-2021'!T354</f>
        <v>0</v>
      </c>
      <c r="AB354" s="51"/>
      <c r="AC354" s="581"/>
      <c r="AD354" s="582">
        <v>0</v>
      </c>
      <c r="AE354" s="325"/>
      <c r="AF354" s="324"/>
      <c r="AG354" s="583">
        <f t="shared" si="183"/>
        <v>0</v>
      </c>
      <c r="AH354" s="584">
        <v>0</v>
      </c>
      <c r="AI354" s="51"/>
      <c r="AJ354" s="1497">
        <f t="shared" si="184"/>
        <v>5317</v>
      </c>
      <c r="AK354" s="951">
        <f t="shared" si="196"/>
        <v>0</v>
      </c>
      <c r="AL354" s="9">
        <v>0</v>
      </c>
      <c r="AM354" s="326">
        <f t="shared" si="178"/>
        <v>0</v>
      </c>
      <c r="AN354" s="970">
        <f t="shared" si="178"/>
        <v>0</v>
      </c>
      <c r="AO354" s="326">
        <f t="shared" si="191"/>
        <v>0</v>
      </c>
      <c r="AP354" s="30">
        <v>0</v>
      </c>
      <c r="AQ354" s="43"/>
      <c r="AR354" s="358">
        <f t="shared" ref="AR354:AR382" si="197">+ROUND(+SUM(AK354-AL354)-SUM(O354-P354)-SUM(V354-W354)-SUM(AC354-AD354),2)</f>
        <v>0</v>
      </c>
      <c r="AS354" s="359">
        <f t="shared" ref="AS354:AS382" si="198">+ROUND(+SUM(AM354-AN354)-SUM(Q354-R354)-SUM(X354-Y354)-SUM(AE354-AF354),2)</f>
        <v>0</v>
      </c>
      <c r="AT354" s="360">
        <f t="shared" ref="AT354:AT382" si="199">+ROUND(+SUM(AO354-AP354)-SUM(S354-T354)-SUM(Z354-AA354)-SUM(AG354-AH354),2)</f>
        <v>0</v>
      </c>
      <c r="AU354" s="43"/>
      <c r="AV354" s="2120">
        <f t="shared" si="194"/>
        <v>0</v>
      </c>
      <c r="AW354" s="119"/>
      <c r="AX354" s="2120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 t="s">
        <v>265</v>
      </c>
      <c r="N355" s="113">
        <f t="shared" si="168"/>
        <v>5318</v>
      </c>
      <c r="O355" s="581"/>
      <c r="P355" s="582">
        <v>0</v>
      </c>
      <c r="Q355" s="325"/>
      <c r="R355" s="324"/>
      <c r="S355" s="583">
        <f t="shared" si="182"/>
        <v>0</v>
      </c>
      <c r="T355" s="584">
        <v>0</v>
      </c>
      <c r="U355" s="51"/>
      <c r="V355" s="541">
        <f>+'NF-KSF-TRIAL-BAL-2021'!O355+'RA-TRIAL-BAL-2021'!O355+'DES-TRIAL-BAL-2021'!O355+'DMP-TRIAL-BAL-2021'!O355</f>
        <v>0</v>
      </c>
      <c r="W355" s="529">
        <f>+'NF-KSF-TRIAL-BAL-2021'!P355+'RA-TRIAL-BAL-2021'!P355+'DES-TRIAL-BAL-2021'!P355+'DMP-TRIAL-BAL-2021'!P355</f>
        <v>0</v>
      </c>
      <c r="X355" s="587">
        <f>+'NF-KSF-TRIAL-BAL-2021'!Q355+'RA-TRIAL-BAL-2021'!Q355+'DES-TRIAL-BAL-2021'!Q355+'DMP-TRIAL-BAL-2021'!Q355</f>
        <v>0</v>
      </c>
      <c r="Y355" s="586">
        <f>+'NF-KSF-TRIAL-BAL-2021'!R355+'RA-TRIAL-BAL-2021'!R355+'DES-TRIAL-BAL-2021'!R355+'DMP-TRIAL-BAL-2021'!R355</f>
        <v>0</v>
      </c>
      <c r="Z355" s="587">
        <f>+'NF-KSF-TRIAL-BAL-2021'!S355+'RA-TRIAL-BAL-2021'!S355+'DES-TRIAL-BAL-2021'!S355+'DMP-TRIAL-BAL-2021'!S355</f>
        <v>0</v>
      </c>
      <c r="AA355" s="588">
        <f>+'NF-KSF-TRIAL-BAL-2021'!T355+'RA-TRIAL-BAL-2021'!T355+'DES-TRIAL-BAL-2021'!T355+'DMP-TRIAL-BAL-2021'!T355</f>
        <v>0</v>
      </c>
      <c r="AB355" s="51"/>
      <c r="AC355" s="581"/>
      <c r="AD355" s="582">
        <v>0</v>
      </c>
      <c r="AE355" s="325"/>
      <c r="AF355" s="324"/>
      <c r="AG355" s="583">
        <f t="shared" si="183"/>
        <v>0</v>
      </c>
      <c r="AH355" s="584">
        <v>0</v>
      </c>
      <c r="AI355" s="51"/>
      <c r="AJ355" s="1497">
        <f t="shared" si="184"/>
        <v>5318</v>
      </c>
      <c r="AK355" s="951">
        <f t="shared" si="196"/>
        <v>0</v>
      </c>
      <c r="AL355" s="9">
        <v>0</v>
      </c>
      <c r="AM355" s="326">
        <f t="shared" si="178"/>
        <v>0</v>
      </c>
      <c r="AN355" s="970">
        <f t="shared" si="178"/>
        <v>0</v>
      </c>
      <c r="AO355" s="326">
        <f t="shared" si="191"/>
        <v>0</v>
      </c>
      <c r="AP355" s="30">
        <v>0</v>
      </c>
      <c r="AQ355" s="43"/>
      <c r="AR355" s="358">
        <f t="shared" si="197"/>
        <v>0</v>
      </c>
      <c r="AS355" s="359">
        <f t="shared" si="198"/>
        <v>0</v>
      </c>
      <c r="AT355" s="360">
        <f t="shared" si="199"/>
        <v>0</v>
      </c>
      <c r="AU355" s="43"/>
      <c r="AV355" s="2120">
        <f t="shared" si="194"/>
        <v>0</v>
      </c>
      <c r="AW355" s="119"/>
      <c r="AX355" s="2120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 t="s">
        <v>265</v>
      </c>
      <c r="N356" s="113">
        <f t="shared" ref="N356:N382" si="200">+A356</f>
        <v>5319</v>
      </c>
      <c r="O356" s="581"/>
      <c r="P356" s="582">
        <v>0</v>
      </c>
      <c r="Q356" s="325"/>
      <c r="R356" s="324"/>
      <c r="S356" s="583">
        <f t="shared" si="182"/>
        <v>0</v>
      </c>
      <c r="T356" s="584">
        <v>0</v>
      </c>
      <c r="U356" s="51"/>
      <c r="V356" s="541">
        <f>+'NF-KSF-TRIAL-BAL-2021'!O356+'RA-TRIAL-BAL-2021'!O356+'DES-TRIAL-BAL-2021'!O356+'DMP-TRIAL-BAL-2021'!O356</f>
        <v>0</v>
      </c>
      <c r="W356" s="529">
        <f>+'NF-KSF-TRIAL-BAL-2021'!P356+'RA-TRIAL-BAL-2021'!P356+'DES-TRIAL-BAL-2021'!P356+'DMP-TRIAL-BAL-2021'!P356</f>
        <v>0</v>
      </c>
      <c r="X356" s="587">
        <f>+'NF-KSF-TRIAL-BAL-2021'!Q356+'RA-TRIAL-BAL-2021'!Q356+'DES-TRIAL-BAL-2021'!Q356+'DMP-TRIAL-BAL-2021'!Q356</f>
        <v>0</v>
      </c>
      <c r="Y356" s="586">
        <f>+'NF-KSF-TRIAL-BAL-2021'!R356+'RA-TRIAL-BAL-2021'!R356+'DES-TRIAL-BAL-2021'!R356+'DMP-TRIAL-BAL-2021'!R356</f>
        <v>0</v>
      </c>
      <c r="Z356" s="587">
        <f>+'NF-KSF-TRIAL-BAL-2021'!S356+'RA-TRIAL-BAL-2021'!S356+'DES-TRIAL-BAL-2021'!S356+'DMP-TRIAL-BAL-2021'!S356</f>
        <v>0</v>
      </c>
      <c r="AA356" s="588">
        <f>+'NF-KSF-TRIAL-BAL-2021'!T356+'RA-TRIAL-BAL-2021'!T356+'DES-TRIAL-BAL-2021'!T356+'DMP-TRIAL-BAL-2021'!T356</f>
        <v>0</v>
      </c>
      <c r="AB356" s="51"/>
      <c r="AC356" s="581"/>
      <c r="AD356" s="582">
        <v>0</v>
      </c>
      <c r="AE356" s="122"/>
      <c r="AF356" s="324"/>
      <c r="AG356" s="583">
        <f t="shared" si="183"/>
        <v>0</v>
      </c>
      <c r="AH356" s="584">
        <v>0</v>
      </c>
      <c r="AI356" s="51"/>
      <c r="AJ356" s="1497">
        <f t="shared" si="184"/>
        <v>5319</v>
      </c>
      <c r="AK356" s="951">
        <f t="shared" si="196"/>
        <v>0</v>
      </c>
      <c r="AL356" s="9">
        <v>0</v>
      </c>
      <c r="AM356" s="326">
        <f t="shared" si="178"/>
        <v>0</v>
      </c>
      <c r="AN356" s="970">
        <f t="shared" si="178"/>
        <v>0</v>
      </c>
      <c r="AO356" s="326">
        <f t="shared" si="191"/>
        <v>0</v>
      </c>
      <c r="AP356" s="30">
        <v>0</v>
      </c>
      <c r="AQ356" s="43"/>
      <c r="AR356" s="358">
        <f t="shared" si="197"/>
        <v>0</v>
      </c>
      <c r="AS356" s="359">
        <f t="shared" si="198"/>
        <v>0</v>
      </c>
      <c r="AT356" s="360">
        <f t="shared" si="199"/>
        <v>0</v>
      </c>
      <c r="AU356" s="43"/>
      <c r="AV356" s="2120">
        <f t="shared" si="194"/>
        <v>0</v>
      </c>
      <c r="AW356" s="119"/>
      <c r="AX356" s="2120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 t="s">
        <v>265</v>
      </c>
      <c r="N357" s="113">
        <f t="shared" si="200"/>
        <v>5321</v>
      </c>
      <c r="O357" s="581"/>
      <c r="P357" s="582">
        <v>0</v>
      </c>
      <c r="Q357" s="325"/>
      <c r="R357" s="324"/>
      <c r="S357" s="583">
        <f t="shared" si="182"/>
        <v>0</v>
      </c>
      <c r="T357" s="584">
        <v>0</v>
      </c>
      <c r="U357" s="51"/>
      <c r="V357" s="541">
        <f>+'NF-KSF-TRIAL-BAL-2021'!O357+'RA-TRIAL-BAL-2021'!O357+'DES-TRIAL-BAL-2021'!O357+'DMP-TRIAL-BAL-2021'!O357</f>
        <v>0</v>
      </c>
      <c r="W357" s="529">
        <f>+'NF-KSF-TRIAL-BAL-2021'!P357+'RA-TRIAL-BAL-2021'!P357+'DES-TRIAL-BAL-2021'!P357+'DMP-TRIAL-BAL-2021'!P357</f>
        <v>0</v>
      </c>
      <c r="X357" s="587">
        <f>+'NF-KSF-TRIAL-BAL-2021'!Q357+'RA-TRIAL-BAL-2021'!Q357+'DES-TRIAL-BAL-2021'!Q357+'DMP-TRIAL-BAL-2021'!Q357</f>
        <v>0</v>
      </c>
      <c r="Y357" s="586">
        <f>+'NF-KSF-TRIAL-BAL-2021'!R357+'RA-TRIAL-BAL-2021'!R357+'DES-TRIAL-BAL-2021'!R357+'DMP-TRIAL-BAL-2021'!R357</f>
        <v>0</v>
      </c>
      <c r="Z357" s="587">
        <f>+'NF-KSF-TRIAL-BAL-2021'!S357+'RA-TRIAL-BAL-2021'!S357+'DES-TRIAL-BAL-2021'!S357+'DMP-TRIAL-BAL-2021'!S357</f>
        <v>0</v>
      </c>
      <c r="AA357" s="588">
        <f>+'NF-KSF-TRIAL-BAL-2021'!T357+'RA-TRIAL-BAL-2021'!T357+'DES-TRIAL-BAL-2021'!T357+'DMP-TRIAL-BAL-2021'!T357</f>
        <v>0</v>
      </c>
      <c r="AB357" s="51"/>
      <c r="AC357" s="581"/>
      <c r="AD357" s="582">
        <v>0</v>
      </c>
      <c r="AE357" s="122"/>
      <c r="AF357" s="324"/>
      <c r="AG357" s="583">
        <f t="shared" si="183"/>
        <v>0</v>
      </c>
      <c r="AH357" s="584">
        <v>0</v>
      </c>
      <c r="AI357" s="51"/>
      <c r="AJ357" s="1497">
        <f t="shared" ref="AJ357:AJ363" si="201">+N357</f>
        <v>5321</v>
      </c>
      <c r="AK357" s="951">
        <f t="shared" si="196"/>
        <v>0</v>
      </c>
      <c r="AL357" s="9">
        <v>0</v>
      </c>
      <c r="AM357" s="326">
        <f t="shared" si="178"/>
        <v>0</v>
      </c>
      <c r="AN357" s="970">
        <f t="shared" si="178"/>
        <v>0</v>
      </c>
      <c r="AO357" s="326">
        <f t="shared" si="191"/>
        <v>0</v>
      </c>
      <c r="AP357" s="30">
        <v>0</v>
      </c>
      <c r="AQ357" s="43"/>
      <c r="AR357" s="358">
        <f t="shared" si="197"/>
        <v>0</v>
      </c>
      <c r="AS357" s="359">
        <f t="shared" si="198"/>
        <v>0</v>
      </c>
      <c r="AT357" s="360">
        <f t="shared" si="199"/>
        <v>0</v>
      </c>
      <c r="AU357" s="43"/>
      <c r="AV357" s="2120">
        <f t="shared" si="194"/>
        <v>0</v>
      </c>
      <c r="AW357" s="119"/>
      <c r="AX357" s="2120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 t="s">
        <v>265</v>
      </c>
      <c r="N358" s="113">
        <f t="shared" si="200"/>
        <v>5322</v>
      </c>
      <c r="O358" s="581"/>
      <c r="P358" s="582">
        <v>0</v>
      </c>
      <c r="Q358" s="325"/>
      <c r="R358" s="324"/>
      <c r="S358" s="583">
        <f t="shared" ref="S358:S363" si="202">+IF(ABS(+O358+Q358)&gt;=ABS(P358+R358),+O358-P358+Q358-R358,0)</f>
        <v>0</v>
      </c>
      <c r="T358" s="584">
        <v>0</v>
      </c>
      <c r="U358" s="51"/>
      <c r="V358" s="541">
        <f>+'NF-KSF-TRIAL-BAL-2021'!O358+'RA-TRIAL-BAL-2021'!O358+'DES-TRIAL-BAL-2021'!O358+'DMP-TRIAL-BAL-2021'!O358</f>
        <v>0</v>
      </c>
      <c r="W358" s="529">
        <f>+'NF-KSF-TRIAL-BAL-2021'!P358+'RA-TRIAL-BAL-2021'!P358+'DES-TRIAL-BAL-2021'!P358+'DMP-TRIAL-BAL-2021'!P358</f>
        <v>0</v>
      </c>
      <c r="X358" s="587">
        <f>+'NF-KSF-TRIAL-BAL-2021'!Q358+'RA-TRIAL-BAL-2021'!Q358+'DES-TRIAL-BAL-2021'!Q358+'DMP-TRIAL-BAL-2021'!Q358</f>
        <v>0</v>
      </c>
      <c r="Y358" s="586">
        <f>+'NF-KSF-TRIAL-BAL-2021'!R358+'RA-TRIAL-BAL-2021'!R358+'DES-TRIAL-BAL-2021'!R358+'DMP-TRIAL-BAL-2021'!R358</f>
        <v>0</v>
      </c>
      <c r="Z358" s="587">
        <f>+'NF-KSF-TRIAL-BAL-2021'!S358+'RA-TRIAL-BAL-2021'!S358+'DES-TRIAL-BAL-2021'!S358+'DMP-TRIAL-BAL-2021'!S358</f>
        <v>0</v>
      </c>
      <c r="AA358" s="588">
        <f>+'NF-KSF-TRIAL-BAL-2021'!T358+'RA-TRIAL-BAL-2021'!T358+'DES-TRIAL-BAL-2021'!T358+'DMP-TRIAL-BAL-2021'!T358</f>
        <v>0</v>
      </c>
      <c r="AB358" s="51"/>
      <c r="AC358" s="581"/>
      <c r="AD358" s="582">
        <v>0</v>
      </c>
      <c r="AE358" s="325"/>
      <c r="AF358" s="324"/>
      <c r="AG358" s="583">
        <f t="shared" ref="AG358:AG363" si="203">+IF(ABS(+AC358+AE358)&gt;=ABS(AD358+AF358),+AC358-AD358+AE358-AF358,0)</f>
        <v>0</v>
      </c>
      <c r="AH358" s="584">
        <v>0</v>
      </c>
      <c r="AI358" s="51"/>
      <c r="AJ358" s="1497">
        <f t="shared" si="201"/>
        <v>5322</v>
      </c>
      <c r="AK358" s="951">
        <f t="shared" si="196"/>
        <v>0</v>
      </c>
      <c r="AL358" s="9">
        <v>0</v>
      </c>
      <c r="AM358" s="326">
        <f t="shared" si="178"/>
        <v>0</v>
      </c>
      <c r="AN358" s="970">
        <f t="shared" si="178"/>
        <v>0</v>
      </c>
      <c r="AO358" s="326">
        <f t="shared" si="191"/>
        <v>0</v>
      </c>
      <c r="AP358" s="30">
        <v>0</v>
      </c>
      <c r="AQ358" s="43"/>
      <c r="AR358" s="358">
        <f t="shared" si="197"/>
        <v>0</v>
      </c>
      <c r="AS358" s="359">
        <f t="shared" si="198"/>
        <v>0</v>
      </c>
      <c r="AT358" s="360">
        <f t="shared" si="199"/>
        <v>0</v>
      </c>
      <c r="AU358" s="43"/>
      <c r="AV358" s="2120">
        <f t="shared" si="194"/>
        <v>0</v>
      </c>
      <c r="AW358" s="119"/>
      <c r="AX358" s="2120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 t="s">
        <v>265</v>
      </c>
      <c r="N359" s="113">
        <f t="shared" si="200"/>
        <v>5323</v>
      </c>
      <c r="O359" s="581"/>
      <c r="P359" s="582">
        <v>0</v>
      </c>
      <c r="Q359" s="325"/>
      <c r="R359" s="324"/>
      <c r="S359" s="583">
        <f t="shared" si="202"/>
        <v>0</v>
      </c>
      <c r="T359" s="584">
        <v>0</v>
      </c>
      <c r="U359" s="51"/>
      <c r="V359" s="541">
        <f>+'NF-KSF-TRIAL-BAL-2021'!O359+'RA-TRIAL-BAL-2021'!O359+'DES-TRIAL-BAL-2021'!O359+'DMP-TRIAL-BAL-2021'!O359</f>
        <v>0</v>
      </c>
      <c r="W359" s="529">
        <f>+'NF-KSF-TRIAL-BAL-2021'!P359+'RA-TRIAL-BAL-2021'!P359+'DES-TRIAL-BAL-2021'!P359+'DMP-TRIAL-BAL-2021'!P359</f>
        <v>0</v>
      </c>
      <c r="X359" s="587">
        <f>+'NF-KSF-TRIAL-BAL-2021'!Q359+'RA-TRIAL-BAL-2021'!Q359+'DES-TRIAL-BAL-2021'!Q359+'DMP-TRIAL-BAL-2021'!Q359</f>
        <v>0</v>
      </c>
      <c r="Y359" s="586">
        <f>+'NF-KSF-TRIAL-BAL-2021'!R359+'RA-TRIAL-BAL-2021'!R359+'DES-TRIAL-BAL-2021'!R359+'DMP-TRIAL-BAL-2021'!R359</f>
        <v>0</v>
      </c>
      <c r="Z359" s="587">
        <f>+'NF-KSF-TRIAL-BAL-2021'!S359+'RA-TRIAL-BAL-2021'!S359+'DES-TRIAL-BAL-2021'!S359+'DMP-TRIAL-BAL-2021'!S359</f>
        <v>0</v>
      </c>
      <c r="AA359" s="588">
        <f>+'NF-KSF-TRIAL-BAL-2021'!T359+'RA-TRIAL-BAL-2021'!T359+'DES-TRIAL-BAL-2021'!T359+'DMP-TRIAL-BAL-2021'!T359</f>
        <v>0</v>
      </c>
      <c r="AB359" s="51"/>
      <c r="AC359" s="581"/>
      <c r="AD359" s="582">
        <v>0</v>
      </c>
      <c r="AE359" s="325"/>
      <c r="AF359" s="324"/>
      <c r="AG359" s="583">
        <f t="shared" si="203"/>
        <v>0</v>
      </c>
      <c r="AH359" s="584">
        <v>0</v>
      </c>
      <c r="AI359" s="51"/>
      <c r="AJ359" s="1497">
        <f t="shared" si="201"/>
        <v>5323</v>
      </c>
      <c r="AK359" s="951">
        <f t="shared" si="196"/>
        <v>0</v>
      </c>
      <c r="AL359" s="9">
        <v>0</v>
      </c>
      <c r="AM359" s="326">
        <f t="shared" si="178"/>
        <v>0</v>
      </c>
      <c r="AN359" s="970">
        <f t="shared" si="178"/>
        <v>0</v>
      </c>
      <c r="AO359" s="326">
        <f t="shared" si="191"/>
        <v>0</v>
      </c>
      <c r="AP359" s="30">
        <v>0</v>
      </c>
      <c r="AQ359" s="43"/>
      <c r="AR359" s="358">
        <f t="shared" si="197"/>
        <v>0</v>
      </c>
      <c r="AS359" s="359">
        <f t="shared" si="198"/>
        <v>0</v>
      </c>
      <c r="AT359" s="360">
        <f t="shared" si="199"/>
        <v>0</v>
      </c>
      <c r="AU359" s="43"/>
      <c r="AV359" s="2120">
        <f t="shared" si="194"/>
        <v>0</v>
      </c>
      <c r="AW359" s="119"/>
      <c r="AX359" s="2120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 t="s">
        <v>265</v>
      </c>
      <c r="N360" s="113">
        <f t="shared" si="200"/>
        <v>5381</v>
      </c>
      <c r="O360" s="581"/>
      <c r="P360" s="582">
        <v>0</v>
      </c>
      <c r="Q360" s="325"/>
      <c r="R360" s="324"/>
      <c r="S360" s="583">
        <f t="shared" si="202"/>
        <v>0</v>
      </c>
      <c r="T360" s="584">
        <v>0</v>
      </c>
      <c r="U360" s="51"/>
      <c r="V360" s="541">
        <f>+'NF-KSF-TRIAL-BAL-2021'!O360+'RA-TRIAL-BAL-2021'!O360+'DES-TRIAL-BAL-2021'!O360+'DMP-TRIAL-BAL-2021'!O360</f>
        <v>0</v>
      </c>
      <c r="W360" s="529">
        <f>+'NF-KSF-TRIAL-BAL-2021'!P360+'RA-TRIAL-BAL-2021'!P360+'DES-TRIAL-BAL-2021'!P360+'DMP-TRIAL-BAL-2021'!P360</f>
        <v>0</v>
      </c>
      <c r="X360" s="587">
        <f>+'NF-KSF-TRIAL-BAL-2021'!Q360+'RA-TRIAL-BAL-2021'!Q360+'DES-TRIAL-BAL-2021'!Q360+'DMP-TRIAL-BAL-2021'!Q360</f>
        <v>0</v>
      </c>
      <c r="Y360" s="586">
        <f>+'NF-KSF-TRIAL-BAL-2021'!R360+'RA-TRIAL-BAL-2021'!R360+'DES-TRIAL-BAL-2021'!R360+'DMP-TRIAL-BAL-2021'!R360</f>
        <v>0</v>
      </c>
      <c r="Z360" s="587">
        <f>+'NF-KSF-TRIAL-BAL-2021'!S360+'RA-TRIAL-BAL-2021'!S360+'DES-TRIAL-BAL-2021'!S360+'DMP-TRIAL-BAL-2021'!S360</f>
        <v>0</v>
      </c>
      <c r="AA360" s="588">
        <f>+'NF-KSF-TRIAL-BAL-2021'!T360+'RA-TRIAL-BAL-2021'!T360+'DES-TRIAL-BAL-2021'!T360+'DMP-TRIAL-BAL-2021'!T360</f>
        <v>0</v>
      </c>
      <c r="AB360" s="51"/>
      <c r="AC360" s="581"/>
      <c r="AD360" s="582">
        <v>0</v>
      </c>
      <c r="AE360" s="325"/>
      <c r="AF360" s="324"/>
      <c r="AG360" s="583">
        <f t="shared" si="203"/>
        <v>0</v>
      </c>
      <c r="AH360" s="584">
        <v>0</v>
      </c>
      <c r="AI360" s="51"/>
      <c r="AJ360" s="1497">
        <f t="shared" si="201"/>
        <v>5381</v>
      </c>
      <c r="AK360" s="951">
        <f t="shared" si="196"/>
        <v>0</v>
      </c>
      <c r="AL360" s="9">
        <v>0</v>
      </c>
      <c r="AM360" s="326">
        <f t="shared" ref="AM360:AN363" si="204">+ROUND(+Q360+X360+AE360,2)</f>
        <v>0</v>
      </c>
      <c r="AN360" s="970">
        <f t="shared" si="204"/>
        <v>0</v>
      </c>
      <c r="AO360" s="326">
        <f t="shared" si="191"/>
        <v>0</v>
      </c>
      <c r="AP360" s="30">
        <v>0</v>
      </c>
      <c r="AQ360" s="43"/>
      <c r="AR360" s="358">
        <f>+ROUND(+SUM(AK360-AL360)-SUM(O360-P360)-SUM(V360-W360)-SUM(AC360-AD360),2)</f>
        <v>0</v>
      </c>
      <c r="AS360" s="359">
        <f>+ROUND(+SUM(AM360-AN360)-SUM(Q360-R360)-SUM(X360-Y360)-SUM(AE360-AF360),2)</f>
        <v>0</v>
      </c>
      <c r="AT360" s="360">
        <f>+ROUND(+SUM(AO360-AP360)-SUM(S360-T360)-SUM(Z360-AA360)-SUM(AG360-AH360),2)</f>
        <v>0</v>
      </c>
      <c r="AU360" s="43"/>
      <c r="AV360" s="2120">
        <f t="shared" si="194"/>
        <v>0</v>
      </c>
      <c r="AW360" s="119"/>
      <c r="AX360" s="2120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 t="s">
        <v>265</v>
      </c>
      <c r="N361" s="113">
        <f t="shared" si="200"/>
        <v>5382</v>
      </c>
      <c r="O361" s="581"/>
      <c r="P361" s="582">
        <v>0</v>
      </c>
      <c r="Q361" s="325"/>
      <c r="R361" s="324"/>
      <c r="S361" s="583">
        <f t="shared" si="202"/>
        <v>0</v>
      </c>
      <c r="T361" s="584">
        <v>0</v>
      </c>
      <c r="U361" s="51"/>
      <c r="V361" s="541">
        <f>+'NF-KSF-TRIAL-BAL-2021'!O361+'RA-TRIAL-BAL-2021'!O361+'DES-TRIAL-BAL-2021'!O361+'DMP-TRIAL-BAL-2021'!O361</f>
        <v>0</v>
      </c>
      <c r="W361" s="529">
        <f>+'NF-KSF-TRIAL-BAL-2021'!P361+'RA-TRIAL-BAL-2021'!P361+'DES-TRIAL-BAL-2021'!P361+'DMP-TRIAL-BAL-2021'!P361</f>
        <v>0</v>
      </c>
      <c r="X361" s="587">
        <f>+'NF-KSF-TRIAL-BAL-2021'!Q361+'RA-TRIAL-BAL-2021'!Q361+'DES-TRIAL-BAL-2021'!Q361+'DMP-TRIAL-BAL-2021'!Q361</f>
        <v>0</v>
      </c>
      <c r="Y361" s="586">
        <f>+'NF-KSF-TRIAL-BAL-2021'!R361+'RA-TRIAL-BAL-2021'!R361+'DES-TRIAL-BAL-2021'!R361+'DMP-TRIAL-BAL-2021'!R361</f>
        <v>0</v>
      </c>
      <c r="Z361" s="587">
        <f>+'NF-KSF-TRIAL-BAL-2021'!S361+'RA-TRIAL-BAL-2021'!S361+'DES-TRIAL-BAL-2021'!S361+'DMP-TRIAL-BAL-2021'!S361</f>
        <v>0</v>
      </c>
      <c r="AA361" s="588">
        <f>+'NF-KSF-TRIAL-BAL-2021'!T361+'RA-TRIAL-BAL-2021'!T361+'DES-TRIAL-BAL-2021'!T361+'DMP-TRIAL-BAL-2021'!T361</f>
        <v>0</v>
      </c>
      <c r="AB361" s="51"/>
      <c r="AC361" s="581"/>
      <c r="AD361" s="582">
        <v>0</v>
      </c>
      <c r="AE361" s="325"/>
      <c r="AF361" s="324"/>
      <c r="AG361" s="583">
        <f t="shared" si="203"/>
        <v>0</v>
      </c>
      <c r="AH361" s="584">
        <v>0</v>
      </c>
      <c r="AI361" s="51"/>
      <c r="AJ361" s="1497">
        <f t="shared" si="201"/>
        <v>5382</v>
      </c>
      <c r="AK361" s="951">
        <f t="shared" si="196"/>
        <v>0</v>
      </c>
      <c r="AL361" s="9">
        <v>0</v>
      </c>
      <c r="AM361" s="326">
        <f t="shared" si="204"/>
        <v>0</v>
      </c>
      <c r="AN361" s="970">
        <f t="shared" si="204"/>
        <v>0</v>
      </c>
      <c r="AO361" s="326">
        <f t="shared" si="191"/>
        <v>0</v>
      </c>
      <c r="AP361" s="30">
        <v>0</v>
      </c>
      <c r="AQ361" s="43"/>
      <c r="AR361" s="358">
        <f>+ROUND(+SUM(AK361-AL361)-SUM(O361-P361)-SUM(V361-W361)-SUM(AC361-AD361),2)</f>
        <v>0</v>
      </c>
      <c r="AS361" s="359">
        <f>+ROUND(+SUM(AM361-AN361)-SUM(Q361-R361)-SUM(X361-Y361)-SUM(AE361-AF361),2)</f>
        <v>0</v>
      </c>
      <c r="AT361" s="360">
        <f>+ROUND(+SUM(AO361-AP361)-SUM(S361-T361)-SUM(Z361-AA361)-SUM(AG361-AH361),2)</f>
        <v>0</v>
      </c>
      <c r="AU361" s="43"/>
      <c r="AV361" s="2120">
        <f t="shared" si="194"/>
        <v>0</v>
      </c>
      <c r="AW361" s="119"/>
      <c r="AX361" s="2120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 t="s">
        <v>265</v>
      </c>
      <c r="N362" s="113">
        <f t="shared" si="200"/>
        <v>5383</v>
      </c>
      <c r="O362" s="581"/>
      <c r="P362" s="582">
        <v>0</v>
      </c>
      <c r="Q362" s="325"/>
      <c r="R362" s="324"/>
      <c r="S362" s="583">
        <f t="shared" si="202"/>
        <v>0</v>
      </c>
      <c r="T362" s="584">
        <v>0</v>
      </c>
      <c r="U362" s="51"/>
      <c r="V362" s="541">
        <f>+'NF-KSF-TRIAL-BAL-2021'!O362+'RA-TRIAL-BAL-2021'!O362+'DES-TRIAL-BAL-2021'!O362+'DMP-TRIAL-BAL-2021'!O362</f>
        <v>0</v>
      </c>
      <c r="W362" s="529">
        <f>+'NF-KSF-TRIAL-BAL-2021'!P362+'RA-TRIAL-BAL-2021'!P362+'DES-TRIAL-BAL-2021'!P362+'DMP-TRIAL-BAL-2021'!P362</f>
        <v>0</v>
      </c>
      <c r="X362" s="587">
        <f>+'NF-KSF-TRIAL-BAL-2021'!Q362+'RA-TRIAL-BAL-2021'!Q362+'DES-TRIAL-BAL-2021'!Q362+'DMP-TRIAL-BAL-2021'!Q362</f>
        <v>0</v>
      </c>
      <c r="Y362" s="586">
        <f>+'NF-KSF-TRIAL-BAL-2021'!R362+'RA-TRIAL-BAL-2021'!R362+'DES-TRIAL-BAL-2021'!R362+'DMP-TRIAL-BAL-2021'!R362</f>
        <v>0</v>
      </c>
      <c r="Z362" s="587">
        <f>+'NF-KSF-TRIAL-BAL-2021'!S362+'RA-TRIAL-BAL-2021'!S362+'DES-TRIAL-BAL-2021'!S362+'DMP-TRIAL-BAL-2021'!S362</f>
        <v>0</v>
      </c>
      <c r="AA362" s="588">
        <f>+'NF-KSF-TRIAL-BAL-2021'!T362+'RA-TRIAL-BAL-2021'!T362+'DES-TRIAL-BAL-2021'!T362+'DMP-TRIAL-BAL-2021'!T362</f>
        <v>0</v>
      </c>
      <c r="AB362" s="51"/>
      <c r="AC362" s="581"/>
      <c r="AD362" s="582">
        <v>0</v>
      </c>
      <c r="AE362" s="122"/>
      <c r="AF362" s="324"/>
      <c r="AG362" s="583">
        <f t="shared" si="203"/>
        <v>0</v>
      </c>
      <c r="AH362" s="584">
        <v>0</v>
      </c>
      <c r="AI362" s="51"/>
      <c r="AJ362" s="1497">
        <f t="shared" si="201"/>
        <v>5383</v>
      </c>
      <c r="AK362" s="951">
        <f t="shared" si="196"/>
        <v>0</v>
      </c>
      <c r="AL362" s="9">
        <v>0</v>
      </c>
      <c r="AM362" s="326">
        <f t="shared" si="204"/>
        <v>0</v>
      </c>
      <c r="AN362" s="970">
        <f t="shared" si="204"/>
        <v>0</v>
      </c>
      <c r="AO362" s="326">
        <f t="shared" si="191"/>
        <v>0</v>
      </c>
      <c r="AP362" s="30">
        <v>0</v>
      </c>
      <c r="AQ362" s="43"/>
      <c r="AR362" s="358">
        <f>+ROUND(+SUM(AK362-AL362)-SUM(O362-P362)-SUM(V362-W362)-SUM(AC362-AD362),2)</f>
        <v>0</v>
      </c>
      <c r="AS362" s="359">
        <f>+ROUND(+SUM(AM362-AN362)-SUM(Q362-R362)-SUM(X362-Y362)-SUM(AE362-AF362),2)</f>
        <v>0</v>
      </c>
      <c r="AT362" s="360">
        <f>+ROUND(+SUM(AO362-AP362)-SUM(S362-T362)-SUM(Z362-AA362)-SUM(AG362-AH362),2)</f>
        <v>0</v>
      </c>
      <c r="AU362" s="43"/>
      <c r="AV362" s="2120">
        <f t="shared" si="194"/>
        <v>0</v>
      </c>
      <c r="AW362" s="119"/>
      <c r="AX362" s="2120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 t="s">
        <v>265</v>
      </c>
      <c r="N363" s="113">
        <f t="shared" si="200"/>
        <v>5384</v>
      </c>
      <c r="O363" s="581"/>
      <c r="P363" s="582">
        <v>0</v>
      </c>
      <c r="Q363" s="325"/>
      <c r="R363" s="324"/>
      <c r="S363" s="583">
        <f t="shared" si="202"/>
        <v>0</v>
      </c>
      <c r="T363" s="584">
        <v>0</v>
      </c>
      <c r="U363" s="51"/>
      <c r="V363" s="541">
        <f>+'NF-KSF-TRIAL-BAL-2021'!O363+'RA-TRIAL-BAL-2021'!O363+'DES-TRIAL-BAL-2021'!O363+'DMP-TRIAL-BAL-2021'!O363</f>
        <v>0</v>
      </c>
      <c r="W363" s="529">
        <f>+'NF-KSF-TRIAL-BAL-2021'!P363+'RA-TRIAL-BAL-2021'!P363+'DES-TRIAL-BAL-2021'!P363+'DMP-TRIAL-BAL-2021'!P363</f>
        <v>0</v>
      </c>
      <c r="X363" s="587">
        <f>+'NF-KSF-TRIAL-BAL-2021'!Q363+'RA-TRIAL-BAL-2021'!Q363+'DES-TRIAL-BAL-2021'!Q363+'DMP-TRIAL-BAL-2021'!Q363</f>
        <v>0</v>
      </c>
      <c r="Y363" s="586">
        <f>+'NF-KSF-TRIAL-BAL-2021'!R363+'RA-TRIAL-BAL-2021'!R363+'DES-TRIAL-BAL-2021'!R363+'DMP-TRIAL-BAL-2021'!R363</f>
        <v>0</v>
      </c>
      <c r="Z363" s="587">
        <f>+'NF-KSF-TRIAL-BAL-2021'!S363+'RA-TRIAL-BAL-2021'!S363+'DES-TRIAL-BAL-2021'!S363+'DMP-TRIAL-BAL-2021'!S363</f>
        <v>0</v>
      </c>
      <c r="AA363" s="588">
        <f>+'NF-KSF-TRIAL-BAL-2021'!T363+'RA-TRIAL-BAL-2021'!T363+'DES-TRIAL-BAL-2021'!T363+'DMP-TRIAL-BAL-2021'!T363</f>
        <v>0</v>
      </c>
      <c r="AB363" s="51"/>
      <c r="AC363" s="581"/>
      <c r="AD363" s="582">
        <v>0</v>
      </c>
      <c r="AE363" s="122"/>
      <c r="AF363" s="324"/>
      <c r="AG363" s="583">
        <f t="shared" si="203"/>
        <v>0</v>
      </c>
      <c r="AH363" s="584">
        <v>0</v>
      </c>
      <c r="AI363" s="51"/>
      <c r="AJ363" s="1497">
        <f t="shared" si="201"/>
        <v>5384</v>
      </c>
      <c r="AK363" s="951">
        <f t="shared" si="196"/>
        <v>0</v>
      </c>
      <c r="AL363" s="9">
        <v>0</v>
      </c>
      <c r="AM363" s="326">
        <f t="shared" si="204"/>
        <v>0</v>
      </c>
      <c r="AN363" s="970">
        <f t="shared" si="204"/>
        <v>0</v>
      </c>
      <c r="AO363" s="326">
        <f t="shared" si="191"/>
        <v>0</v>
      </c>
      <c r="AP363" s="30">
        <v>0</v>
      </c>
      <c r="AQ363" s="43"/>
      <c r="AR363" s="358">
        <f>+ROUND(+SUM(AK363-AL363)-SUM(O363-P363)-SUM(V363-W363)-SUM(AC363-AD363),2)</f>
        <v>0</v>
      </c>
      <c r="AS363" s="359">
        <f>+ROUND(+SUM(AM363-AN363)-SUM(Q363-R363)-SUM(X363-Y363)-SUM(AE363-AF363),2)</f>
        <v>0</v>
      </c>
      <c r="AT363" s="360">
        <f>+ROUND(+SUM(AO363-AP363)-SUM(S363-T363)-SUM(Z363-AA363)-SUM(AG363-AH363),2)</f>
        <v>0</v>
      </c>
      <c r="AU363" s="43"/>
      <c r="AV363" s="2120">
        <f t="shared" si="194"/>
        <v>0</v>
      </c>
      <c r="AW363" s="119"/>
      <c r="AX363" s="2120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 t="s">
        <v>265</v>
      </c>
      <c r="N364" s="113">
        <f t="shared" si="200"/>
        <v>5391</v>
      </c>
      <c r="O364" s="596">
        <v>0</v>
      </c>
      <c r="P364" s="576"/>
      <c r="Q364" s="325"/>
      <c r="R364" s="324"/>
      <c r="S364" s="2167">
        <v>0</v>
      </c>
      <c r="T364" s="580">
        <f>+IF(ABS(+O364+Q364)&lt;=ABS(P364+R364),-O364+P364-Q364+R364,0)</f>
        <v>0</v>
      </c>
      <c r="U364" s="51"/>
      <c r="V364" s="541">
        <f>+'NF-KSF-TRIAL-BAL-2021'!O364+'RA-TRIAL-BAL-2021'!O364+'DES-TRIAL-BAL-2021'!O364+'DMP-TRIAL-BAL-2021'!O364</f>
        <v>0</v>
      </c>
      <c r="W364" s="529">
        <f>+'NF-KSF-TRIAL-BAL-2021'!P364+'RA-TRIAL-BAL-2021'!P364+'DES-TRIAL-BAL-2021'!P364+'DMP-TRIAL-BAL-2021'!P364</f>
        <v>0</v>
      </c>
      <c r="X364" s="587">
        <f>+'NF-KSF-TRIAL-BAL-2021'!Q364+'RA-TRIAL-BAL-2021'!Q364+'DES-TRIAL-BAL-2021'!Q364+'DMP-TRIAL-BAL-2021'!Q364</f>
        <v>0</v>
      </c>
      <c r="Y364" s="586">
        <f>+'NF-KSF-TRIAL-BAL-2021'!R364+'RA-TRIAL-BAL-2021'!R364+'DES-TRIAL-BAL-2021'!R364+'DMP-TRIAL-BAL-2021'!R364</f>
        <v>0</v>
      </c>
      <c r="Z364" s="587">
        <f>+'NF-KSF-TRIAL-BAL-2021'!S364+'RA-TRIAL-BAL-2021'!S364+'DES-TRIAL-BAL-2021'!S364+'DMP-TRIAL-BAL-2021'!S364</f>
        <v>0</v>
      </c>
      <c r="AA364" s="588">
        <f>+'NF-KSF-TRIAL-BAL-2021'!T364+'RA-TRIAL-BAL-2021'!T364+'DES-TRIAL-BAL-2021'!T364+'DMP-TRIAL-BAL-2021'!T364</f>
        <v>0</v>
      </c>
      <c r="AB364" s="51"/>
      <c r="AC364" s="596">
        <v>0</v>
      </c>
      <c r="AD364" s="576"/>
      <c r="AE364" s="325"/>
      <c r="AF364" s="324"/>
      <c r="AG364" s="2167">
        <v>0</v>
      </c>
      <c r="AH364" s="580">
        <f>+IF(ABS(+AC364+AE364)&lt;=ABS(AD364+AF364),-AC364+AD364-AE364+AF364,0)</f>
        <v>0</v>
      </c>
      <c r="AI364" s="51"/>
      <c r="AJ364" s="1497">
        <f t="shared" si="184"/>
        <v>5391</v>
      </c>
      <c r="AK364" s="951">
        <f t="shared" si="196"/>
        <v>0</v>
      </c>
      <c r="AL364" s="970">
        <f>+ROUND(+P364+W364+AD364,2)</f>
        <v>0</v>
      </c>
      <c r="AM364" s="326">
        <f t="shared" si="178"/>
        <v>0</v>
      </c>
      <c r="AN364" s="970">
        <f t="shared" si="178"/>
        <v>0</v>
      </c>
      <c r="AO364" s="326">
        <f t="shared" si="191"/>
        <v>0</v>
      </c>
      <c r="AP364" s="327">
        <f t="shared" si="191"/>
        <v>0</v>
      </c>
      <c r="AQ364" s="43"/>
      <c r="AR364" s="358">
        <f t="shared" si="197"/>
        <v>0</v>
      </c>
      <c r="AS364" s="359">
        <f t="shared" si="198"/>
        <v>0</v>
      </c>
      <c r="AT364" s="360">
        <f t="shared" si="199"/>
        <v>0</v>
      </c>
      <c r="AU364" s="43"/>
      <c r="AV364" s="2119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119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 t="s">
        <v>265</v>
      </c>
      <c r="N365" s="113">
        <f t="shared" si="200"/>
        <v>5392</v>
      </c>
      <c r="O365" s="596">
        <v>0</v>
      </c>
      <c r="P365" s="576"/>
      <c r="Q365" s="325"/>
      <c r="R365" s="324"/>
      <c r="S365" s="2167">
        <v>0</v>
      </c>
      <c r="T365" s="580">
        <f>+IF(ABS(+O365+Q365)&lt;=ABS(P365+R365),-O365+P365-Q365+R365,0)</f>
        <v>0</v>
      </c>
      <c r="U365" s="51"/>
      <c r="V365" s="541">
        <f>+'NF-KSF-TRIAL-BAL-2021'!O365+'RA-TRIAL-BAL-2021'!O365+'DES-TRIAL-BAL-2021'!O365+'DMP-TRIAL-BAL-2021'!O365</f>
        <v>0</v>
      </c>
      <c r="W365" s="529">
        <f>+'NF-KSF-TRIAL-BAL-2021'!P365+'RA-TRIAL-BAL-2021'!P365+'DES-TRIAL-BAL-2021'!P365+'DMP-TRIAL-BAL-2021'!P365</f>
        <v>0</v>
      </c>
      <c r="X365" s="587">
        <f>+'NF-KSF-TRIAL-BAL-2021'!Q365+'RA-TRIAL-BAL-2021'!Q365+'DES-TRIAL-BAL-2021'!Q365+'DMP-TRIAL-BAL-2021'!Q365</f>
        <v>0</v>
      </c>
      <c r="Y365" s="586">
        <f>+'NF-KSF-TRIAL-BAL-2021'!R365+'RA-TRIAL-BAL-2021'!R365+'DES-TRIAL-BAL-2021'!R365+'DMP-TRIAL-BAL-2021'!R365</f>
        <v>0</v>
      </c>
      <c r="Z365" s="587">
        <f>+'NF-KSF-TRIAL-BAL-2021'!S365+'RA-TRIAL-BAL-2021'!S365+'DES-TRIAL-BAL-2021'!S365+'DMP-TRIAL-BAL-2021'!S365</f>
        <v>0</v>
      </c>
      <c r="AA365" s="588">
        <f>+'NF-KSF-TRIAL-BAL-2021'!T365+'RA-TRIAL-BAL-2021'!T365+'DES-TRIAL-BAL-2021'!T365+'DMP-TRIAL-BAL-2021'!T365</f>
        <v>0</v>
      </c>
      <c r="AB365" s="51"/>
      <c r="AC365" s="596">
        <v>0</v>
      </c>
      <c r="AD365" s="576"/>
      <c r="AE365" s="325"/>
      <c r="AF365" s="324"/>
      <c r="AG365" s="2167">
        <v>0</v>
      </c>
      <c r="AH365" s="580">
        <f>+IF(ABS(+AC365+AE365)&lt;=ABS(AD365+AF365),-AC365+AD365-AE365+AF365,0)</f>
        <v>0</v>
      </c>
      <c r="AI365" s="51"/>
      <c r="AJ365" s="1497">
        <f t="shared" si="184"/>
        <v>5392</v>
      </c>
      <c r="AK365" s="951">
        <f t="shared" si="196"/>
        <v>0</v>
      </c>
      <c r="AL365" s="970">
        <f>+ROUND(+P365+W365+AD365,2)</f>
        <v>0</v>
      </c>
      <c r="AM365" s="326">
        <f t="shared" si="178"/>
        <v>0</v>
      </c>
      <c r="AN365" s="970">
        <f t="shared" si="178"/>
        <v>0</v>
      </c>
      <c r="AO365" s="326">
        <f t="shared" si="191"/>
        <v>0</v>
      </c>
      <c r="AP365" s="327">
        <f t="shared" si="191"/>
        <v>0</v>
      </c>
      <c r="AQ365" s="43"/>
      <c r="AR365" s="358">
        <f t="shared" si="197"/>
        <v>0</v>
      </c>
      <c r="AS365" s="359">
        <f t="shared" si="198"/>
        <v>0</v>
      </c>
      <c r="AT365" s="360">
        <f t="shared" si="199"/>
        <v>0</v>
      </c>
      <c r="AU365" s="43"/>
      <c r="AV365" s="2119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119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 t="s">
        <v>265</v>
      </c>
      <c r="N366" s="113">
        <f t="shared" si="200"/>
        <v>5393</v>
      </c>
      <c r="O366" s="596">
        <v>0</v>
      </c>
      <c r="P366" s="576"/>
      <c r="Q366" s="325"/>
      <c r="R366" s="324"/>
      <c r="S366" s="2167">
        <v>0</v>
      </c>
      <c r="T366" s="580">
        <f>+IF(ABS(+O366+Q366)&lt;=ABS(P366+R366),-O366+P366-Q366+R366,0)</f>
        <v>0</v>
      </c>
      <c r="U366" s="51"/>
      <c r="V366" s="541">
        <f>+'NF-KSF-TRIAL-BAL-2021'!O366+'RA-TRIAL-BAL-2021'!O366+'DES-TRIAL-BAL-2021'!O366+'DMP-TRIAL-BAL-2021'!O366</f>
        <v>0</v>
      </c>
      <c r="W366" s="529">
        <f>+'NF-KSF-TRIAL-BAL-2021'!P366+'RA-TRIAL-BAL-2021'!P366+'DES-TRIAL-BAL-2021'!P366+'DMP-TRIAL-BAL-2021'!P366</f>
        <v>0</v>
      </c>
      <c r="X366" s="587">
        <f>+'NF-KSF-TRIAL-BAL-2021'!Q366+'RA-TRIAL-BAL-2021'!Q366+'DES-TRIAL-BAL-2021'!Q366+'DMP-TRIAL-BAL-2021'!Q366</f>
        <v>0</v>
      </c>
      <c r="Y366" s="586">
        <f>+'NF-KSF-TRIAL-BAL-2021'!R366+'RA-TRIAL-BAL-2021'!R366+'DES-TRIAL-BAL-2021'!R366+'DMP-TRIAL-BAL-2021'!R366</f>
        <v>0</v>
      </c>
      <c r="Z366" s="587">
        <f>+'NF-KSF-TRIAL-BAL-2021'!S366+'RA-TRIAL-BAL-2021'!S366+'DES-TRIAL-BAL-2021'!S366+'DMP-TRIAL-BAL-2021'!S366</f>
        <v>0</v>
      </c>
      <c r="AA366" s="588">
        <f>+'NF-KSF-TRIAL-BAL-2021'!T366+'RA-TRIAL-BAL-2021'!T366+'DES-TRIAL-BAL-2021'!T366+'DMP-TRIAL-BAL-2021'!T366</f>
        <v>0</v>
      </c>
      <c r="AB366" s="51"/>
      <c r="AC366" s="596">
        <v>0</v>
      </c>
      <c r="AD366" s="576"/>
      <c r="AE366" s="325"/>
      <c r="AF366" s="324"/>
      <c r="AG366" s="2167">
        <v>0</v>
      </c>
      <c r="AH366" s="580">
        <f>+IF(ABS(+AC366+AE366)&lt;=ABS(AD366+AF366),-AC366+AD366-AE366+AF366,0)</f>
        <v>0</v>
      </c>
      <c r="AI366" s="51"/>
      <c r="AJ366" s="1497">
        <f t="shared" si="184"/>
        <v>5393</v>
      </c>
      <c r="AK366" s="951">
        <f t="shared" si="196"/>
        <v>0</v>
      </c>
      <c r="AL366" s="970">
        <f>+ROUND(+P366+W366+AD366,2)</f>
        <v>0</v>
      </c>
      <c r="AM366" s="326">
        <f t="shared" si="178"/>
        <v>0</v>
      </c>
      <c r="AN366" s="970">
        <f t="shared" si="178"/>
        <v>0</v>
      </c>
      <c r="AO366" s="326">
        <f t="shared" si="191"/>
        <v>0</v>
      </c>
      <c r="AP366" s="327">
        <f t="shared" si="191"/>
        <v>0</v>
      </c>
      <c r="AQ366" s="43"/>
      <c r="AR366" s="358">
        <f t="shared" si="197"/>
        <v>0</v>
      </c>
      <c r="AS366" s="359">
        <f t="shared" si="198"/>
        <v>0</v>
      </c>
      <c r="AT366" s="360">
        <f t="shared" si="199"/>
        <v>0</v>
      </c>
      <c r="AU366" s="43"/>
      <c r="AV366" s="2119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119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 t="s">
        <v>265</v>
      </c>
      <c r="N367" s="113">
        <f t="shared" si="200"/>
        <v>5398</v>
      </c>
      <c r="O367" s="575">
        <v>0</v>
      </c>
      <c r="P367" s="576"/>
      <c r="Q367" s="325"/>
      <c r="R367" s="324"/>
      <c r="S367" s="579">
        <v>0</v>
      </c>
      <c r="T367" s="580">
        <f>+IF(ABS(+O367+Q367)&lt;=ABS(P367+R367),-O367+P367-Q367+R367,0)</f>
        <v>0</v>
      </c>
      <c r="U367" s="51"/>
      <c r="V367" s="541">
        <f>+'NF-KSF-TRIAL-BAL-2021'!O367+'RA-TRIAL-BAL-2021'!O367+'DES-TRIAL-BAL-2021'!O367+'DMP-TRIAL-BAL-2021'!O367</f>
        <v>0</v>
      </c>
      <c r="W367" s="529">
        <f>+'NF-KSF-TRIAL-BAL-2021'!P367+'RA-TRIAL-BAL-2021'!P367+'DES-TRIAL-BAL-2021'!P367+'DMP-TRIAL-BAL-2021'!P367</f>
        <v>0</v>
      </c>
      <c r="X367" s="587">
        <f>+'NF-KSF-TRIAL-BAL-2021'!Q367+'RA-TRIAL-BAL-2021'!Q367+'DES-TRIAL-BAL-2021'!Q367+'DMP-TRIAL-BAL-2021'!Q367</f>
        <v>0</v>
      </c>
      <c r="Y367" s="586">
        <f>+'NF-KSF-TRIAL-BAL-2021'!R367+'RA-TRIAL-BAL-2021'!R367+'DES-TRIAL-BAL-2021'!R367+'DMP-TRIAL-BAL-2021'!R367</f>
        <v>0</v>
      </c>
      <c r="Z367" s="587">
        <f>+'NF-KSF-TRIAL-BAL-2021'!S367+'RA-TRIAL-BAL-2021'!S367+'DES-TRIAL-BAL-2021'!S367+'DMP-TRIAL-BAL-2021'!S367</f>
        <v>0</v>
      </c>
      <c r="AA367" s="588">
        <f>+'NF-KSF-TRIAL-BAL-2021'!T367+'RA-TRIAL-BAL-2021'!T367+'DES-TRIAL-BAL-2021'!T367+'DMP-TRIAL-BAL-2021'!T367</f>
        <v>0</v>
      </c>
      <c r="AB367" s="51"/>
      <c r="AC367" s="575">
        <v>0</v>
      </c>
      <c r="AD367" s="576"/>
      <c r="AE367" s="325"/>
      <c r="AF367" s="324"/>
      <c r="AG367" s="579">
        <v>0</v>
      </c>
      <c r="AH367" s="580">
        <f>+IF(ABS(+AC367+AE367)&lt;=ABS(AD367+AF367),-AC367+AD367-AE367+AF367,0)</f>
        <v>0</v>
      </c>
      <c r="AI367" s="51"/>
      <c r="AJ367" s="1497">
        <f>+N367</f>
        <v>5398</v>
      </c>
      <c r="AK367" s="8">
        <v>0</v>
      </c>
      <c r="AL367" s="970">
        <f>+ROUND(+P367+W367+AD367,2)</f>
        <v>0</v>
      </c>
      <c r="AM367" s="326">
        <f t="shared" si="178"/>
        <v>0</v>
      </c>
      <c r="AN367" s="970">
        <f t="shared" si="178"/>
        <v>0</v>
      </c>
      <c r="AO367" s="29">
        <v>0</v>
      </c>
      <c r="AP367" s="327">
        <f>+T367+AA367+AH367</f>
        <v>0</v>
      </c>
      <c r="AQ367" s="43"/>
      <c r="AR367" s="358">
        <f>+ROUND(+SUM(AK367-AL367)-SUM(O367-P367)-SUM(V367-W367)-SUM(AC367-AD367),2)</f>
        <v>0</v>
      </c>
      <c r="AS367" s="359">
        <f>+ROUND(+SUM(AM367-AN367)-SUM(Q367-R367)-SUM(X367-Y367)-SUM(AE367-AF367),2)</f>
        <v>0</v>
      </c>
      <c r="AT367" s="360">
        <f>+ROUND(+SUM(AO367-AP367)-SUM(S367-T367)-SUM(Z367-AA367)-SUM(AG367-AH367),2)</f>
        <v>0</v>
      </c>
      <c r="AU367" s="43"/>
      <c r="AV367" s="2119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119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 t="s">
        <v>265</v>
      </c>
      <c r="N368" s="113">
        <f t="shared" si="200"/>
        <v>5811</v>
      </c>
      <c r="O368" s="581"/>
      <c r="P368" s="582">
        <v>0</v>
      </c>
      <c r="Q368" s="325"/>
      <c r="R368" s="324"/>
      <c r="S368" s="583">
        <f t="shared" ref="S368:S379" si="205">+IF(ABS(+O368+Q368)&gt;=ABS(P368+R368),+O368-P368+Q368-R368,0)</f>
        <v>0</v>
      </c>
      <c r="T368" s="584">
        <v>0</v>
      </c>
      <c r="U368" s="51"/>
      <c r="V368" s="541">
        <f>+'NF-KSF-TRIAL-BAL-2021'!O368+'RA-TRIAL-BAL-2021'!O368+'DES-TRIAL-BAL-2021'!O368+'DMP-TRIAL-BAL-2021'!O368</f>
        <v>0</v>
      </c>
      <c r="W368" s="529">
        <f>+'NF-KSF-TRIAL-BAL-2021'!P368+'RA-TRIAL-BAL-2021'!P368+'DES-TRIAL-BAL-2021'!P368+'DMP-TRIAL-BAL-2021'!P368</f>
        <v>0</v>
      </c>
      <c r="X368" s="587">
        <f>+'NF-KSF-TRIAL-BAL-2021'!Q368+'RA-TRIAL-BAL-2021'!Q368+'DES-TRIAL-BAL-2021'!Q368+'DMP-TRIAL-BAL-2021'!Q368</f>
        <v>0</v>
      </c>
      <c r="Y368" s="586">
        <f>+'NF-KSF-TRIAL-BAL-2021'!R368+'RA-TRIAL-BAL-2021'!R368+'DES-TRIAL-BAL-2021'!R368+'DMP-TRIAL-BAL-2021'!R368</f>
        <v>0</v>
      </c>
      <c r="Z368" s="587">
        <f>+'NF-KSF-TRIAL-BAL-2021'!S368+'RA-TRIAL-BAL-2021'!S368+'DES-TRIAL-BAL-2021'!S368+'DMP-TRIAL-BAL-2021'!S368</f>
        <v>0</v>
      </c>
      <c r="AA368" s="588">
        <f>+'NF-KSF-TRIAL-BAL-2021'!T368+'RA-TRIAL-BAL-2021'!T368+'DES-TRIAL-BAL-2021'!T368+'DMP-TRIAL-BAL-2021'!T368</f>
        <v>0</v>
      </c>
      <c r="AB368" s="51"/>
      <c r="AC368" s="581"/>
      <c r="AD368" s="582">
        <v>0</v>
      </c>
      <c r="AE368" s="122"/>
      <c r="AF368" s="324"/>
      <c r="AG368" s="583">
        <f t="shared" ref="AG368:AG379" si="206">+IF(ABS(+AC368+AE368)&gt;=ABS(AD368+AF368),+AC368-AD368+AE368-AF368,0)</f>
        <v>0</v>
      </c>
      <c r="AH368" s="584">
        <v>0</v>
      </c>
      <c r="AI368" s="51"/>
      <c r="AJ368" s="1497">
        <f t="shared" si="184"/>
        <v>5811</v>
      </c>
      <c r="AK368" s="951">
        <f>+ROUND(+O368+V368+AC368,2)</f>
        <v>0</v>
      </c>
      <c r="AL368" s="9">
        <v>0</v>
      </c>
      <c r="AM368" s="326">
        <f t="shared" si="178"/>
        <v>0</v>
      </c>
      <c r="AN368" s="970">
        <f t="shared" si="178"/>
        <v>0</v>
      </c>
      <c r="AO368" s="326">
        <f t="shared" ref="AO368:AP382" si="207">+S368+Z368+AG368</f>
        <v>0</v>
      </c>
      <c r="AP368" s="30">
        <v>0</v>
      </c>
      <c r="AQ368" s="43"/>
      <c r="AR368" s="358">
        <f t="shared" si="197"/>
        <v>0</v>
      </c>
      <c r="AS368" s="359">
        <f t="shared" si="198"/>
        <v>0</v>
      </c>
      <c r="AT368" s="360">
        <f t="shared" si="199"/>
        <v>0</v>
      </c>
      <c r="AU368" s="43"/>
      <c r="AV368" s="2120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120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 t="s">
        <v>265</v>
      </c>
      <c r="N369" s="113">
        <f t="shared" si="200"/>
        <v>5812</v>
      </c>
      <c r="O369" s="581"/>
      <c r="P369" s="582">
        <v>0</v>
      </c>
      <c r="Q369" s="325"/>
      <c r="R369" s="324"/>
      <c r="S369" s="583">
        <f t="shared" si="205"/>
        <v>0</v>
      </c>
      <c r="T369" s="584">
        <v>0</v>
      </c>
      <c r="U369" s="51"/>
      <c r="V369" s="541">
        <f>+'NF-KSF-TRIAL-BAL-2021'!O369+'RA-TRIAL-BAL-2021'!O369+'DES-TRIAL-BAL-2021'!O369+'DMP-TRIAL-BAL-2021'!O369</f>
        <v>0</v>
      </c>
      <c r="W369" s="529">
        <f>+'NF-KSF-TRIAL-BAL-2021'!P369+'RA-TRIAL-BAL-2021'!P369+'DES-TRIAL-BAL-2021'!P369+'DMP-TRIAL-BAL-2021'!P369</f>
        <v>0</v>
      </c>
      <c r="X369" s="587">
        <f>+'NF-KSF-TRIAL-BAL-2021'!Q369+'RA-TRIAL-BAL-2021'!Q369+'DES-TRIAL-BAL-2021'!Q369+'DMP-TRIAL-BAL-2021'!Q369</f>
        <v>0</v>
      </c>
      <c r="Y369" s="586">
        <f>+'NF-KSF-TRIAL-BAL-2021'!R369+'RA-TRIAL-BAL-2021'!R369+'DES-TRIAL-BAL-2021'!R369+'DMP-TRIAL-BAL-2021'!R369</f>
        <v>0</v>
      </c>
      <c r="Z369" s="587">
        <f>+'NF-KSF-TRIAL-BAL-2021'!S369+'RA-TRIAL-BAL-2021'!S369+'DES-TRIAL-BAL-2021'!S369+'DMP-TRIAL-BAL-2021'!S369</f>
        <v>0</v>
      </c>
      <c r="AA369" s="588">
        <f>+'NF-KSF-TRIAL-BAL-2021'!T369+'RA-TRIAL-BAL-2021'!T369+'DES-TRIAL-BAL-2021'!T369+'DMP-TRIAL-BAL-2021'!T369</f>
        <v>0</v>
      </c>
      <c r="AB369" s="51"/>
      <c r="AC369" s="581"/>
      <c r="AD369" s="582">
        <v>0</v>
      </c>
      <c r="AE369" s="122"/>
      <c r="AF369" s="324"/>
      <c r="AG369" s="583">
        <f t="shared" si="206"/>
        <v>0</v>
      </c>
      <c r="AH369" s="584">
        <v>0</v>
      </c>
      <c r="AI369" s="51"/>
      <c r="AJ369" s="1497">
        <f t="shared" si="184"/>
        <v>5812</v>
      </c>
      <c r="AK369" s="951">
        <f>+ROUND(+O369+V369+AC369,2)</f>
        <v>0</v>
      </c>
      <c r="AL369" s="9">
        <v>0</v>
      </c>
      <c r="AM369" s="326">
        <f t="shared" si="178"/>
        <v>0</v>
      </c>
      <c r="AN369" s="970">
        <f t="shared" si="178"/>
        <v>0</v>
      </c>
      <c r="AO369" s="326">
        <f t="shared" si="207"/>
        <v>0</v>
      </c>
      <c r="AP369" s="30">
        <v>0</v>
      </c>
      <c r="AQ369" s="43"/>
      <c r="AR369" s="358">
        <f t="shared" si="197"/>
        <v>0</v>
      </c>
      <c r="AS369" s="359">
        <f t="shared" si="198"/>
        <v>0</v>
      </c>
      <c r="AT369" s="360">
        <f t="shared" si="199"/>
        <v>0</v>
      </c>
      <c r="AU369" s="43"/>
      <c r="AV369" s="2120">
        <f t="shared" si="208"/>
        <v>0</v>
      </c>
      <c r="AW369" s="119"/>
      <c r="AX369" s="2120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 t="s">
        <v>265</v>
      </c>
      <c r="N370" s="113">
        <f t="shared" si="200"/>
        <v>5814</v>
      </c>
      <c r="O370" s="581"/>
      <c r="P370" s="582">
        <v>0</v>
      </c>
      <c r="Q370" s="325"/>
      <c r="R370" s="324"/>
      <c r="S370" s="583">
        <f t="shared" si="205"/>
        <v>0</v>
      </c>
      <c r="T370" s="584">
        <v>0</v>
      </c>
      <c r="U370" s="51"/>
      <c r="V370" s="541">
        <f>+'NF-KSF-TRIAL-BAL-2021'!O370+'RA-TRIAL-BAL-2021'!O370+'DES-TRIAL-BAL-2021'!O370+'DMP-TRIAL-BAL-2021'!O370</f>
        <v>0</v>
      </c>
      <c r="W370" s="529">
        <f>+'NF-KSF-TRIAL-BAL-2021'!P370+'RA-TRIAL-BAL-2021'!P370+'DES-TRIAL-BAL-2021'!P370+'DMP-TRIAL-BAL-2021'!P370</f>
        <v>0</v>
      </c>
      <c r="X370" s="587">
        <f>+'NF-KSF-TRIAL-BAL-2021'!Q370+'RA-TRIAL-BAL-2021'!Q370+'DES-TRIAL-BAL-2021'!Q370+'DMP-TRIAL-BAL-2021'!Q370</f>
        <v>0</v>
      </c>
      <c r="Y370" s="586">
        <f>+'NF-KSF-TRIAL-BAL-2021'!R370+'RA-TRIAL-BAL-2021'!R370+'DES-TRIAL-BAL-2021'!R370+'DMP-TRIAL-BAL-2021'!R370</f>
        <v>0</v>
      </c>
      <c r="Z370" s="587">
        <f>+'NF-KSF-TRIAL-BAL-2021'!S370+'RA-TRIAL-BAL-2021'!S370+'DES-TRIAL-BAL-2021'!S370+'DMP-TRIAL-BAL-2021'!S370</f>
        <v>0</v>
      </c>
      <c r="AA370" s="588">
        <f>+'NF-KSF-TRIAL-BAL-2021'!T370+'RA-TRIAL-BAL-2021'!T370+'DES-TRIAL-BAL-2021'!T370+'DMP-TRIAL-BAL-2021'!T370</f>
        <v>0</v>
      </c>
      <c r="AB370" s="51"/>
      <c r="AC370" s="581"/>
      <c r="AD370" s="582">
        <v>0</v>
      </c>
      <c r="AE370" s="325"/>
      <c r="AF370" s="324"/>
      <c r="AG370" s="583">
        <f t="shared" si="206"/>
        <v>0</v>
      </c>
      <c r="AH370" s="584">
        <v>0</v>
      </c>
      <c r="AI370" s="51"/>
      <c r="AJ370" s="1497">
        <f t="shared" si="184"/>
        <v>5814</v>
      </c>
      <c r="AK370" s="951">
        <f t="shared" ref="AK370:AK382" si="210">+ROUND(+O370+V370+AC370,2)</f>
        <v>0</v>
      </c>
      <c r="AL370" s="9">
        <v>0</v>
      </c>
      <c r="AM370" s="326">
        <f t="shared" ref="AM370:AN382" si="211">+ROUND(+Q370+X370+AE370,2)</f>
        <v>0</v>
      </c>
      <c r="AN370" s="970">
        <f t="shared" si="211"/>
        <v>0</v>
      </c>
      <c r="AO370" s="326">
        <f t="shared" si="207"/>
        <v>0</v>
      </c>
      <c r="AP370" s="30">
        <v>0</v>
      </c>
      <c r="AQ370" s="43"/>
      <c r="AR370" s="358">
        <f t="shared" si="197"/>
        <v>0</v>
      </c>
      <c r="AS370" s="359">
        <f t="shared" si="198"/>
        <v>0</v>
      </c>
      <c r="AT370" s="360">
        <f t="shared" si="199"/>
        <v>0</v>
      </c>
      <c r="AU370" s="43"/>
      <c r="AV370" s="2120">
        <f t="shared" si="208"/>
        <v>0</v>
      </c>
      <c r="AW370" s="119"/>
      <c r="AX370" s="2120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 t="s">
        <v>265</v>
      </c>
      <c r="N371" s="113">
        <f t="shared" si="200"/>
        <v>5815</v>
      </c>
      <c r="O371" s="581"/>
      <c r="P371" s="582">
        <v>0</v>
      </c>
      <c r="Q371" s="325"/>
      <c r="R371" s="324"/>
      <c r="S371" s="583">
        <f t="shared" si="205"/>
        <v>0</v>
      </c>
      <c r="T371" s="584">
        <v>0</v>
      </c>
      <c r="U371" s="51"/>
      <c r="V371" s="541">
        <f>+'NF-KSF-TRIAL-BAL-2021'!O371+'RA-TRIAL-BAL-2021'!O371+'DES-TRIAL-BAL-2021'!O371+'DMP-TRIAL-BAL-2021'!O371</f>
        <v>0</v>
      </c>
      <c r="W371" s="529">
        <f>+'NF-KSF-TRIAL-BAL-2021'!P371+'RA-TRIAL-BAL-2021'!P371+'DES-TRIAL-BAL-2021'!P371+'DMP-TRIAL-BAL-2021'!P371</f>
        <v>0</v>
      </c>
      <c r="X371" s="587">
        <f>+'NF-KSF-TRIAL-BAL-2021'!Q371+'RA-TRIAL-BAL-2021'!Q371+'DES-TRIAL-BAL-2021'!Q371+'DMP-TRIAL-BAL-2021'!Q371</f>
        <v>0</v>
      </c>
      <c r="Y371" s="586">
        <f>+'NF-KSF-TRIAL-BAL-2021'!R371+'RA-TRIAL-BAL-2021'!R371+'DES-TRIAL-BAL-2021'!R371+'DMP-TRIAL-BAL-2021'!R371</f>
        <v>0</v>
      </c>
      <c r="Z371" s="587">
        <f>+'NF-KSF-TRIAL-BAL-2021'!S371+'RA-TRIAL-BAL-2021'!S371+'DES-TRIAL-BAL-2021'!S371+'DMP-TRIAL-BAL-2021'!S371</f>
        <v>0</v>
      </c>
      <c r="AA371" s="588">
        <f>+'NF-KSF-TRIAL-BAL-2021'!T371+'RA-TRIAL-BAL-2021'!T371+'DES-TRIAL-BAL-2021'!T371+'DMP-TRIAL-BAL-2021'!T371</f>
        <v>0</v>
      </c>
      <c r="AB371" s="51"/>
      <c r="AC371" s="581"/>
      <c r="AD371" s="582">
        <v>0</v>
      </c>
      <c r="AE371" s="325"/>
      <c r="AF371" s="324"/>
      <c r="AG371" s="583">
        <f t="shared" si="206"/>
        <v>0</v>
      </c>
      <c r="AH371" s="584">
        <v>0</v>
      </c>
      <c r="AI371" s="51"/>
      <c r="AJ371" s="1497">
        <f t="shared" si="184"/>
        <v>5815</v>
      </c>
      <c r="AK371" s="951">
        <f t="shared" si="210"/>
        <v>0</v>
      </c>
      <c r="AL371" s="9">
        <v>0</v>
      </c>
      <c r="AM371" s="326">
        <f t="shared" si="211"/>
        <v>0</v>
      </c>
      <c r="AN371" s="970">
        <f t="shared" si="211"/>
        <v>0</v>
      </c>
      <c r="AO371" s="326">
        <f t="shared" si="207"/>
        <v>0</v>
      </c>
      <c r="AP371" s="30">
        <v>0</v>
      </c>
      <c r="AQ371" s="43"/>
      <c r="AR371" s="358">
        <f t="shared" si="197"/>
        <v>0</v>
      </c>
      <c r="AS371" s="359">
        <f t="shared" si="198"/>
        <v>0</v>
      </c>
      <c r="AT371" s="360">
        <f t="shared" si="199"/>
        <v>0</v>
      </c>
      <c r="AU371" s="43"/>
      <c r="AV371" s="2120">
        <f t="shared" si="208"/>
        <v>0</v>
      </c>
      <c r="AW371" s="119"/>
      <c r="AX371" s="2120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 t="s">
        <v>265</v>
      </c>
      <c r="N372" s="113">
        <f t="shared" si="200"/>
        <v>5817</v>
      </c>
      <c r="O372" s="581"/>
      <c r="P372" s="582">
        <v>0</v>
      </c>
      <c r="Q372" s="325"/>
      <c r="R372" s="324"/>
      <c r="S372" s="583">
        <f t="shared" si="205"/>
        <v>0</v>
      </c>
      <c r="T372" s="584">
        <v>0</v>
      </c>
      <c r="U372" s="51"/>
      <c r="V372" s="541">
        <f>+'NF-KSF-TRIAL-BAL-2021'!O372+'RA-TRIAL-BAL-2021'!O372+'DES-TRIAL-BAL-2021'!O372+'DMP-TRIAL-BAL-2021'!O372</f>
        <v>0</v>
      </c>
      <c r="W372" s="529">
        <f>+'NF-KSF-TRIAL-BAL-2021'!P372+'RA-TRIAL-BAL-2021'!P372+'DES-TRIAL-BAL-2021'!P372+'DMP-TRIAL-BAL-2021'!P372</f>
        <v>0</v>
      </c>
      <c r="X372" s="587">
        <f>+'NF-KSF-TRIAL-BAL-2021'!Q372+'RA-TRIAL-BAL-2021'!Q372+'DES-TRIAL-BAL-2021'!Q372+'DMP-TRIAL-BAL-2021'!Q372</f>
        <v>0</v>
      </c>
      <c r="Y372" s="586">
        <f>+'NF-KSF-TRIAL-BAL-2021'!R372+'RA-TRIAL-BAL-2021'!R372+'DES-TRIAL-BAL-2021'!R372+'DMP-TRIAL-BAL-2021'!R372</f>
        <v>0</v>
      </c>
      <c r="Z372" s="587">
        <f>+'NF-KSF-TRIAL-BAL-2021'!S372+'RA-TRIAL-BAL-2021'!S372+'DES-TRIAL-BAL-2021'!S372+'DMP-TRIAL-BAL-2021'!S372</f>
        <v>0</v>
      </c>
      <c r="AA372" s="588">
        <f>+'NF-KSF-TRIAL-BAL-2021'!T372+'RA-TRIAL-BAL-2021'!T372+'DES-TRIAL-BAL-2021'!T372+'DMP-TRIAL-BAL-2021'!T372</f>
        <v>0</v>
      </c>
      <c r="AB372" s="51"/>
      <c r="AC372" s="581"/>
      <c r="AD372" s="582">
        <v>0</v>
      </c>
      <c r="AE372" s="325"/>
      <c r="AF372" s="324"/>
      <c r="AG372" s="583">
        <f t="shared" si="206"/>
        <v>0</v>
      </c>
      <c r="AH372" s="584">
        <v>0</v>
      </c>
      <c r="AI372" s="51"/>
      <c r="AJ372" s="1497">
        <f t="shared" si="184"/>
        <v>5817</v>
      </c>
      <c r="AK372" s="951">
        <f t="shared" si="210"/>
        <v>0</v>
      </c>
      <c r="AL372" s="9">
        <v>0</v>
      </c>
      <c r="AM372" s="326">
        <f t="shared" si="211"/>
        <v>0</v>
      </c>
      <c r="AN372" s="970">
        <f t="shared" si="211"/>
        <v>0</v>
      </c>
      <c r="AO372" s="326">
        <f t="shared" si="207"/>
        <v>0</v>
      </c>
      <c r="AP372" s="30">
        <v>0</v>
      </c>
      <c r="AQ372" s="43"/>
      <c r="AR372" s="358">
        <f t="shared" si="197"/>
        <v>0</v>
      </c>
      <c r="AS372" s="359">
        <f t="shared" si="198"/>
        <v>0</v>
      </c>
      <c r="AT372" s="360">
        <f t="shared" si="199"/>
        <v>0</v>
      </c>
      <c r="AU372" s="43"/>
      <c r="AV372" s="2120">
        <f t="shared" si="208"/>
        <v>0</v>
      </c>
      <c r="AW372" s="119"/>
      <c r="AX372" s="2120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 t="s">
        <v>265</v>
      </c>
      <c r="N373" s="113">
        <f t="shared" si="200"/>
        <v>5818</v>
      </c>
      <c r="O373" s="581"/>
      <c r="P373" s="582">
        <v>0</v>
      </c>
      <c r="Q373" s="325"/>
      <c r="R373" s="324"/>
      <c r="S373" s="583">
        <f t="shared" si="205"/>
        <v>0</v>
      </c>
      <c r="T373" s="584">
        <v>0</v>
      </c>
      <c r="U373" s="51"/>
      <c r="V373" s="541">
        <f>+'NF-KSF-TRIAL-BAL-2021'!O373+'RA-TRIAL-BAL-2021'!O373+'DES-TRIAL-BAL-2021'!O373+'DMP-TRIAL-BAL-2021'!O373</f>
        <v>0</v>
      </c>
      <c r="W373" s="529">
        <f>+'NF-KSF-TRIAL-BAL-2021'!P373+'RA-TRIAL-BAL-2021'!P373+'DES-TRIAL-BAL-2021'!P373+'DMP-TRIAL-BAL-2021'!P373</f>
        <v>0</v>
      </c>
      <c r="X373" s="587">
        <f>+'NF-KSF-TRIAL-BAL-2021'!Q373+'RA-TRIAL-BAL-2021'!Q373+'DES-TRIAL-BAL-2021'!Q373+'DMP-TRIAL-BAL-2021'!Q373</f>
        <v>0</v>
      </c>
      <c r="Y373" s="586">
        <f>+'NF-KSF-TRIAL-BAL-2021'!R373+'RA-TRIAL-BAL-2021'!R373+'DES-TRIAL-BAL-2021'!R373+'DMP-TRIAL-BAL-2021'!R373</f>
        <v>0</v>
      </c>
      <c r="Z373" s="587">
        <f>+'NF-KSF-TRIAL-BAL-2021'!S373+'RA-TRIAL-BAL-2021'!S373+'DES-TRIAL-BAL-2021'!S373+'DMP-TRIAL-BAL-2021'!S373</f>
        <v>0</v>
      </c>
      <c r="AA373" s="588">
        <f>+'NF-KSF-TRIAL-BAL-2021'!T373+'RA-TRIAL-BAL-2021'!T373+'DES-TRIAL-BAL-2021'!T373+'DMP-TRIAL-BAL-2021'!T373</f>
        <v>0</v>
      </c>
      <c r="AB373" s="51"/>
      <c r="AC373" s="581"/>
      <c r="AD373" s="582">
        <v>0</v>
      </c>
      <c r="AE373" s="325"/>
      <c r="AF373" s="324"/>
      <c r="AG373" s="583">
        <f t="shared" si="206"/>
        <v>0</v>
      </c>
      <c r="AH373" s="584">
        <v>0</v>
      </c>
      <c r="AI373" s="51"/>
      <c r="AJ373" s="1497">
        <f t="shared" si="184"/>
        <v>5818</v>
      </c>
      <c r="AK373" s="951">
        <f t="shared" si="210"/>
        <v>0</v>
      </c>
      <c r="AL373" s="9">
        <v>0</v>
      </c>
      <c r="AM373" s="326">
        <f t="shared" si="211"/>
        <v>0</v>
      </c>
      <c r="AN373" s="970">
        <f t="shared" si="211"/>
        <v>0</v>
      </c>
      <c r="AO373" s="326">
        <f t="shared" si="207"/>
        <v>0</v>
      </c>
      <c r="AP373" s="30">
        <v>0</v>
      </c>
      <c r="AQ373" s="43"/>
      <c r="AR373" s="358">
        <f t="shared" si="197"/>
        <v>0</v>
      </c>
      <c r="AS373" s="359">
        <f t="shared" si="198"/>
        <v>0</v>
      </c>
      <c r="AT373" s="360">
        <f t="shared" si="199"/>
        <v>0</v>
      </c>
      <c r="AU373" s="43"/>
      <c r="AV373" s="2120">
        <f t="shared" si="208"/>
        <v>0</v>
      </c>
      <c r="AW373" s="119"/>
      <c r="AX373" s="2120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 t="s">
        <v>265</v>
      </c>
      <c r="N374" s="113">
        <f t="shared" si="200"/>
        <v>5823</v>
      </c>
      <c r="O374" s="581"/>
      <c r="P374" s="582">
        <v>0</v>
      </c>
      <c r="Q374" s="325"/>
      <c r="R374" s="324"/>
      <c r="S374" s="583">
        <f t="shared" si="205"/>
        <v>0</v>
      </c>
      <c r="T374" s="584">
        <v>0</v>
      </c>
      <c r="U374" s="51"/>
      <c r="V374" s="541">
        <f>+'NF-KSF-TRIAL-BAL-2021'!O374+'RA-TRIAL-BAL-2021'!O374+'DES-TRIAL-BAL-2021'!O374+'DMP-TRIAL-BAL-2021'!O374</f>
        <v>0</v>
      </c>
      <c r="W374" s="529">
        <f>+'NF-KSF-TRIAL-BAL-2021'!P374+'RA-TRIAL-BAL-2021'!P374+'DES-TRIAL-BAL-2021'!P374+'DMP-TRIAL-BAL-2021'!P374</f>
        <v>0</v>
      </c>
      <c r="X374" s="587">
        <f>+'NF-KSF-TRIAL-BAL-2021'!Q374+'RA-TRIAL-BAL-2021'!Q374+'DES-TRIAL-BAL-2021'!Q374+'DMP-TRIAL-BAL-2021'!Q374</f>
        <v>0</v>
      </c>
      <c r="Y374" s="586">
        <f>+'NF-KSF-TRIAL-BAL-2021'!R374+'RA-TRIAL-BAL-2021'!R374+'DES-TRIAL-BAL-2021'!R374+'DMP-TRIAL-BAL-2021'!R374</f>
        <v>0</v>
      </c>
      <c r="Z374" s="587">
        <f>+'NF-KSF-TRIAL-BAL-2021'!S374+'RA-TRIAL-BAL-2021'!S374+'DES-TRIAL-BAL-2021'!S374+'DMP-TRIAL-BAL-2021'!S374</f>
        <v>0</v>
      </c>
      <c r="AA374" s="588">
        <f>+'NF-KSF-TRIAL-BAL-2021'!T374+'RA-TRIAL-BAL-2021'!T374+'DES-TRIAL-BAL-2021'!T374+'DMP-TRIAL-BAL-2021'!T374</f>
        <v>0</v>
      </c>
      <c r="AB374" s="51"/>
      <c r="AC374" s="581"/>
      <c r="AD374" s="582">
        <v>0</v>
      </c>
      <c r="AE374" s="122"/>
      <c r="AF374" s="324"/>
      <c r="AG374" s="583">
        <f t="shared" si="206"/>
        <v>0</v>
      </c>
      <c r="AH374" s="584">
        <v>0</v>
      </c>
      <c r="AI374" s="51"/>
      <c r="AJ374" s="1497">
        <f t="shared" si="184"/>
        <v>5823</v>
      </c>
      <c r="AK374" s="951">
        <f t="shared" si="210"/>
        <v>0</v>
      </c>
      <c r="AL374" s="9">
        <v>0</v>
      </c>
      <c r="AM374" s="326">
        <f t="shared" si="211"/>
        <v>0</v>
      </c>
      <c r="AN374" s="970">
        <f t="shared" si="211"/>
        <v>0</v>
      </c>
      <c r="AO374" s="326">
        <f t="shared" si="207"/>
        <v>0</v>
      </c>
      <c r="AP374" s="30">
        <v>0</v>
      </c>
      <c r="AQ374" s="43"/>
      <c r="AR374" s="358">
        <f t="shared" si="197"/>
        <v>0</v>
      </c>
      <c r="AS374" s="359">
        <f t="shared" si="198"/>
        <v>0</v>
      </c>
      <c r="AT374" s="360">
        <f t="shared" si="199"/>
        <v>0</v>
      </c>
      <c r="AU374" s="43"/>
      <c r="AV374" s="2120">
        <f t="shared" si="208"/>
        <v>0</v>
      </c>
      <c r="AW374" s="119"/>
      <c r="AX374" s="2120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 t="s">
        <v>265</v>
      </c>
      <c r="N375" s="113">
        <f t="shared" si="200"/>
        <v>5826</v>
      </c>
      <c r="O375" s="581"/>
      <c r="P375" s="582">
        <v>0</v>
      </c>
      <c r="Q375" s="325"/>
      <c r="R375" s="324"/>
      <c r="S375" s="583">
        <f t="shared" si="205"/>
        <v>0</v>
      </c>
      <c r="T375" s="584">
        <v>0</v>
      </c>
      <c r="U375" s="51"/>
      <c r="V375" s="541">
        <f>+'NF-KSF-TRIAL-BAL-2021'!O375+'RA-TRIAL-BAL-2021'!O375+'DES-TRIAL-BAL-2021'!O375+'DMP-TRIAL-BAL-2021'!O375</f>
        <v>0</v>
      </c>
      <c r="W375" s="529">
        <f>+'NF-KSF-TRIAL-BAL-2021'!P375+'RA-TRIAL-BAL-2021'!P375+'DES-TRIAL-BAL-2021'!P375+'DMP-TRIAL-BAL-2021'!P375</f>
        <v>0</v>
      </c>
      <c r="X375" s="587">
        <f>+'NF-KSF-TRIAL-BAL-2021'!Q375+'RA-TRIAL-BAL-2021'!Q375+'DES-TRIAL-BAL-2021'!Q375+'DMP-TRIAL-BAL-2021'!Q375</f>
        <v>0</v>
      </c>
      <c r="Y375" s="586">
        <f>+'NF-KSF-TRIAL-BAL-2021'!R375+'RA-TRIAL-BAL-2021'!R375+'DES-TRIAL-BAL-2021'!R375+'DMP-TRIAL-BAL-2021'!R375</f>
        <v>0</v>
      </c>
      <c r="Z375" s="587">
        <f>+'NF-KSF-TRIAL-BAL-2021'!S375+'RA-TRIAL-BAL-2021'!S375+'DES-TRIAL-BAL-2021'!S375+'DMP-TRIAL-BAL-2021'!S375</f>
        <v>0</v>
      </c>
      <c r="AA375" s="588">
        <f>+'NF-KSF-TRIAL-BAL-2021'!T375+'RA-TRIAL-BAL-2021'!T375+'DES-TRIAL-BAL-2021'!T375+'DMP-TRIAL-BAL-2021'!T375</f>
        <v>0</v>
      </c>
      <c r="AB375" s="51"/>
      <c r="AC375" s="581"/>
      <c r="AD375" s="582">
        <v>0</v>
      </c>
      <c r="AE375" s="122"/>
      <c r="AF375" s="324"/>
      <c r="AG375" s="583">
        <f t="shared" si="206"/>
        <v>0</v>
      </c>
      <c r="AH375" s="584">
        <v>0</v>
      </c>
      <c r="AI375" s="51"/>
      <c r="AJ375" s="1497">
        <f t="shared" si="184"/>
        <v>5826</v>
      </c>
      <c r="AK375" s="951">
        <f t="shared" si="210"/>
        <v>0</v>
      </c>
      <c r="AL375" s="9">
        <v>0</v>
      </c>
      <c r="AM375" s="326">
        <f t="shared" si="211"/>
        <v>0</v>
      </c>
      <c r="AN375" s="970">
        <f t="shared" si="211"/>
        <v>0</v>
      </c>
      <c r="AO375" s="326">
        <f t="shared" si="207"/>
        <v>0</v>
      </c>
      <c r="AP375" s="30">
        <v>0</v>
      </c>
      <c r="AQ375" s="43"/>
      <c r="AR375" s="358">
        <f t="shared" si="197"/>
        <v>0</v>
      </c>
      <c r="AS375" s="359">
        <f t="shared" si="198"/>
        <v>0</v>
      </c>
      <c r="AT375" s="360">
        <f t="shared" si="199"/>
        <v>0</v>
      </c>
      <c r="AU375" s="43"/>
      <c r="AV375" s="2120">
        <f t="shared" si="208"/>
        <v>0</v>
      </c>
      <c r="AW375" s="119"/>
      <c r="AX375" s="2120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 t="s">
        <v>265</v>
      </c>
      <c r="N376" s="113">
        <f t="shared" si="200"/>
        <v>5829</v>
      </c>
      <c r="O376" s="581"/>
      <c r="P376" s="582">
        <v>0</v>
      </c>
      <c r="Q376" s="325"/>
      <c r="R376" s="324"/>
      <c r="S376" s="583">
        <f t="shared" si="205"/>
        <v>0</v>
      </c>
      <c r="T376" s="584">
        <v>0</v>
      </c>
      <c r="U376" s="51"/>
      <c r="V376" s="541">
        <f>+'NF-KSF-TRIAL-BAL-2021'!O376+'RA-TRIAL-BAL-2021'!O376+'DES-TRIAL-BAL-2021'!O376+'DMP-TRIAL-BAL-2021'!O376</f>
        <v>0</v>
      </c>
      <c r="W376" s="529">
        <f>+'NF-KSF-TRIAL-BAL-2021'!P376+'RA-TRIAL-BAL-2021'!P376+'DES-TRIAL-BAL-2021'!P376+'DMP-TRIAL-BAL-2021'!P376</f>
        <v>0</v>
      </c>
      <c r="X376" s="587">
        <f>+'NF-KSF-TRIAL-BAL-2021'!Q376+'RA-TRIAL-BAL-2021'!Q376+'DES-TRIAL-BAL-2021'!Q376+'DMP-TRIAL-BAL-2021'!Q376</f>
        <v>0</v>
      </c>
      <c r="Y376" s="586">
        <f>+'NF-KSF-TRIAL-BAL-2021'!R376+'RA-TRIAL-BAL-2021'!R376+'DES-TRIAL-BAL-2021'!R376+'DMP-TRIAL-BAL-2021'!R376</f>
        <v>0</v>
      </c>
      <c r="Z376" s="587">
        <f>+'NF-KSF-TRIAL-BAL-2021'!S376+'RA-TRIAL-BAL-2021'!S376+'DES-TRIAL-BAL-2021'!S376+'DMP-TRIAL-BAL-2021'!S376</f>
        <v>0</v>
      </c>
      <c r="AA376" s="588">
        <f>+'NF-KSF-TRIAL-BAL-2021'!T376+'RA-TRIAL-BAL-2021'!T376+'DES-TRIAL-BAL-2021'!T376+'DMP-TRIAL-BAL-2021'!T376</f>
        <v>0</v>
      </c>
      <c r="AB376" s="51"/>
      <c r="AC376" s="581"/>
      <c r="AD376" s="582">
        <v>0</v>
      </c>
      <c r="AE376" s="325"/>
      <c r="AF376" s="324"/>
      <c r="AG376" s="583">
        <f t="shared" si="206"/>
        <v>0</v>
      </c>
      <c r="AH376" s="584">
        <v>0</v>
      </c>
      <c r="AI376" s="51"/>
      <c r="AJ376" s="1497">
        <f t="shared" si="184"/>
        <v>5829</v>
      </c>
      <c r="AK376" s="951">
        <f t="shared" si="210"/>
        <v>0</v>
      </c>
      <c r="AL376" s="9">
        <v>0</v>
      </c>
      <c r="AM376" s="326">
        <f t="shared" si="211"/>
        <v>0</v>
      </c>
      <c r="AN376" s="970">
        <f t="shared" si="211"/>
        <v>0</v>
      </c>
      <c r="AO376" s="326">
        <f t="shared" si="207"/>
        <v>0</v>
      </c>
      <c r="AP376" s="30">
        <v>0</v>
      </c>
      <c r="AQ376" s="43"/>
      <c r="AR376" s="358">
        <f t="shared" si="197"/>
        <v>0</v>
      </c>
      <c r="AS376" s="359">
        <f t="shared" si="198"/>
        <v>0</v>
      </c>
      <c r="AT376" s="360">
        <f t="shared" si="199"/>
        <v>0</v>
      </c>
      <c r="AU376" s="43"/>
      <c r="AV376" s="2120">
        <f t="shared" si="208"/>
        <v>0</v>
      </c>
      <c r="AW376" s="119"/>
      <c r="AX376" s="2120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 t="s">
        <v>265</v>
      </c>
      <c r="N377" s="113">
        <f t="shared" si="200"/>
        <v>5881</v>
      </c>
      <c r="O377" s="581"/>
      <c r="P377" s="582">
        <v>0</v>
      </c>
      <c r="Q377" s="325"/>
      <c r="R377" s="324"/>
      <c r="S377" s="583">
        <f t="shared" si="205"/>
        <v>0</v>
      </c>
      <c r="T377" s="584">
        <v>0</v>
      </c>
      <c r="U377" s="51"/>
      <c r="V377" s="541">
        <f>+'NF-KSF-TRIAL-BAL-2021'!O377+'RA-TRIAL-BAL-2021'!O377+'DES-TRIAL-BAL-2021'!O377+'DMP-TRIAL-BAL-2021'!O377</f>
        <v>0</v>
      </c>
      <c r="W377" s="529">
        <f>+'NF-KSF-TRIAL-BAL-2021'!P377+'RA-TRIAL-BAL-2021'!P377+'DES-TRIAL-BAL-2021'!P377+'DMP-TRIAL-BAL-2021'!P377</f>
        <v>0</v>
      </c>
      <c r="X377" s="587">
        <f>+'NF-KSF-TRIAL-BAL-2021'!Q377+'RA-TRIAL-BAL-2021'!Q377+'DES-TRIAL-BAL-2021'!Q377+'DMP-TRIAL-BAL-2021'!Q377</f>
        <v>0</v>
      </c>
      <c r="Y377" s="586">
        <f>+'NF-KSF-TRIAL-BAL-2021'!R377+'RA-TRIAL-BAL-2021'!R377+'DES-TRIAL-BAL-2021'!R377+'DMP-TRIAL-BAL-2021'!R377</f>
        <v>0</v>
      </c>
      <c r="Z377" s="587">
        <f>+'NF-KSF-TRIAL-BAL-2021'!S377+'RA-TRIAL-BAL-2021'!S377+'DES-TRIAL-BAL-2021'!S377+'DMP-TRIAL-BAL-2021'!S377</f>
        <v>0</v>
      </c>
      <c r="AA377" s="588">
        <f>+'NF-KSF-TRIAL-BAL-2021'!T377+'RA-TRIAL-BAL-2021'!T377+'DES-TRIAL-BAL-2021'!T377+'DMP-TRIAL-BAL-2021'!T377</f>
        <v>0</v>
      </c>
      <c r="AB377" s="51"/>
      <c r="AC377" s="581"/>
      <c r="AD377" s="582">
        <v>0</v>
      </c>
      <c r="AE377" s="325"/>
      <c r="AF377" s="324"/>
      <c r="AG377" s="583">
        <f t="shared" si="206"/>
        <v>0</v>
      </c>
      <c r="AH377" s="584">
        <v>0</v>
      </c>
      <c r="AI377" s="51"/>
      <c r="AJ377" s="1497">
        <f t="shared" si="184"/>
        <v>5881</v>
      </c>
      <c r="AK377" s="951">
        <f>+ROUND(+O377+V377+AC377,2)</f>
        <v>0</v>
      </c>
      <c r="AL377" s="9">
        <v>0</v>
      </c>
      <c r="AM377" s="326">
        <f t="shared" si="211"/>
        <v>0</v>
      </c>
      <c r="AN377" s="970">
        <f t="shared" si="211"/>
        <v>0</v>
      </c>
      <c r="AO377" s="326">
        <f t="shared" si="207"/>
        <v>0</v>
      </c>
      <c r="AP377" s="30">
        <v>0</v>
      </c>
      <c r="AQ377" s="43"/>
      <c r="AR377" s="358">
        <f t="shared" si="197"/>
        <v>0</v>
      </c>
      <c r="AS377" s="359">
        <f t="shared" si="198"/>
        <v>0</v>
      </c>
      <c r="AT377" s="360">
        <f t="shared" si="199"/>
        <v>0</v>
      </c>
      <c r="AU377" s="43"/>
      <c r="AV377" s="2120">
        <f t="shared" si="208"/>
        <v>0</v>
      </c>
      <c r="AW377" s="119"/>
      <c r="AX377" s="2120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 t="s">
        <v>265</v>
      </c>
      <c r="N378" s="113">
        <f t="shared" si="200"/>
        <v>5882</v>
      </c>
      <c r="O378" s="581"/>
      <c r="P378" s="582">
        <v>0</v>
      </c>
      <c r="Q378" s="325"/>
      <c r="R378" s="324"/>
      <c r="S378" s="583">
        <f t="shared" si="205"/>
        <v>0</v>
      </c>
      <c r="T378" s="584">
        <v>0</v>
      </c>
      <c r="U378" s="51"/>
      <c r="V378" s="541">
        <f>+'NF-KSF-TRIAL-BAL-2021'!O378+'RA-TRIAL-BAL-2021'!O378+'DES-TRIAL-BAL-2021'!O378+'DMP-TRIAL-BAL-2021'!O378</f>
        <v>0</v>
      </c>
      <c r="W378" s="529">
        <f>+'NF-KSF-TRIAL-BAL-2021'!P378+'RA-TRIAL-BAL-2021'!P378+'DES-TRIAL-BAL-2021'!P378+'DMP-TRIAL-BAL-2021'!P378</f>
        <v>0</v>
      </c>
      <c r="X378" s="587">
        <f>+'NF-KSF-TRIAL-BAL-2021'!Q378+'RA-TRIAL-BAL-2021'!Q378+'DES-TRIAL-BAL-2021'!Q378+'DMP-TRIAL-BAL-2021'!Q378</f>
        <v>0</v>
      </c>
      <c r="Y378" s="586">
        <f>+'NF-KSF-TRIAL-BAL-2021'!R378+'RA-TRIAL-BAL-2021'!R378+'DES-TRIAL-BAL-2021'!R378+'DMP-TRIAL-BAL-2021'!R378</f>
        <v>0</v>
      </c>
      <c r="Z378" s="587">
        <f>+'NF-KSF-TRIAL-BAL-2021'!S378+'RA-TRIAL-BAL-2021'!S378+'DES-TRIAL-BAL-2021'!S378+'DMP-TRIAL-BAL-2021'!S378</f>
        <v>0</v>
      </c>
      <c r="AA378" s="588">
        <f>+'NF-KSF-TRIAL-BAL-2021'!T378+'RA-TRIAL-BAL-2021'!T378+'DES-TRIAL-BAL-2021'!T378+'DMP-TRIAL-BAL-2021'!T378</f>
        <v>0</v>
      </c>
      <c r="AB378" s="51"/>
      <c r="AC378" s="581"/>
      <c r="AD378" s="582">
        <v>0</v>
      </c>
      <c r="AE378" s="325"/>
      <c r="AF378" s="324"/>
      <c r="AG378" s="583">
        <f t="shared" si="206"/>
        <v>0</v>
      </c>
      <c r="AH378" s="584">
        <v>0</v>
      </c>
      <c r="AI378" s="51"/>
      <c r="AJ378" s="1497">
        <f t="shared" si="184"/>
        <v>5882</v>
      </c>
      <c r="AK378" s="951">
        <f>+ROUND(+O378+V378+AC378,2)</f>
        <v>0</v>
      </c>
      <c r="AL378" s="9">
        <v>0</v>
      </c>
      <c r="AM378" s="326">
        <f t="shared" si="211"/>
        <v>0</v>
      </c>
      <c r="AN378" s="970">
        <f t="shared" si="211"/>
        <v>0</v>
      </c>
      <c r="AO378" s="326">
        <f t="shared" si="207"/>
        <v>0</v>
      </c>
      <c r="AP378" s="30">
        <v>0</v>
      </c>
      <c r="AQ378" s="43"/>
      <c r="AR378" s="358">
        <f t="shared" si="197"/>
        <v>0</v>
      </c>
      <c r="AS378" s="359">
        <f t="shared" si="198"/>
        <v>0</v>
      </c>
      <c r="AT378" s="360">
        <f t="shared" si="199"/>
        <v>0</v>
      </c>
      <c r="AU378" s="43"/>
      <c r="AV378" s="2120">
        <f t="shared" si="208"/>
        <v>0</v>
      </c>
      <c r="AW378" s="119"/>
      <c r="AX378" s="2120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 t="s">
        <v>265</v>
      </c>
      <c r="N379" s="113">
        <f t="shared" si="200"/>
        <v>5889</v>
      </c>
      <c r="O379" s="581"/>
      <c r="P379" s="582">
        <v>0</v>
      </c>
      <c r="Q379" s="325"/>
      <c r="R379" s="324"/>
      <c r="S379" s="583">
        <f t="shared" si="205"/>
        <v>0</v>
      </c>
      <c r="T379" s="584">
        <v>0</v>
      </c>
      <c r="U379" s="51"/>
      <c r="V379" s="541">
        <f>+'NF-KSF-TRIAL-BAL-2021'!O379+'RA-TRIAL-BAL-2021'!O379+'DES-TRIAL-BAL-2021'!O379+'DMP-TRIAL-BAL-2021'!O379</f>
        <v>0</v>
      </c>
      <c r="W379" s="529">
        <f>+'NF-KSF-TRIAL-BAL-2021'!P379+'RA-TRIAL-BAL-2021'!P379+'DES-TRIAL-BAL-2021'!P379+'DMP-TRIAL-BAL-2021'!P379</f>
        <v>0</v>
      </c>
      <c r="X379" s="587">
        <f>+'NF-KSF-TRIAL-BAL-2021'!Q379+'RA-TRIAL-BAL-2021'!Q379+'DES-TRIAL-BAL-2021'!Q379+'DMP-TRIAL-BAL-2021'!Q379</f>
        <v>0</v>
      </c>
      <c r="Y379" s="586">
        <f>+'NF-KSF-TRIAL-BAL-2021'!R379+'RA-TRIAL-BAL-2021'!R379+'DES-TRIAL-BAL-2021'!R379+'DMP-TRIAL-BAL-2021'!R379</f>
        <v>0</v>
      </c>
      <c r="Z379" s="587">
        <f>+'NF-KSF-TRIAL-BAL-2021'!S379+'RA-TRIAL-BAL-2021'!S379+'DES-TRIAL-BAL-2021'!S379+'DMP-TRIAL-BAL-2021'!S379</f>
        <v>0</v>
      </c>
      <c r="AA379" s="588">
        <f>+'NF-KSF-TRIAL-BAL-2021'!T379+'RA-TRIAL-BAL-2021'!T379+'DES-TRIAL-BAL-2021'!T379+'DMP-TRIAL-BAL-2021'!T379</f>
        <v>0</v>
      </c>
      <c r="AB379" s="51"/>
      <c r="AC379" s="581"/>
      <c r="AD379" s="582">
        <v>0</v>
      </c>
      <c r="AE379" s="325"/>
      <c r="AF379" s="324"/>
      <c r="AG379" s="583">
        <f t="shared" si="206"/>
        <v>0</v>
      </c>
      <c r="AH379" s="584">
        <v>0</v>
      </c>
      <c r="AI379" s="51"/>
      <c r="AJ379" s="1497">
        <f t="shared" si="184"/>
        <v>5889</v>
      </c>
      <c r="AK379" s="951">
        <f>+ROUND(+O379+V379+AC379,2)</f>
        <v>0</v>
      </c>
      <c r="AL379" s="9">
        <v>0</v>
      </c>
      <c r="AM379" s="326">
        <f t="shared" si="211"/>
        <v>0</v>
      </c>
      <c r="AN379" s="970">
        <f t="shared" si="211"/>
        <v>0</v>
      </c>
      <c r="AO379" s="326">
        <f t="shared" si="207"/>
        <v>0</v>
      </c>
      <c r="AP379" s="30">
        <v>0</v>
      </c>
      <c r="AQ379" s="43"/>
      <c r="AR379" s="358">
        <f t="shared" si="197"/>
        <v>0</v>
      </c>
      <c r="AS379" s="359">
        <f t="shared" si="198"/>
        <v>0</v>
      </c>
      <c r="AT379" s="360">
        <f t="shared" si="199"/>
        <v>0</v>
      </c>
      <c r="AU379" s="43"/>
      <c r="AV379" s="2120">
        <f t="shared" si="208"/>
        <v>0</v>
      </c>
      <c r="AW379" s="119"/>
      <c r="AX379" s="2120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 t="s">
        <v>265</v>
      </c>
      <c r="N380" s="113">
        <f t="shared" si="200"/>
        <v>5891</v>
      </c>
      <c r="O380" s="575">
        <v>0</v>
      </c>
      <c r="P380" s="576"/>
      <c r="Q380" s="325"/>
      <c r="R380" s="324"/>
      <c r="S380" s="579">
        <v>0</v>
      </c>
      <c r="T380" s="580">
        <f>+IF(ABS(+O380+Q380)&lt;=ABS(P380+R380),-O380+P380-Q380+R380,0)</f>
        <v>0</v>
      </c>
      <c r="U380" s="51"/>
      <c r="V380" s="541">
        <f>+'NF-KSF-TRIAL-BAL-2021'!O380+'RA-TRIAL-BAL-2021'!O380+'DES-TRIAL-BAL-2021'!O380+'DMP-TRIAL-BAL-2021'!O380</f>
        <v>0</v>
      </c>
      <c r="W380" s="529">
        <f>+'NF-KSF-TRIAL-BAL-2021'!P380+'RA-TRIAL-BAL-2021'!P380+'DES-TRIAL-BAL-2021'!P380+'DMP-TRIAL-BAL-2021'!P380</f>
        <v>0</v>
      </c>
      <c r="X380" s="587">
        <f>+'NF-KSF-TRIAL-BAL-2021'!Q380+'RA-TRIAL-BAL-2021'!Q380+'DES-TRIAL-BAL-2021'!Q380+'DMP-TRIAL-BAL-2021'!Q380</f>
        <v>0</v>
      </c>
      <c r="Y380" s="586">
        <f>+'NF-KSF-TRIAL-BAL-2021'!R380+'RA-TRIAL-BAL-2021'!R380+'DES-TRIAL-BAL-2021'!R380+'DMP-TRIAL-BAL-2021'!R380</f>
        <v>0</v>
      </c>
      <c r="Z380" s="587">
        <f>+'NF-KSF-TRIAL-BAL-2021'!S380+'RA-TRIAL-BAL-2021'!S380+'DES-TRIAL-BAL-2021'!S380+'DMP-TRIAL-BAL-2021'!S380</f>
        <v>0</v>
      </c>
      <c r="AA380" s="588">
        <f>+'NF-KSF-TRIAL-BAL-2021'!T380+'RA-TRIAL-BAL-2021'!T380+'DES-TRIAL-BAL-2021'!T380+'DMP-TRIAL-BAL-2021'!T380</f>
        <v>0</v>
      </c>
      <c r="AB380" s="51"/>
      <c r="AC380" s="575">
        <v>0</v>
      </c>
      <c r="AD380" s="576"/>
      <c r="AE380" s="122"/>
      <c r="AF380" s="121"/>
      <c r="AG380" s="579">
        <v>0</v>
      </c>
      <c r="AH380" s="580">
        <f>+IF(ABS(+AC380+AE380)&lt;=ABS(AD380+AF380),-AC380+AD380-AE380+AF380,0)</f>
        <v>0</v>
      </c>
      <c r="AI380" s="51"/>
      <c r="AJ380" s="1497">
        <f t="shared" si="184"/>
        <v>5891</v>
      </c>
      <c r="AK380" s="951">
        <f t="shared" si="210"/>
        <v>0</v>
      </c>
      <c r="AL380" s="970">
        <f>+ROUND(+P380+W380+AD380,2)</f>
        <v>0</v>
      </c>
      <c r="AM380" s="326">
        <f t="shared" si="211"/>
        <v>0</v>
      </c>
      <c r="AN380" s="970">
        <f t="shared" si="211"/>
        <v>0</v>
      </c>
      <c r="AO380" s="326">
        <f t="shared" si="207"/>
        <v>0</v>
      </c>
      <c r="AP380" s="327">
        <f t="shared" si="207"/>
        <v>0</v>
      </c>
      <c r="AQ380" s="43"/>
      <c r="AR380" s="358">
        <f t="shared" si="197"/>
        <v>0</v>
      </c>
      <c r="AS380" s="359">
        <f t="shared" si="198"/>
        <v>0</v>
      </c>
      <c r="AT380" s="360">
        <f t="shared" si="199"/>
        <v>0</v>
      </c>
      <c r="AU380" s="43"/>
      <c r="AV380" s="2119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119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 t="s">
        <v>265</v>
      </c>
      <c r="N381" s="113">
        <f t="shared" si="200"/>
        <v>5892</v>
      </c>
      <c r="O381" s="575">
        <v>0</v>
      </c>
      <c r="P381" s="576"/>
      <c r="Q381" s="325"/>
      <c r="R381" s="324"/>
      <c r="S381" s="579">
        <v>0</v>
      </c>
      <c r="T381" s="580">
        <f>+IF(ABS(+O381+Q381)&lt;=ABS(P381+R381),-O381+P381-Q381+R381,0)</f>
        <v>0</v>
      </c>
      <c r="U381" s="51"/>
      <c r="V381" s="541">
        <f>+'NF-KSF-TRIAL-BAL-2021'!O381+'RA-TRIAL-BAL-2021'!O381+'DES-TRIAL-BAL-2021'!O381+'DMP-TRIAL-BAL-2021'!O381</f>
        <v>0</v>
      </c>
      <c r="W381" s="529">
        <f>+'NF-KSF-TRIAL-BAL-2021'!P381+'RA-TRIAL-BAL-2021'!P381+'DES-TRIAL-BAL-2021'!P381+'DMP-TRIAL-BAL-2021'!P381</f>
        <v>0</v>
      </c>
      <c r="X381" s="587">
        <f>+'NF-KSF-TRIAL-BAL-2021'!Q381+'RA-TRIAL-BAL-2021'!Q381+'DES-TRIAL-BAL-2021'!Q381+'DMP-TRIAL-BAL-2021'!Q381</f>
        <v>0</v>
      </c>
      <c r="Y381" s="586">
        <f>+'NF-KSF-TRIAL-BAL-2021'!R381+'RA-TRIAL-BAL-2021'!R381+'DES-TRIAL-BAL-2021'!R381+'DMP-TRIAL-BAL-2021'!R381</f>
        <v>0</v>
      </c>
      <c r="Z381" s="587">
        <f>+'NF-KSF-TRIAL-BAL-2021'!S381+'RA-TRIAL-BAL-2021'!S381+'DES-TRIAL-BAL-2021'!S381+'DMP-TRIAL-BAL-2021'!S381</f>
        <v>0</v>
      </c>
      <c r="AA381" s="588">
        <f>+'NF-KSF-TRIAL-BAL-2021'!T381+'RA-TRIAL-BAL-2021'!T381+'DES-TRIAL-BAL-2021'!T381+'DMP-TRIAL-BAL-2021'!T381</f>
        <v>0</v>
      </c>
      <c r="AB381" s="51"/>
      <c r="AC381" s="575">
        <v>0</v>
      </c>
      <c r="AD381" s="576"/>
      <c r="AE381" s="122"/>
      <c r="AF381" s="121"/>
      <c r="AG381" s="579">
        <v>0</v>
      </c>
      <c r="AH381" s="580">
        <f>+IF(ABS(+AC381+AE381)&lt;=ABS(AD381+AF381),-AC381+AD381-AE381+AF381,0)</f>
        <v>0</v>
      </c>
      <c r="AI381" s="51"/>
      <c r="AJ381" s="1497">
        <f t="shared" si="184"/>
        <v>5892</v>
      </c>
      <c r="AK381" s="951">
        <f t="shared" si="210"/>
        <v>0</v>
      </c>
      <c r="AL381" s="970">
        <f>+ROUND(+P381+W381+AD381,2)</f>
        <v>0</v>
      </c>
      <c r="AM381" s="326">
        <f t="shared" si="211"/>
        <v>0</v>
      </c>
      <c r="AN381" s="970">
        <f t="shared" si="211"/>
        <v>0</v>
      </c>
      <c r="AO381" s="326">
        <f t="shared" si="207"/>
        <v>0</v>
      </c>
      <c r="AP381" s="327">
        <f t="shared" si="207"/>
        <v>0</v>
      </c>
      <c r="AQ381" s="43"/>
      <c r="AR381" s="358">
        <f t="shared" si="197"/>
        <v>0</v>
      </c>
      <c r="AS381" s="359">
        <f t="shared" si="198"/>
        <v>0</v>
      </c>
      <c r="AT381" s="360">
        <f t="shared" si="199"/>
        <v>0</v>
      </c>
      <c r="AU381" s="43"/>
      <c r="AV381" s="2119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119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 t="s">
        <v>265</v>
      </c>
      <c r="N382" s="113">
        <f t="shared" si="200"/>
        <v>5894</v>
      </c>
      <c r="O382" s="856">
        <v>0</v>
      </c>
      <c r="P382" s="597"/>
      <c r="Q382" s="325"/>
      <c r="R382" s="324"/>
      <c r="S382" s="857">
        <v>0</v>
      </c>
      <c r="T382" s="599">
        <f>+IF(ABS(+O382+Q382)&lt;=ABS(P382+R382),-O382+P382-Q382+R382,0)</f>
        <v>0</v>
      </c>
      <c r="U382" s="51"/>
      <c r="V382" s="544">
        <f>+'NF-KSF-TRIAL-BAL-2021'!O382+'RA-TRIAL-BAL-2021'!O382+'DES-TRIAL-BAL-2021'!O382+'DMP-TRIAL-BAL-2021'!O382</f>
        <v>0</v>
      </c>
      <c r="W382" s="542">
        <f>+'NF-KSF-TRIAL-BAL-2021'!P382+'RA-TRIAL-BAL-2021'!P382+'DES-TRIAL-BAL-2021'!P382+'DMP-TRIAL-BAL-2021'!P382</f>
        <v>0</v>
      </c>
      <c r="X382" s="602">
        <f>+'NF-KSF-TRIAL-BAL-2021'!Q382+'RA-TRIAL-BAL-2021'!Q382+'DES-TRIAL-BAL-2021'!Q382+'DMP-TRIAL-BAL-2021'!Q382</f>
        <v>0</v>
      </c>
      <c r="Y382" s="601">
        <f>+'NF-KSF-TRIAL-BAL-2021'!R382+'RA-TRIAL-BAL-2021'!R382+'DES-TRIAL-BAL-2021'!R382+'DMP-TRIAL-BAL-2021'!R382</f>
        <v>0</v>
      </c>
      <c r="Z382" s="602">
        <f>+'NF-KSF-TRIAL-BAL-2021'!S382+'RA-TRIAL-BAL-2021'!S382+'DES-TRIAL-BAL-2021'!S382+'DMP-TRIAL-BAL-2021'!S382</f>
        <v>0</v>
      </c>
      <c r="AA382" s="603">
        <f>+'NF-KSF-TRIAL-BAL-2021'!T382+'RA-TRIAL-BAL-2021'!T382+'DES-TRIAL-BAL-2021'!T382+'DMP-TRIAL-BAL-2021'!T382</f>
        <v>0</v>
      </c>
      <c r="AB382" s="51"/>
      <c r="AC382" s="856">
        <v>0</v>
      </c>
      <c r="AD382" s="597"/>
      <c r="AE382" s="325"/>
      <c r="AF382" s="324"/>
      <c r="AG382" s="857">
        <v>0</v>
      </c>
      <c r="AH382" s="599">
        <f>+IF(ABS(+AC382+AE382)&lt;=ABS(AD382+AF382),-AC382+AD382-AE382+AF382,0)</f>
        <v>0</v>
      </c>
      <c r="AI382" s="51"/>
      <c r="AJ382" s="1498">
        <f t="shared" si="184"/>
        <v>5894</v>
      </c>
      <c r="AK382" s="1500">
        <f t="shared" si="210"/>
        <v>0</v>
      </c>
      <c r="AL382" s="1499">
        <f>+ROUND(+P382+W382+AD382,2)</f>
        <v>0</v>
      </c>
      <c r="AM382" s="1057">
        <f t="shared" si="211"/>
        <v>0</v>
      </c>
      <c r="AN382" s="1499">
        <f t="shared" si="211"/>
        <v>0</v>
      </c>
      <c r="AO382" s="1057">
        <f t="shared" si="207"/>
        <v>0</v>
      </c>
      <c r="AP382" s="1058">
        <f t="shared" si="207"/>
        <v>0</v>
      </c>
      <c r="AQ382" s="43"/>
      <c r="AR382" s="389">
        <f t="shared" si="197"/>
        <v>0</v>
      </c>
      <c r="AS382" s="390">
        <f t="shared" si="198"/>
        <v>0</v>
      </c>
      <c r="AT382" s="391">
        <f t="shared" si="199"/>
        <v>0</v>
      </c>
      <c r="AU382" s="43"/>
      <c r="AV382" s="2119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119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 t="s">
        <v>265</v>
      </c>
      <c r="N383" s="383">
        <v>6</v>
      </c>
      <c r="O383" s="384"/>
      <c r="P383" s="385"/>
      <c r="Q383" s="386"/>
      <c r="R383" s="385"/>
      <c r="S383" s="386"/>
      <c r="T383" s="387"/>
      <c r="U383" s="51"/>
      <c r="V383" s="545"/>
      <c r="W383" s="533"/>
      <c r="X383" s="532"/>
      <c r="Y383" s="533"/>
      <c r="Z383" s="532"/>
      <c r="AA383" s="534"/>
      <c r="AB383" s="51"/>
      <c r="AC383" s="384"/>
      <c r="AD383" s="385"/>
      <c r="AE383" s="386"/>
      <c r="AF383" s="385"/>
      <c r="AG383" s="386"/>
      <c r="AH383" s="387"/>
      <c r="AI383" s="51"/>
      <c r="AJ383" s="388">
        <f t="shared" si="184"/>
        <v>6</v>
      </c>
      <c r="AK383" s="384"/>
      <c r="AL383" s="385"/>
      <c r="AM383" s="386"/>
      <c r="AN383" s="385"/>
      <c r="AO383" s="386"/>
      <c r="AP383" s="387"/>
      <c r="AQ383" s="43"/>
      <c r="AR383" s="392"/>
      <c r="AS383" s="393"/>
      <c r="AT383" s="394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28">
        <v>0</v>
      </c>
      <c r="P384" s="329">
        <v>0</v>
      </c>
      <c r="Q384" s="325">
        <v>400685.98</v>
      </c>
      <c r="R384" s="324">
        <v>38844.239999999998</v>
      </c>
      <c r="S384" s="326">
        <f t="shared" ref="S384:S401" si="213">+IF(ABS(+O384+Q384)&gt;=ABS(P384+R384),+O384-P384+Q384-R384,0)</f>
        <v>361841.74</v>
      </c>
      <c r="T384" s="327">
        <f t="shared" ref="T384:T401" si="214">+IF(ABS(+O384+Q384)&lt;=ABS(P384+R384),-O384+P384-Q384+R384,0)</f>
        <v>0</v>
      </c>
      <c r="U384" s="51"/>
      <c r="V384" s="543">
        <f>+'NF-KSF-TRIAL-BAL-2021'!O384+'RA-TRIAL-BAL-2021'!O384+'DES-TRIAL-BAL-2021'!O384+'DMP-TRIAL-BAL-2021'!O384</f>
        <v>0</v>
      </c>
      <c r="W384" s="526">
        <f>+'NF-KSF-TRIAL-BAL-2021'!P384+'RA-TRIAL-BAL-2021'!P384+'DES-TRIAL-BAL-2021'!P384+'DMP-TRIAL-BAL-2021'!P384</f>
        <v>0</v>
      </c>
      <c r="X384" s="525">
        <f>+'NF-KSF-TRIAL-BAL-2021'!Q384+'RA-TRIAL-BAL-2021'!Q384+'DES-TRIAL-BAL-2021'!Q384+'DMP-TRIAL-BAL-2021'!Q384</f>
        <v>5655.29</v>
      </c>
      <c r="Y384" s="526">
        <f>+'NF-KSF-TRIAL-BAL-2021'!R384+'RA-TRIAL-BAL-2021'!R384+'DES-TRIAL-BAL-2021'!R384+'DMP-TRIAL-BAL-2021'!R384</f>
        <v>0</v>
      </c>
      <c r="Z384" s="525">
        <f>+'NF-KSF-TRIAL-BAL-2021'!S384+'RA-TRIAL-BAL-2021'!S384+'DES-TRIAL-BAL-2021'!S384+'DMP-TRIAL-BAL-2021'!S384</f>
        <v>5655.29</v>
      </c>
      <c r="AA384" s="527">
        <f>+'NF-KSF-TRIAL-BAL-2021'!T384+'RA-TRIAL-BAL-2021'!T384+'DES-TRIAL-BAL-2021'!T384+'DMP-TRIAL-BAL-2021'!T384</f>
        <v>0</v>
      </c>
      <c r="AB384" s="51"/>
      <c r="AC384" s="328">
        <v>0</v>
      </c>
      <c r="AD384" s="329">
        <v>0</v>
      </c>
      <c r="AE384" s="122"/>
      <c r="AF384" s="122"/>
      <c r="AG384" s="326">
        <f t="shared" ref="AG384:AG409" si="215">+IF(ABS(+AC384+AE384)&gt;=ABS(AD384+AF384),+AC384-AD384+AE384-AF384,0)</f>
        <v>0</v>
      </c>
      <c r="AH384" s="327">
        <f t="shared" ref="AH384:AH409" si="216">+IF(ABS(+AC384+AE384)&lt;=ABS(AD384+AF384),-AC384+AD384-AE384+AF384,0)</f>
        <v>0</v>
      </c>
      <c r="AI384" s="51"/>
      <c r="AJ384" s="1496">
        <f t="shared" si="184"/>
        <v>6010</v>
      </c>
      <c r="AK384" s="328">
        <v>0</v>
      </c>
      <c r="AL384" s="329">
        <v>0</v>
      </c>
      <c r="AM384" s="326">
        <f t="shared" ref="AM384:AN401" si="217">+ROUND(+Q384+X384+AE384,2)</f>
        <v>406341.27</v>
      </c>
      <c r="AN384" s="970">
        <f t="shared" si="217"/>
        <v>38844.239999999998</v>
      </c>
      <c r="AO384" s="326">
        <f t="shared" ref="AO384:AO415" si="218">+S384+Z384+AG384</f>
        <v>367497.02999999997</v>
      </c>
      <c r="AP384" s="327">
        <f t="shared" ref="AP384:AP416" si="219">+T384+AA384+AH384</f>
        <v>0</v>
      </c>
      <c r="AQ384" s="43"/>
      <c r="AR384" s="358">
        <f t="shared" ref="AR384:AR453" si="220">+ROUND(+SUM(AK384-AL384)-SUM(O384-P384)-SUM(V384-W384)-SUM(AC384-AD384),2)</f>
        <v>0</v>
      </c>
      <c r="AS384" s="359">
        <f t="shared" ref="AS384:AS453" si="221">+ROUND(+SUM(AM384-AN384)-SUM(Q384-R384)-SUM(X384-Y384)-SUM(AE384-AF384),2)</f>
        <v>0</v>
      </c>
      <c r="AT384" s="360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25">
        <v>17120.14</v>
      </c>
      <c r="R385" s="324">
        <v>74.81</v>
      </c>
      <c r="S385" s="27">
        <f t="shared" si="213"/>
        <v>17045.329999999998</v>
      </c>
      <c r="T385" s="28">
        <f t="shared" si="214"/>
        <v>0</v>
      </c>
      <c r="U385" s="51"/>
      <c r="V385" s="541">
        <f>+'NF-KSF-TRIAL-BAL-2021'!O385+'RA-TRIAL-BAL-2021'!O385+'DES-TRIAL-BAL-2021'!O385+'DMP-TRIAL-BAL-2021'!O385</f>
        <v>0</v>
      </c>
      <c r="W385" s="529">
        <f>+'NF-KSF-TRIAL-BAL-2021'!P385+'RA-TRIAL-BAL-2021'!P385+'DES-TRIAL-BAL-2021'!P385+'DMP-TRIAL-BAL-2021'!P385</f>
        <v>0</v>
      </c>
      <c r="X385" s="528">
        <f>+'NF-KSF-TRIAL-BAL-2021'!Q385+'RA-TRIAL-BAL-2021'!Q385+'DES-TRIAL-BAL-2021'!Q385+'DMP-TRIAL-BAL-2021'!Q385</f>
        <v>9504.7000000000007</v>
      </c>
      <c r="Y385" s="529">
        <f>+'NF-KSF-TRIAL-BAL-2021'!R385+'RA-TRIAL-BAL-2021'!R385+'DES-TRIAL-BAL-2021'!R385+'DMP-TRIAL-BAL-2021'!R385</f>
        <v>0</v>
      </c>
      <c r="Z385" s="528">
        <f>+'NF-KSF-TRIAL-BAL-2021'!S385+'RA-TRIAL-BAL-2021'!S385+'DES-TRIAL-BAL-2021'!S385+'DMP-TRIAL-BAL-2021'!S385</f>
        <v>9504.7000000000007</v>
      </c>
      <c r="AA385" s="347">
        <f>+'NF-KSF-TRIAL-BAL-2021'!T385+'RA-TRIAL-BAL-2021'!T385+'DES-TRIAL-BAL-2021'!T385+'DMP-TRIAL-BAL-2021'!T385</f>
        <v>0</v>
      </c>
      <c r="AB385" s="51"/>
      <c r="AC385" s="8">
        <v>0</v>
      </c>
      <c r="AD385" s="9">
        <v>0</v>
      </c>
      <c r="AE385" s="325"/>
      <c r="AF385" s="325"/>
      <c r="AG385" s="27">
        <f t="shared" si="215"/>
        <v>0</v>
      </c>
      <c r="AH385" s="28">
        <f t="shared" si="216"/>
        <v>0</v>
      </c>
      <c r="AI385" s="51"/>
      <c r="AJ385" s="1497">
        <f t="shared" si="184"/>
        <v>6011</v>
      </c>
      <c r="AK385" s="8">
        <v>0</v>
      </c>
      <c r="AL385" s="9">
        <v>0</v>
      </c>
      <c r="AM385" s="326">
        <f t="shared" si="217"/>
        <v>26624.84</v>
      </c>
      <c r="AN385" s="970">
        <f t="shared" si="217"/>
        <v>74.81</v>
      </c>
      <c r="AO385" s="326">
        <f t="shared" si="218"/>
        <v>26550.03</v>
      </c>
      <c r="AP385" s="327">
        <f t="shared" si="219"/>
        <v>0</v>
      </c>
      <c r="AQ385" s="43"/>
      <c r="AR385" s="358">
        <f t="shared" si="220"/>
        <v>0</v>
      </c>
      <c r="AS385" s="359">
        <f t="shared" si="221"/>
        <v>0</v>
      </c>
      <c r="AT385" s="360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25">
        <v>176721.81</v>
      </c>
      <c r="R386" s="324">
        <v>229.39</v>
      </c>
      <c r="S386" s="27">
        <f t="shared" si="213"/>
        <v>176492.41999999998</v>
      </c>
      <c r="T386" s="28">
        <f t="shared" si="214"/>
        <v>0</v>
      </c>
      <c r="U386" s="51"/>
      <c r="V386" s="541">
        <f>+'NF-KSF-TRIAL-BAL-2021'!O386+'RA-TRIAL-BAL-2021'!O386+'DES-TRIAL-BAL-2021'!O386+'DMP-TRIAL-BAL-2021'!O386</f>
        <v>0</v>
      </c>
      <c r="W386" s="529">
        <f>+'NF-KSF-TRIAL-BAL-2021'!P386+'RA-TRIAL-BAL-2021'!P386+'DES-TRIAL-BAL-2021'!P386+'DMP-TRIAL-BAL-2021'!P386</f>
        <v>0</v>
      </c>
      <c r="X386" s="528">
        <f>+'NF-KSF-TRIAL-BAL-2021'!Q386+'RA-TRIAL-BAL-2021'!Q386+'DES-TRIAL-BAL-2021'!Q386+'DMP-TRIAL-BAL-2021'!Q386</f>
        <v>100440</v>
      </c>
      <c r="Y386" s="529">
        <f>+'NF-KSF-TRIAL-BAL-2021'!R386+'RA-TRIAL-BAL-2021'!R386+'DES-TRIAL-BAL-2021'!R386+'DMP-TRIAL-BAL-2021'!R386</f>
        <v>0</v>
      </c>
      <c r="Z386" s="528">
        <f>+'NF-KSF-TRIAL-BAL-2021'!S386+'RA-TRIAL-BAL-2021'!S386+'DES-TRIAL-BAL-2021'!S386+'DMP-TRIAL-BAL-2021'!S386</f>
        <v>100440</v>
      </c>
      <c r="AA386" s="347">
        <f>+'NF-KSF-TRIAL-BAL-2021'!T386+'RA-TRIAL-BAL-2021'!T386+'DES-TRIAL-BAL-2021'!T386+'DMP-TRIAL-BAL-2021'!T386</f>
        <v>0</v>
      </c>
      <c r="AB386" s="51"/>
      <c r="AC386" s="8">
        <v>0</v>
      </c>
      <c r="AD386" s="9">
        <v>0</v>
      </c>
      <c r="AE386" s="325"/>
      <c r="AF386" s="325"/>
      <c r="AG386" s="27">
        <f t="shared" si="215"/>
        <v>0</v>
      </c>
      <c r="AH386" s="28">
        <f t="shared" si="216"/>
        <v>0</v>
      </c>
      <c r="AI386" s="51"/>
      <c r="AJ386" s="1497">
        <f t="shared" si="184"/>
        <v>6012</v>
      </c>
      <c r="AK386" s="8">
        <v>0</v>
      </c>
      <c r="AL386" s="9">
        <v>0</v>
      </c>
      <c r="AM386" s="326">
        <f t="shared" si="217"/>
        <v>277161.81</v>
      </c>
      <c r="AN386" s="970">
        <f t="shared" si="217"/>
        <v>229.39</v>
      </c>
      <c r="AO386" s="326">
        <f t="shared" si="218"/>
        <v>276932.42</v>
      </c>
      <c r="AP386" s="327">
        <f t="shared" si="219"/>
        <v>0</v>
      </c>
      <c r="AQ386" s="43"/>
      <c r="AR386" s="358">
        <f t="shared" si="220"/>
        <v>0</v>
      </c>
      <c r="AS386" s="359">
        <f t="shared" si="221"/>
        <v>0</v>
      </c>
      <c r="AT386" s="360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25">
        <v>473.77</v>
      </c>
      <c r="R387" s="324"/>
      <c r="S387" s="27">
        <f t="shared" si="213"/>
        <v>473.77</v>
      </c>
      <c r="T387" s="28">
        <f t="shared" si="214"/>
        <v>0</v>
      </c>
      <c r="U387" s="51"/>
      <c r="V387" s="541">
        <f>+'NF-KSF-TRIAL-BAL-2021'!O387+'RA-TRIAL-BAL-2021'!O387+'DES-TRIAL-BAL-2021'!O387+'DMP-TRIAL-BAL-2021'!O387</f>
        <v>0</v>
      </c>
      <c r="W387" s="529">
        <f>+'NF-KSF-TRIAL-BAL-2021'!P387+'RA-TRIAL-BAL-2021'!P387+'DES-TRIAL-BAL-2021'!P387+'DMP-TRIAL-BAL-2021'!P387</f>
        <v>0</v>
      </c>
      <c r="X387" s="528">
        <f>+'NF-KSF-TRIAL-BAL-2021'!Q387+'RA-TRIAL-BAL-2021'!Q387+'DES-TRIAL-BAL-2021'!Q387+'DMP-TRIAL-BAL-2021'!Q387</f>
        <v>0</v>
      </c>
      <c r="Y387" s="529">
        <f>+'NF-KSF-TRIAL-BAL-2021'!R387+'RA-TRIAL-BAL-2021'!R387+'DES-TRIAL-BAL-2021'!R387+'DMP-TRIAL-BAL-2021'!R387</f>
        <v>0</v>
      </c>
      <c r="Z387" s="528">
        <f>+'NF-KSF-TRIAL-BAL-2021'!S387+'RA-TRIAL-BAL-2021'!S387+'DES-TRIAL-BAL-2021'!S387+'DMP-TRIAL-BAL-2021'!S387</f>
        <v>0</v>
      </c>
      <c r="AA387" s="347">
        <f>+'NF-KSF-TRIAL-BAL-2021'!T387+'RA-TRIAL-BAL-2021'!T387+'DES-TRIAL-BAL-2021'!T387+'DMP-TRIAL-BAL-2021'!T387</f>
        <v>0</v>
      </c>
      <c r="AB387" s="51"/>
      <c r="AC387" s="8">
        <v>0</v>
      </c>
      <c r="AD387" s="9">
        <v>0</v>
      </c>
      <c r="AE387" s="325"/>
      <c r="AF387" s="325"/>
      <c r="AG387" s="27">
        <f t="shared" si="215"/>
        <v>0</v>
      </c>
      <c r="AH387" s="28">
        <f t="shared" si="216"/>
        <v>0</v>
      </c>
      <c r="AI387" s="51"/>
      <c r="AJ387" s="1497">
        <f t="shared" si="184"/>
        <v>6013</v>
      </c>
      <c r="AK387" s="8">
        <v>0</v>
      </c>
      <c r="AL387" s="9">
        <v>0</v>
      </c>
      <c r="AM387" s="326">
        <f t="shared" si="217"/>
        <v>473.77</v>
      </c>
      <c r="AN387" s="970">
        <f t="shared" si="217"/>
        <v>0</v>
      </c>
      <c r="AO387" s="326">
        <f t="shared" si="218"/>
        <v>473.77</v>
      </c>
      <c r="AP387" s="327">
        <f t="shared" si="219"/>
        <v>0</v>
      </c>
      <c r="AQ387" s="43"/>
      <c r="AR387" s="358">
        <f t="shared" si="220"/>
        <v>0</v>
      </c>
      <c r="AS387" s="359">
        <f t="shared" si="221"/>
        <v>0</v>
      </c>
      <c r="AT387" s="360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25">
        <v>20984.15</v>
      </c>
      <c r="R388" s="324"/>
      <c r="S388" s="27">
        <f t="shared" si="213"/>
        <v>20984.15</v>
      </c>
      <c r="T388" s="28">
        <f t="shared" si="214"/>
        <v>0</v>
      </c>
      <c r="U388" s="51"/>
      <c r="V388" s="541">
        <f>+'NF-KSF-TRIAL-BAL-2021'!O388+'RA-TRIAL-BAL-2021'!O388+'DES-TRIAL-BAL-2021'!O388+'DMP-TRIAL-BAL-2021'!O388</f>
        <v>0</v>
      </c>
      <c r="W388" s="529">
        <f>+'NF-KSF-TRIAL-BAL-2021'!P388+'RA-TRIAL-BAL-2021'!P388+'DES-TRIAL-BAL-2021'!P388+'DMP-TRIAL-BAL-2021'!P388</f>
        <v>0</v>
      </c>
      <c r="X388" s="528">
        <f>+'NF-KSF-TRIAL-BAL-2021'!Q388+'RA-TRIAL-BAL-2021'!Q388+'DES-TRIAL-BAL-2021'!Q388+'DMP-TRIAL-BAL-2021'!Q388</f>
        <v>0</v>
      </c>
      <c r="Y388" s="529">
        <f>+'NF-KSF-TRIAL-BAL-2021'!R388+'RA-TRIAL-BAL-2021'!R388+'DES-TRIAL-BAL-2021'!R388+'DMP-TRIAL-BAL-2021'!R388</f>
        <v>0</v>
      </c>
      <c r="Z388" s="528">
        <f>+'NF-KSF-TRIAL-BAL-2021'!S388+'RA-TRIAL-BAL-2021'!S388+'DES-TRIAL-BAL-2021'!S388+'DMP-TRIAL-BAL-2021'!S388</f>
        <v>0</v>
      </c>
      <c r="AA388" s="347">
        <f>+'NF-KSF-TRIAL-BAL-2021'!T388+'RA-TRIAL-BAL-2021'!T388+'DES-TRIAL-BAL-2021'!T388+'DMP-TRIAL-BAL-2021'!T388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97">
        <f t="shared" si="184"/>
        <v>6014</v>
      </c>
      <c r="AK388" s="8">
        <v>0</v>
      </c>
      <c r="AL388" s="9">
        <v>0</v>
      </c>
      <c r="AM388" s="326">
        <f t="shared" si="217"/>
        <v>20984.15</v>
      </c>
      <c r="AN388" s="970">
        <f t="shared" si="217"/>
        <v>0</v>
      </c>
      <c r="AO388" s="326">
        <f t="shared" si="218"/>
        <v>20984.15</v>
      </c>
      <c r="AP388" s="327">
        <f t="shared" si="219"/>
        <v>0</v>
      </c>
      <c r="AQ388" s="43"/>
      <c r="AR388" s="358">
        <f t="shared" si="220"/>
        <v>0</v>
      </c>
      <c r="AS388" s="359">
        <f t="shared" si="221"/>
        <v>0</v>
      </c>
      <c r="AT388" s="360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25">
        <v>22307.7</v>
      </c>
      <c r="R389" s="324"/>
      <c r="S389" s="27">
        <f t="shared" si="213"/>
        <v>22307.7</v>
      </c>
      <c r="T389" s="28">
        <f t="shared" si="214"/>
        <v>0</v>
      </c>
      <c r="U389" s="51"/>
      <c r="V389" s="541">
        <f>+'NF-KSF-TRIAL-BAL-2021'!O389+'RA-TRIAL-BAL-2021'!O389+'DES-TRIAL-BAL-2021'!O389+'DMP-TRIAL-BAL-2021'!O389</f>
        <v>0</v>
      </c>
      <c r="W389" s="529">
        <f>+'NF-KSF-TRIAL-BAL-2021'!P389+'RA-TRIAL-BAL-2021'!P389+'DES-TRIAL-BAL-2021'!P389+'DMP-TRIAL-BAL-2021'!P389</f>
        <v>0</v>
      </c>
      <c r="X389" s="528">
        <f>+'NF-KSF-TRIAL-BAL-2021'!Q389+'RA-TRIAL-BAL-2021'!Q389+'DES-TRIAL-BAL-2021'!Q389+'DMP-TRIAL-BAL-2021'!Q389</f>
        <v>0</v>
      </c>
      <c r="Y389" s="529">
        <f>+'NF-KSF-TRIAL-BAL-2021'!R389+'RA-TRIAL-BAL-2021'!R389+'DES-TRIAL-BAL-2021'!R389+'DMP-TRIAL-BAL-2021'!R389</f>
        <v>0</v>
      </c>
      <c r="Z389" s="528">
        <f>+'NF-KSF-TRIAL-BAL-2021'!S389+'RA-TRIAL-BAL-2021'!S389+'DES-TRIAL-BAL-2021'!S389+'DMP-TRIAL-BAL-2021'!S389</f>
        <v>0</v>
      </c>
      <c r="AA389" s="347">
        <f>+'NF-KSF-TRIAL-BAL-2021'!T389+'RA-TRIAL-BAL-2021'!T389+'DES-TRIAL-BAL-2021'!T389+'DMP-TRIAL-BAL-2021'!T389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97">
        <f t="shared" si="184"/>
        <v>6015</v>
      </c>
      <c r="AK389" s="8">
        <v>0</v>
      </c>
      <c r="AL389" s="9">
        <v>0</v>
      </c>
      <c r="AM389" s="326">
        <f t="shared" si="217"/>
        <v>22307.7</v>
      </c>
      <c r="AN389" s="970">
        <f t="shared" si="217"/>
        <v>0</v>
      </c>
      <c r="AO389" s="326">
        <f t="shared" si="218"/>
        <v>22307.7</v>
      </c>
      <c r="AP389" s="327">
        <f t="shared" si="219"/>
        <v>0</v>
      </c>
      <c r="AQ389" s="43"/>
      <c r="AR389" s="358">
        <f t="shared" si="220"/>
        <v>0</v>
      </c>
      <c r="AS389" s="359">
        <f t="shared" si="221"/>
        <v>0</v>
      </c>
      <c r="AT389" s="360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25">
        <v>1208</v>
      </c>
      <c r="R390" s="324"/>
      <c r="S390" s="27">
        <f t="shared" si="213"/>
        <v>1208</v>
      </c>
      <c r="T390" s="28">
        <f t="shared" si="214"/>
        <v>0</v>
      </c>
      <c r="U390" s="51"/>
      <c r="V390" s="541">
        <f>+'NF-KSF-TRIAL-BAL-2021'!O390+'RA-TRIAL-BAL-2021'!O390+'DES-TRIAL-BAL-2021'!O390+'DMP-TRIAL-BAL-2021'!O390</f>
        <v>0</v>
      </c>
      <c r="W390" s="529">
        <f>+'NF-KSF-TRIAL-BAL-2021'!P390+'RA-TRIAL-BAL-2021'!P390+'DES-TRIAL-BAL-2021'!P390+'DMP-TRIAL-BAL-2021'!P390</f>
        <v>0</v>
      </c>
      <c r="X390" s="528">
        <f>+'NF-KSF-TRIAL-BAL-2021'!Q390+'RA-TRIAL-BAL-2021'!Q390+'DES-TRIAL-BAL-2021'!Q390+'DMP-TRIAL-BAL-2021'!Q390</f>
        <v>0</v>
      </c>
      <c r="Y390" s="529">
        <f>+'NF-KSF-TRIAL-BAL-2021'!R390+'RA-TRIAL-BAL-2021'!R390+'DES-TRIAL-BAL-2021'!R390+'DMP-TRIAL-BAL-2021'!R390</f>
        <v>0</v>
      </c>
      <c r="Z390" s="528">
        <f>+'NF-KSF-TRIAL-BAL-2021'!S390+'RA-TRIAL-BAL-2021'!S390+'DES-TRIAL-BAL-2021'!S390+'DMP-TRIAL-BAL-2021'!S390</f>
        <v>0</v>
      </c>
      <c r="AA390" s="347">
        <f>+'NF-KSF-TRIAL-BAL-2021'!T390+'RA-TRIAL-BAL-2021'!T390+'DES-TRIAL-BAL-2021'!T390+'DMP-TRIAL-BAL-2021'!T390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97">
        <f t="shared" si="184"/>
        <v>6016</v>
      </c>
      <c r="AK390" s="8">
        <v>0</v>
      </c>
      <c r="AL390" s="9">
        <v>0</v>
      </c>
      <c r="AM390" s="326">
        <f t="shared" si="217"/>
        <v>1208</v>
      </c>
      <c r="AN390" s="970">
        <f t="shared" si="217"/>
        <v>0</v>
      </c>
      <c r="AO390" s="326">
        <f t="shared" si="218"/>
        <v>1208</v>
      </c>
      <c r="AP390" s="327">
        <f t="shared" si="219"/>
        <v>0</v>
      </c>
      <c r="AQ390" s="43"/>
      <c r="AR390" s="358">
        <f t="shared" si="220"/>
        <v>0</v>
      </c>
      <c r="AS390" s="359">
        <f t="shared" si="221"/>
        <v>0</v>
      </c>
      <c r="AT390" s="360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25">
        <v>4170.53</v>
      </c>
      <c r="R391" s="324"/>
      <c r="S391" s="27">
        <f t="shared" si="213"/>
        <v>4170.53</v>
      </c>
      <c r="T391" s="28">
        <f t="shared" si="214"/>
        <v>0</v>
      </c>
      <c r="U391" s="51"/>
      <c r="V391" s="541">
        <f>+'NF-KSF-TRIAL-BAL-2021'!O391+'RA-TRIAL-BAL-2021'!O391+'DES-TRIAL-BAL-2021'!O391+'DMP-TRIAL-BAL-2021'!O391</f>
        <v>0</v>
      </c>
      <c r="W391" s="529">
        <f>+'NF-KSF-TRIAL-BAL-2021'!P391+'RA-TRIAL-BAL-2021'!P391+'DES-TRIAL-BAL-2021'!P391+'DMP-TRIAL-BAL-2021'!P391</f>
        <v>0</v>
      </c>
      <c r="X391" s="528">
        <f>+'NF-KSF-TRIAL-BAL-2021'!Q391+'RA-TRIAL-BAL-2021'!Q391+'DES-TRIAL-BAL-2021'!Q391+'DMP-TRIAL-BAL-2021'!Q391</f>
        <v>443.27</v>
      </c>
      <c r="Y391" s="529">
        <f>+'NF-KSF-TRIAL-BAL-2021'!R391+'RA-TRIAL-BAL-2021'!R391+'DES-TRIAL-BAL-2021'!R391+'DMP-TRIAL-BAL-2021'!R391</f>
        <v>0</v>
      </c>
      <c r="Z391" s="528">
        <f>+'NF-KSF-TRIAL-BAL-2021'!S391+'RA-TRIAL-BAL-2021'!S391+'DES-TRIAL-BAL-2021'!S391+'DMP-TRIAL-BAL-2021'!S391</f>
        <v>443.27</v>
      </c>
      <c r="AA391" s="347">
        <f>+'NF-KSF-TRIAL-BAL-2021'!T391+'RA-TRIAL-BAL-2021'!T391+'DES-TRIAL-BAL-2021'!T391+'DMP-TRIAL-BAL-2021'!T391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97">
        <f t="shared" si="184"/>
        <v>6017</v>
      </c>
      <c r="AK391" s="8">
        <v>0</v>
      </c>
      <c r="AL391" s="9">
        <v>0</v>
      </c>
      <c r="AM391" s="326">
        <f t="shared" si="217"/>
        <v>4613.8</v>
      </c>
      <c r="AN391" s="970">
        <f t="shared" si="217"/>
        <v>0</v>
      </c>
      <c r="AO391" s="326">
        <f t="shared" si="218"/>
        <v>4613.7999999999993</v>
      </c>
      <c r="AP391" s="327">
        <f t="shared" si="219"/>
        <v>0</v>
      </c>
      <c r="AQ391" s="43"/>
      <c r="AR391" s="358">
        <f t="shared" si="220"/>
        <v>0</v>
      </c>
      <c r="AS391" s="359">
        <f t="shared" si="221"/>
        <v>0</v>
      </c>
      <c r="AT391" s="360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25">
        <v>29044.45</v>
      </c>
      <c r="R392" s="324"/>
      <c r="S392" s="27">
        <f t="shared" si="213"/>
        <v>29044.45</v>
      </c>
      <c r="T392" s="28">
        <f t="shared" si="214"/>
        <v>0</v>
      </c>
      <c r="U392" s="51"/>
      <c r="V392" s="541">
        <f>+'NF-KSF-TRIAL-BAL-2021'!O392+'RA-TRIAL-BAL-2021'!O392+'DES-TRIAL-BAL-2021'!O392+'DMP-TRIAL-BAL-2021'!O392</f>
        <v>0</v>
      </c>
      <c r="W392" s="529">
        <f>+'NF-KSF-TRIAL-BAL-2021'!P392+'RA-TRIAL-BAL-2021'!P392+'DES-TRIAL-BAL-2021'!P392+'DMP-TRIAL-BAL-2021'!P392</f>
        <v>0</v>
      </c>
      <c r="X392" s="528">
        <f>+'NF-KSF-TRIAL-BAL-2021'!Q392+'RA-TRIAL-BAL-2021'!Q392+'DES-TRIAL-BAL-2021'!Q392+'DMP-TRIAL-BAL-2021'!Q392</f>
        <v>0</v>
      </c>
      <c r="Y392" s="529">
        <f>+'NF-KSF-TRIAL-BAL-2021'!R392+'RA-TRIAL-BAL-2021'!R392+'DES-TRIAL-BAL-2021'!R392+'DMP-TRIAL-BAL-2021'!R392</f>
        <v>0</v>
      </c>
      <c r="Z392" s="528">
        <f>+'NF-KSF-TRIAL-BAL-2021'!S392+'RA-TRIAL-BAL-2021'!S392+'DES-TRIAL-BAL-2021'!S392+'DMP-TRIAL-BAL-2021'!S392</f>
        <v>0</v>
      </c>
      <c r="AA392" s="347">
        <f>+'NF-KSF-TRIAL-BAL-2021'!T392+'RA-TRIAL-BAL-2021'!T392+'DES-TRIAL-BAL-2021'!T392+'DMP-TRIAL-BAL-2021'!T392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97">
        <f t="shared" si="184"/>
        <v>6018</v>
      </c>
      <c r="AK392" s="8">
        <v>0</v>
      </c>
      <c r="AL392" s="9">
        <v>0</v>
      </c>
      <c r="AM392" s="326">
        <f t="shared" si="217"/>
        <v>29044.45</v>
      </c>
      <c r="AN392" s="970">
        <f t="shared" si="217"/>
        <v>0</v>
      </c>
      <c r="AO392" s="326">
        <f t="shared" si="218"/>
        <v>29044.45</v>
      </c>
      <c r="AP392" s="327">
        <f t="shared" si="219"/>
        <v>0</v>
      </c>
      <c r="AQ392" s="43"/>
      <c r="AR392" s="358">
        <f t="shared" si="220"/>
        <v>0</v>
      </c>
      <c r="AS392" s="359">
        <f t="shared" si="221"/>
        <v>0</v>
      </c>
      <c r="AT392" s="360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25">
        <v>332381.57</v>
      </c>
      <c r="R393" s="324">
        <v>500</v>
      </c>
      <c r="S393" s="27">
        <f t="shared" si="213"/>
        <v>331881.57</v>
      </c>
      <c r="T393" s="28">
        <f t="shared" si="214"/>
        <v>0</v>
      </c>
      <c r="U393" s="51"/>
      <c r="V393" s="541">
        <f>+'NF-KSF-TRIAL-BAL-2021'!O393+'RA-TRIAL-BAL-2021'!O393+'DES-TRIAL-BAL-2021'!O393+'DMP-TRIAL-BAL-2021'!O393</f>
        <v>0</v>
      </c>
      <c r="W393" s="529">
        <f>+'NF-KSF-TRIAL-BAL-2021'!P393+'RA-TRIAL-BAL-2021'!P393+'DES-TRIAL-BAL-2021'!P393+'DMP-TRIAL-BAL-2021'!P393</f>
        <v>0</v>
      </c>
      <c r="X393" s="528">
        <f>+'NF-KSF-TRIAL-BAL-2021'!Q393+'RA-TRIAL-BAL-2021'!Q393+'DES-TRIAL-BAL-2021'!Q393+'DMP-TRIAL-BAL-2021'!Q393</f>
        <v>42881.3</v>
      </c>
      <c r="Y393" s="529">
        <f>+'NF-KSF-TRIAL-BAL-2021'!R393+'RA-TRIAL-BAL-2021'!R393+'DES-TRIAL-BAL-2021'!R393+'DMP-TRIAL-BAL-2021'!R393</f>
        <v>300</v>
      </c>
      <c r="Z393" s="528">
        <f>+'NF-KSF-TRIAL-BAL-2021'!S393+'RA-TRIAL-BAL-2021'!S393+'DES-TRIAL-BAL-2021'!S393+'DMP-TRIAL-BAL-2021'!S393</f>
        <v>42581.3</v>
      </c>
      <c r="AA393" s="347">
        <f>+'NF-KSF-TRIAL-BAL-2021'!T393+'RA-TRIAL-BAL-2021'!T393+'DES-TRIAL-BAL-2021'!T393+'DMP-TRIAL-BAL-2021'!T393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97">
        <f t="shared" si="184"/>
        <v>6019</v>
      </c>
      <c r="AK393" s="8">
        <v>0</v>
      </c>
      <c r="AL393" s="9">
        <v>0</v>
      </c>
      <c r="AM393" s="326">
        <f t="shared" si="217"/>
        <v>375262.87</v>
      </c>
      <c r="AN393" s="970">
        <f t="shared" si="217"/>
        <v>800</v>
      </c>
      <c r="AO393" s="326">
        <f t="shared" si="218"/>
        <v>374462.87</v>
      </c>
      <c r="AP393" s="327">
        <f t="shared" si="219"/>
        <v>0</v>
      </c>
      <c r="AQ393" s="43"/>
      <c r="AR393" s="358">
        <f t="shared" si="220"/>
        <v>0</v>
      </c>
      <c r="AS393" s="359">
        <f t="shared" si="221"/>
        <v>0</v>
      </c>
      <c r="AT393" s="360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25">
        <v>98803.92</v>
      </c>
      <c r="R394" s="324"/>
      <c r="S394" s="27">
        <f t="shared" si="213"/>
        <v>98803.92</v>
      </c>
      <c r="T394" s="28">
        <f t="shared" si="214"/>
        <v>0</v>
      </c>
      <c r="U394" s="51"/>
      <c r="V394" s="541">
        <f>+'NF-KSF-TRIAL-BAL-2021'!O394+'RA-TRIAL-BAL-2021'!O394+'DES-TRIAL-BAL-2021'!O394+'DMP-TRIAL-BAL-2021'!O394</f>
        <v>0</v>
      </c>
      <c r="W394" s="529">
        <f>+'NF-KSF-TRIAL-BAL-2021'!P394+'RA-TRIAL-BAL-2021'!P394+'DES-TRIAL-BAL-2021'!P394+'DMP-TRIAL-BAL-2021'!P394</f>
        <v>0</v>
      </c>
      <c r="X394" s="528">
        <f>+'NF-KSF-TRIAL-BAL-2021'!Q394+'RA-TRIAL-BAL-2021'!Q394+'DES-TRIAL-BAL-2021'!Q394+'DMP-TRIAL-BAL-2021'!Q394</f>
        <v>0</v>
      </c>
      <c r="Y394" s="529">
        <f>+'NF-KSF-TRIAL-BAL-2021'!R394+'RA-TRIAL-BAL-2021'!R394+'DES-TRIAL-BAL-2021'!R394+'DMP-TRIAL-BAL-2021'!R394</f>
        <v>0</v>
      </c>
      <c r="Z394" s="528">
        <f>+'NF-KSF-TRIAL-BAL-2021'!S394+'RA-TRIAL-BAL-2021'!S394+'DES-TRIAL-BAL-2021'!S394+'DMP-TRIAL-BAL-2021'!S394</f>
        <v>0</v>
      </c>
      <c r="AA394" s="347">
        <f>+'NF-KSF-TRIAL-BAL-2021'!T394+'RA-TRIAL-BAL-2021'!T394+'DES-TRIAL-BAL-2021'!T394+'DMP-TRIAL-BAL-2021'!T394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97">
        <f t="shared" si="184"/>
        <v>6021</v>
      </c>
      <c r="AK394" s="8">
        <v>0</v>
      </c>
      <c r="AL394" s="9">
        <v>0</v>
      </c>
      <c r="AM394" s="326">
        <f t="shared" si="217"/>
        <v>98803.92</v>
      </c>
      <c r="AN394" s="970">
        <f t="shared" si="217"/>
        <v>0</v>
      </c>
      <c r="AO394" s="326">
        <f t="shared" si="218"/>
        <v>98803.92</v>
      </c>
      <c r="AP394" s="327">
        <f t="shared" si="219"/>
        <v>0</v>
      </c>
      <c r="AQ394" s="43"/>
      <c r="AR394" s="358">
        <f t="shared" si="220"/>
        <v>0</v>
      </c>
      <c r="AS394" s="359">
        <f t="shared" si="221"/>
        <v>0</v>
      </c>
      <c r="AT394" s="360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25">
        <v>3858.28</v>
      </c>
      <c r="R395" s="324"/>
      <c r="S395" s="27">
        <f t="shared" si="213"/>
        <v>3858.28</v>
      </c>
      <c r="T395" s="28">
        <f t="shared" si="214"/>
        <v>0</v>
      </c>
      <c r="U395" s="51"/>
      <c r="V395" s="541">
        <f>+'NF-KSF-TRIAL-BAL-2021'!O395+'RA-TRIAL-BAL-2021'!O395+'DES-TRIAL-BAL-2021'!O395+'DMP-TRIAL-BAL-2021'!O395</f>
        <v>0</v>
      </c>
      <c r="W395" s="529">
        <f>+'NF-KSF-TRIAL-BAL-2021'!P395+'RA-TRIAL-BAL-2021'!P395+'DES-TRIAL-BAL-2021'!P395+'DMP-TRIAL-BAL-2021'!P395</f>
        <v>0</v>
      </c>
      <c r="X395" s="528">
        <f>+'NF-KSF-TRIAL-BAL-2021'!Q395+'RA-TRIAL-BAL-2021'!Q395+'DES-TRIAL-BAL-2021'!Q395+'DMP-TRIAL-BAL-2021'!Q395</f>
        <v>0</v>
      </c>
      <c r="Y395" s="529">
        <f>+'NF-KSF-TRIAL-BAL-2021'!R395+'RA-TRIAL-BAL-2021'!R395+'DES-TRIAL-BAL-2021'!R395+'DMP-TRIAL-BAL-2021'!R395</f>
        <v>0</v>
      </c>
      <c r="Z395" s="528">
        <f>+'NF-KSF-TRIAL-BAL-2021'!S395+'RA-TRIAL-BAL-2021'!S395+'DES-TRIAL-BAL-2021'!S395+'DMP-TRIAL-BAL-2021'!S395</f>
        <v>0</v>
      </c>
      <c r="AA395" s="347">
        <f>+'NF-KSF-TRIAL-BAL-2021'!T395+'RA-TRIAL-BAL-2021'!T395+'DES-TRIAL-BAL-2021'!T395+'DMP-TRIAL-BAL-2021'!T395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97">
        <f t="shared" si="184"/>
        <v>6022</v>
      </c>
      <c r="AK395" s="8">
        <v>0</v>
      </c>
      <c r="AL395" s="9">
        <v>0</v>
      </c>
      <c r="AM395" s="326">
        <f t="shared" si="217"/>
        <v>3858.28</v>
      </c>
      <c r="AN395" s="970">
        <f t="shared" si="217"/>
        <v>0</v>
      </c>
      <c r="AO395" s="326">
        <f t="shared" si="218"/>
        <v>3858.28</v>
      </c>
      <c r="AP395" s="327">
        <f t="shared" si="219"/>
        <v>0</v>
      </c>
      <c r="AQ395" s="43"/>
      <c r="AR395" s="358">
        <f t="shared" si="220"/>
        <v>0</v>
      </c>
      <c r="AS395" s="359">
        <f t="shared" si="221"/>
        <v>0</v>
      </c>
      <c r="AT395" s="360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25">
        <v>45324.98</v>
      </c>
      <c r="R396" s="324">
        <v>162</v>
      </c>
      <c r="S396" s="27">
        <f t="shared" si="213"/>
        <v>45162.98</v>
      </c>
      <c r="T396" s="28">
        <f t="shared" si="214"/>
        <v>0</v>
      </c>
      <c r="U396" s="51"/>
      <c r="V396" s="541">
        <f>+'NF-KSF-TRIAL-BAL-2021'!O396+'RA-TRIAL-BAL-2021'!O396+'DES-TRIAL-BAL-2021'!O396+'DMP-TRIAL-BAL-2021'!O396</f>
        <v>0</v>
      </c>
      <c r="W396" s="529">
        <f>+'NF-KSF-TRIAL-BAL-2021'!P396+'RA-TRIAL-BAL-2021'!P396+'DES-TRIAL-BAL-2021'!P396+'DMP-TRIAL-BAL-2021'!P396</f>
        <v>0</v>
      </c>
      <c r="X396" s="528">
        <f>+'NF-KSF-TRIAL-BAL-2021'!Q396+'RA-TRIAL-BAL-2021'!Q396+'DES-TRIAL-BAL-2021'!Q396+'DMP-TRIAL-BAL-2021'!Q396</f>
        <v>0</v>
      </c>
      <c r="Y396" s="529">
        <f>+'NF-KSF-TRIAL-BAL-2021'!R396+'RA-TRIAL-BAL-2021'!R396+'DES-TRIAL-BAL-2021'!R396+'DMP-TRIAL-BAL-2021'!R396</f>
        <v>0</v>
      </c>
      <c r="Z396" s="528">
        <f>+'NF-KSF-TRIAL-BAL-2021'!S396+'RA-TRIAL-BAL-2021'!S396+'DES-TRIAL-BAL-2021'!S396+'DMP-TRIAL-BAL-2021'!S396</f>
        <v>0</v>
      </c>
      <c r="AA396" s="347">
        <f>+'NF-KSF-TRIAL-BAL-2021'!T396+'RA-TRIAL-BAL-2021'!T396+'DES-TRIAL-BAL-2021'!T396+'DMP-TRIAL-BAL-2021'!T396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97">
        <f t="shared" si="184"/>
        <v>6023</v>
      </c>
      <c r="AK396" s="8">
        <v>0</v>
      </c>
      <c r="AL396" s="9">
        <v>0</v>
      </c>
      <c r="AM396" s="326">
        <f t="shared" si="217"/>
        <v>45324.98</v>
      </c>
      <c r="AN396" s="970">
        <f t="shared" si="217"/>
        <v>162</v>
      </c>
      <c r="AO396" s="326">
        <f t="shared" si="218"/>
        <v>45162.98</v>
      </c>
      <c r="AP396" s="327">
        <f t="shared" si="219"/>
        <v>0</v>
      </c>
      <c r="AQ396" s="43"/>
      <c r="AR396" s="358">
        <f t="shared" si="220"/>
        <v>0</v>
      </c>
      <c r="AS396" s="359">
        <f t="shared" si="221"/>
        <v>0</v>
      </c>
      <c r="AT396" s="360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25">
        <v>35385.17</v>
      </c>
      <c r="R397" s="324">
        <v>650</v>
      </c>
      <c r="S397" s="27">
        <f t="shared" si="213"/>
        <v>34735.17</v>
      </c>
      <c r="T397" s="28">
        <f t="shared" si="214"/>
        <v>0</v>
      </c>
      <c r="U397" s="51"/>
      <c r="V397" s="541">
        <f>+'NF-KSF-TRIAL-BAL-2021'!O397+'RA-TRIAL-BAL-2021'!O397+'DES-TRIAL-BAL-2021'!O397+'DMP-TRIAL-BAL-2021'!O397</f>
        <v>0</v>
      </c>
      <c r="W397" s="529">
        <f>+'NF-KSF-TRIAL-BAL-2021'!P397+'RA-TRIAL-BAL-2021'!P397+'DES-TRIAL-BAL-2021'!P397+'DMP-TRIAL-BAL-2021'!P397</f>
        <v>0</v>
      </c>
      <c r="X397" s="528">
        <f>+'NF-KSF-TRIAL-BAL-2021'!Q397+'RA-TRIAL-BAL-2021'!Q397+'DES-TRIAL-BAL-2021'!Q397+'DMP-TRIAL-BAL-2021'!Q397</f>
        <v>0</v>
      </c>
      <c r="Y397" s="529">
        <f>+'NF-KSF-TRIAL-BAL-2021'!R397+'RA-TRIAL-BAL-2021'!R397+'DES-TRIAL-BAL-2021'!R397+'DMP-TRIAL-BAL-2021'!R397</f>
        <v>0</v>
      </c>
      <c r="Z397" s="528">
        <f>+'NF-KSF-TRIAL-BAL-2021'!S397+'RA-TRIAL-BAL-2021'!S397+'DES-TRIAL-BAL-2021'!S397+'DMP-TRIAL-BAL-2021'!S397</f>
        <v>0</v>
      </c>
      <c r="AA397" s="347">
        <f>+'NF-KSF-TRIAL-BAL-2021'!T397+'RA-TRIAL-BAL-2021'!T397+'DES-TRIAL-BAL-2021'!T397+'DMP-TRIAL-BAL-2021'!T397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97">
        <f t="shared" si="184"/>
        <v>6025</v>
      </c>
      <c r="AK397" s="8">
        <v>0</v>
      </c>
      <c r="AL397" s="9">
        <v>0</v>
      </c>
      <c r="AM397" s="326">
        <f t="shared" si="217"/>
        <v>35385.17</v>
      </c>
      <c r="AN397" s="970">
        <f t="shared" si="217"/>
        <v>650</v>
      </c>
      <c r="AO397" s="326">
        <f t="shared" si="218"/>
        <v>34735.17</v>
      </c>
      <c r="AP397" s="327">
        <f t="shared" si="219"/>
        <v>0</v>
      </c>
      <c r="AQ397" s="43"/>
      <c r="AR397" s="358">
        <f t="shared" si="220"/>
        <v>0</v>
      </c>
      <c r="AS397" s="359">
        <f t="shared" si="221"/>
        <v>0</v>
      </c>
      <c r="AT397" s="360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25">
        <v>14498.47</v>
      </c>
      <c r="R398" s="324"/>
      <c r="S398" s="27">
        <f t="shared" si="213"/>
        <v>14498.47</v>
      </c>
      <c r="T398" s="28">
        <f t="shared" si="214"/>
        <v>0</v>
      </c>
      <c r="U398" s="51"/>
      <c r="V398" s="541">
        <f>+'NF-KSF-TRIAL-BAL-2021'!O398+'RA-TRIAL-BAL-2021'!O398+'DES-TRIAL-BAL-2021'!O398+'DMP-TRIAL-BAL-2021'!O398</f>
        <v>0</v>
      </c>
      <c r="W398" s="529">
        <f>+'NF-KSF-TRIAL-BAL-2021'!P398+'RA-TRIAL-BAL-2021'!P398+'DES-TRIAL-BAL-2021'!P398+'DMP-TRIAL-BAL-2021'!P398</f>
        <v>0</v>
      </c>
      <c r="X398" s="528">
        <f>+'NF-KSF-TRIAL-BAL-2021'!Q398+'RA-TRIAL-BAL-2021'!Q398+'DES-TRIAL-BAL-2021'!Q398+'DMP-TRIAL-BAL-2021'!Q398</f>
        <v>0</v>
      </c>
      <c r="Y398" s="529">
        <f>+'NF-KSF-TRIAL-BAL-2021'!R398+'RA-TRIAL-BAL-2021'!R398+'DES-TRIAL-BAL-2021'!R398+'DMP-TRIAL-BAL-2021'!R398</f>
        <v>0</v>
      </c>
      <c r="Z398" s="528">
        <f>+'NF-KSF-TRIAL-BAL-2021'!S398+'RA-TRIAL-BAL-2021'!S398+'DES-TRIAL-BAL-2021'!S398+'DMP-TRIAL-BAL-2021'!S398</f>
        <v>0</v>
      </c>
      <c r="AA398" s="347">
        <f>+'NF-KSF-TRIAL-BAL-2021'!T398+'RA-TRIAL-BAL-2021'!T398+'DES-TRIAL-BAL-2021'!T398+'DMP-TRIAL-BAL-2021'!T398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97">
        <f t="shared" si="184"/>
        <v>6026</v>
      </c>
      <c r="AK398" s="8">
        <v>0</v>
      </c>
      <c r="AL398" s="9">
        <v>0</v>
      </c>
      <c r="AM398" s="326">
        <f t="shared" si="217"/>
        <v>14498.47</v>
      </c>
      <c r="AN398" s="970">
        <f t="shared" si="217"/>
        <v>0</v>
      </c>
      <c r="AO398" s="326">
        <f t="shared" si="218"/>
        <v>14498.47</v>
      </c>
      <c r="AP398" s="327">
        <f t="shared" si="219"/>
        <v>0</v>
      </c>
      <c r="AQ398" s="43"/>
      <c r="AR398" s="358">
        <f t="shared" si="220"/>
        <v>0</v>
      </c>
      <c r="AS398" s="359">
        <f t="shared" si="221"/>
        <v>0</v>
      </c>
      <c r="AT398" s="360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25"/>
      <c r="R399" s="324"/>
      <c r="S399" s="27">
        <f t="shared" si="213"/>
        <v>0</v>
      </c>
      <c r="T399" s="28">
        <f t="shared" si="214"/>
        <v>0</v>
      </c>
      <c r="U399" s="51"/>
      <c r="V399" s="541">
        <f>+'NF-KSF-TRIAL-BAL-2021'!O399+'RA-TRIAL-BAL-2021'!O399+'DES-TRIAL-BAL-2021'!O399+'DMP-TRIAL-BAL-2021'!O399</f>
        <v>0</v>
      </c>
      <c r="W399" s="529">
        <f>+'NF-KSF-TRIAL-BAL-2021'!P399+'RA-TRIAL-BAL-2021'!P399+'DES-TRIAL-BAL-2021'!P399+'DMP-TRIAL-BAL-2021'!P399</f>
        <v>0</v>
      </c>
      <c r="X399" s="528">
        <f>+'NF-KSF-TRIAL-BAL-2021'!Q399+'RA-TRIAL-BAL-2021'!Q399+'DES-TRIAL-BAL-2021'!Q399+'DMP-TRIAL-BAL-2021'!Q399</f>
        <v>0</v>
      </c>
      <c r="Y399" s="529">
        <f>+'NF-KSF-TRIAL-BAL-2021'!R399+'RA-TRIAL-BAL-2021'!R399+'DES-TRIAL-BAL-2021'!R399+'DMP-TRIAL-BAL-2021'!R399</f>
        <v>0</v>
      </c>
      <c r="Z399" s="528">
        <f>+'NF-KSF-TRIAL-BAL-2021'!S399+'RA-TRIAL-BAL-2021'!S399+'DES-TRIAL-BAL-2021'!S399+'DMP-TRIAL-BAL-2021'!S399</f>
        <v>0</v>
      </c>
      <c r="AA399" s="347">
        <f>+'NF-KSF-TRIAL-BAL-2021'!T399+'RA-TRIAL-BAL-2021'!T399+'DES-TRIAL-BAL-2021'!T399+'DMP-TRIAL-BAL-2021'!T399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97">
        <f t="shared" si="184"/>
        <v>6027</v>
      </c>
      <c r="AK399" s="8">
        <v>0</v>
      </c>
      <c r="AL399" s="9">
        <v>0</v>
      </c>
      <c r="AM399" s="326">
        <f t="shared" si="217"/>
        <v>0</v>
      </c>
      <c r="AN399" s="970">
        <f t="shared" si="217"/>
        <v>0</v>
      </c>
      <c r="AO399" s="326">
        <f t="shared" si="218"/>
        <v>0</v>
      </c>
      <c r="AP399" s="327">
        <f t="shared" si="219"/>
        <v>0</v>
      </c>
      <c r="AQ399" s="43"/>
      <c r="AR399" s="358">
        <f t="shared" si="220"/>
        <v>0</v>
      </c>
      <c r="AS399" s="359">
        <f t="shared" si="221"/>
        <v>0</v>
      </c>
      <c r="AT399" s="360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25">
        <v>5540</v>
      </c>
      <c r="R400" s="324"/>
      <c r="S400" s="27">
        <f t="shared" si="213"/>
        <v>5540</v>
      </c>
      <c r="T400" s="28">
        <f t="shared" si="214"/>
        <v>0</v>
      </c>
      <c r="U400" s="51"/>
      <c r="V400" s="541">
        <f>+'NF-KSF-TRIAL-BAL-2021'!O400+'RA-TRIAL-BAL-2021'!O400+'DES-TRIAL-BAL-2021'!O400+'DMP-TRIAL-BAL-2021'!O400</f>
        <v>0</v>
      </c>
      <c r="W400" s="529">
        <f>+'NF-KSF-TRIAL-BAL-2021'!P400+'RA-TRIAL-BAL-2021'!P400+'DES-TRIAL-BAL-2021'!P400+'DMP-TRIAL-BAL-2021'!P400</f>
        <v>0</v>
      </c>
      <c r="X400" s="528">
        <f>+'NF-KSF-TRIAL-BAL-2021'!Q400+'RA-TRIAL-BAL-2021'!Q400+'DES-TRIAL-BAL-2021'!Q400+'DMP-TRIAL-BAL-2021'!Q400</f>
        <v>7140</v>
      </c>
      <c r="Y400" s="529">
        <f>+'NF-KSF-TRIAL-BAL-2021'!R400+'RA-TRIAL-BAL-2021'!R400+'DES-TRIAL-BAL-2021'!R400+'DMP-TRIAL-BAL-2021'!R400</f>
        <v>0</v>
      </c>
      <c r="Z400" s="528">
        <f>+'NF-KSF-TRIAL-BAL-2021'!S400+'RA-TRIAL-BAL-2021'!S400+'DES-TRIAL-BAL-2021'!S400+'DMP-TRIAL-BAL-2021'!S400</f>
        <v>7140</v>
      </c>
      <c r="AA400" s="347">
        <f>+'NF-KSF-TRIAL-BAL-2021'!T400+'RA-TRIAL-BAL-2021'!T400+'DES-TRIAL-BAL-2021'!T400+'DMP-TRIAL-BAL-2021'!T400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97">
        <f t="shared" si="184"/>
        <v>6028</v>
      </c>
      <c r="AK400" s="8">
        <v>0</v>
      </c>
      <c r="AL400" s="9">
        <v>0</v>
      </c>
      <c r="AM400" s="326">
        <f t="shared" si="217"/>
        <v>12680</v>
      </c>
      <c r="AN400" s="970">
        <f t="shared" si="217"/>
        <v>0</v>
      </c>
      <c r="AO400" s="326">
        <f t="shared" si="218"/>
        <v>12680</v>
      </c>
      <c r="AP400" s="327">
        <f t="shared" si="219"/>
        <v>0</v>
      </c>
      <c r="AQ400" s="43"/>
      <c r="AR400" s="358">
        <f t="shared" si="220"/>
        <v>0</v>
      </c>
      <c r="AS400" s="359">
        <f t="shared" si="221"/>
        <v>0</v>
      </c>
      <c r="AT400" s="360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25">
        <v>373112.57</v>
      </c>
      <c r="R401" s="324">
        <v>782.4</v>
      </c>
      <c r="S401" s="27">
        <f t="shared" si="213"/>
        <v>372330.17</v>
      </c>
      <c r="T401" s="28">
        <f t="shared" si="214"/>
        <v>0</v>
      </c>
      <c r="U401" s="51"/>
      <c r="V401" s="541">
        <f>+'NF-KSF-TRIAL-BAL-2021'!O401+'RA-TRIAL-BAL-2021'!O401+'DES-TRIAL-BAL-2021'!O401+'DMP-TRIAL-BAL-2021'!O401</f>
        <v>0</v>
      </c>
      <c r="W401" s="529">
        <f>+'NF-KSF-TRIAL-BAL-2021'!P401+'RA-TRIAL-BAL-2021'!P401+'DES-TRIAL-BAL-2021'!P401+'DMP-TRIAL-BAL-2021'!P401</f>
        <v>0</v>
      </c>
      <c r="X401" s="528">
        <f>+'NF-KSF-TRIAL-BAL-2021'!Q401+'RA-TRIAL-BAL-2021'!Q401+'DES-TRIAL-BAL-2021'!Q401+'DMP-TRIAL-BAL-2021'!Q401</f>
        <v>42916.31</v>
      </c>
      <c r="Y401" s="529">
        <f>+'NF-KSF-TRIAL-BAL-2021'!R401+'RA-TRIAL-BAL-2021'!R401+'DES-TRIAL-BAL-2021'!R401+'DMP-TRIAL-BAL-2021'!R401</f>
        <v>0</v>
      </c>
      <c r="Z401" s="528">
        <f>+'NF-KSF-TRIAL-BAL-2021'!S401+'RA-TRIAL-BAL-2021'!S401+'DES-TRIAL-BAL-2021'!S401+'DMP-TRIAL-BAL-2021'!S401</f>
        <v>42916.31</v>
      </c>
      <c r="AA401" s="347">
        <f>+'NF-KSF-TRIAL-BAL-2021'!T401+'RA-TRIAL-BAL-2021'!T401+'DES-TRIAL-BAL-2021'!T401+'DMP-TRIAL-BAL-2021'!T401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97">
        <f t="shared" si="184"/>
        <v>6029</v>
      </c>
      <c r="AK401" s="8">
        <v>0</v>
      </c>
      <c r="AL401" s="9">
        <v>0</v>
      </c>
      <c r="AM401" s="326">
        <f t="shared" si="217"/>
        <v>416028.88</v>
      </c>
      <c r="AN401" s="970">
        <f t="shared" si="217"/>
        <v>782.4</v>
      </c>
      <c r="AO401" s="326">
        <f t="shared" si="218"/>
        <v>415246.48</v>
      </c>
      <c r="AP401" s="327">
        <f t="shared" si="219"/>
        <v>0</v>
      </c>
      <c r="AQ401" s="43"/>
      <c r="AR401" s="358">
        <f t="shared" si="220"/>
        <v>0</v>
      </c>
      <c r="AS401" s="359">
        <f t="shared" si="221"/>
        <v>0</v>
      </c>
      <c r="AT401" s="360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25">
        <v>16892.7</v>
      </c>
      <c r="R402" s="324"/>
      <c r="S402" s="27">
        <f t="shared" ref="S402:S407" si="224">+IF(ABS(+O402+Q402)&gt;=ABS(P402+R402),+O402-P402+Q402-R402,0)</f>
        <v>16892.7</v>
      </c>
      <c r="T402" s="28">
        <f t="shared" ref="T402:T407" si="225">+IF(ABS(+O402+Q402)&lt;=ABS(P402+R402),-O402+P402-Q402+R402,0)</f>
        <v>0</v>
      </c>
      <c r="U402" s="51"/>
      <c r="V402" s="541">
        <f>+'NF-KSF-TRIAL-BAL-2021'!O402+'RA-TRIAL-BAL-2021'!O402+'DES-TRIAL-BAL-2021'!O402+'DMP-TRIAL-BAL-2021'!O402</f>
        <v>0</v>
      </c>
      <c r="W402" s="529">
        <f>+'NF-KSF-TRIAL-BAL-2021'!P402+'RA-TRIAL-BAL-2021'!P402+'DES-TRIAL-BAL-2021'!P402+'DMP-TRIAL-BAL-2021'!P402</f>
        <v>0</v>
      </c>
      <c r="X402" s="528">
        <f>+'NF-KSF-TRIAL-BAL-2021'!Q402+'RA-TRIAL-BAL-2021'!Q402+'DES-TRIAL-BAL-2021'!Q402+'DMP-TRIAL-BAL-2021'!Q402</f>
        <v>0</v>
      </c>
      <c r="Y402" s="529">
        <f>+'NF-KSF-TRIAL-BAL-2021'!R402+'RA-TRIAL-BAL-2021'!R402+'DES-TRIAL-BAL-2021'!R402+'DMP-TRIAL-BAL-2021'!R402</f>
        <v>0</v>
      </c>
      <c r="Z402" s="528">
        <f>+'NF-KSF-TRIAL-BAL-2021'!S402+'RA-TRIAL-BAL-2021'!S402+'DES-TRIAL-BAL-2021'!S402+'DMP-TRIAL-BAL-2021'!S402</f>
        <v>0</v>
      </c>
      <c r="AA402" s="347">
        <f>+'NF-KSF-TRIAL-BAL-2021'!T402+'RA-TRIAL-BAL-2021'!T402+'DES-TRIAL-BAL-2021'!T402+'DMP-TRIAL-BAL-2021'!T402</f>
        <v>0</v>
      </c>
      <c r="AB402" s="51"/>
      <c r="AC402" s="575">
        <v>0</v>
      </c>
      <c r="AD402" s="582">
        <v>0</v>
      </c>
      <c r="AE402" s="579">
        <v>0</v>
      </c>
      <c r="AF402" s="582">
        <v>0</v>
      </c>
      <c r="AG402" s="27">
        <f t="shared" si="215"/>
        <v>0</v>
      </c>
      <c r="AH402" s="28">
        <f t="shared" si="216"/>
        <v>0</v>
      </c>
      <c r="AI402" s="51"/>
      <c r="AJ402" s="1733">
        <f t="shared" ref="AJ402:AJ475" si="226">+N402</f>
        <v>6030</v>
      </c>
      <c r="AK402" s="575">
        <v>0</v>
      </c>
      <c r="AL402" s="582">
        <v>0</v>
      </c>
      <c r="AM402" s="837">
        <f t="shared" ref="AM402:AM409" si="227">+ROUND(+Q402+X402+AE402,2)</f>
        <v>16892.7</v>
      </c>
      <c r="AN402" s="2135">
        <f t="shared" ref="AN402:AN409" si="228">+ROUND(+R402+Y402+AF402,2)</f>
        <v>0</v>
      </c>
      <c r="AO402" s="583">
        <f t="shared" si="218"/>
        <v>16892.7</v>
      </c>
      <c r="AP402" s="580">
        <f t="shared" si="219"/>
        <v>0</v>
      </c>
      <c r="AQ402" s="43"/>
      <c r="AR402" s="358">
        <f t="shared" si="220"/>
        <v>0</v>
      </c>
      <c r="AS402" s="359">
        <f t="shared" si="221"/>
        <v>0</v>
      </c>
      <c r="AT402" s="360">
        <f t="shared" si="222"/>
        <v>0</v>
      </c>
      <c r="AU402" s="43"/>
      <c r="AV402" s="43"/>
      <c r="AW402" s="119"/>
      <c r="AX402" s="2125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25"/>
      <c r="R403" s="324"/>
      <c r="S403" s="27">
        <f t="shared" si="224"/>
        <v>0</v>
      </c>
      <c r="T403" s="28">
        <f t="shared" si="225"/>
        <v>0</v>
      </c>
      <c r="U403" s="51"/>
      <c r="V403" s="541">
        <f>+'NF-KSF-TRIAL-BAL-2021'!O403+'RA-TRIAL-BAL-2021'!O403+'DES-TRIAL-BAL-2021'!O403+'DMP-TRIAL-BAL-2021'!O403</f>
        <v>0</v>
      </c>
      <c r="W403" s="529">
        <f>+'NF-KSF-TRIAL-BAL-2021'!P403+'RA-TRIAL-BAL-2021'!P403+'DES-TRIAL-BAL-2021'!P403+'DMP-TRIAL-BAL-2021'!P403</f>
        <v>0</v>
      </c>
      <c r="X403" s="528">
        <f>+'NF-KSF-TRIAL-BAL-2021'!Q403+'RA-TRIAL-BAL-2021'!Q403+'DES-TRIAL-BAL-2021'!Q403+'DMP-TRIAL-BAL-2021'!Q403</f>
        <v>0</v>
      </c>
      <c r="Y403" s="529">
        <f>+'NF-KSF-TRIAL-BAL-2021'!R403+'RA-TRIAL-BAL-2021'!R403+'DES-TRIAL-BAL-2021'!R403+'DMP-TRIAL-BAL-2021'!R403</f>
        <v>0</v>
      </c>
      <c r="Z403" s="528">
        <f>+'NF-KSF-TRIAL-BAL-2021'!S403+'RA-TRIAL-BAL-2021'!S403+'DES-TRIAL-BAL-2021'!S403+'DMP-TRIAL-BAL-2021'!S403</f>
        <v>0</v>
      </c>
      <c r="AA403" s="347">
        <f>+'NF-KSF-TRIAL-BAL-2021'!T403+'RA-TRIAL-BAL-2021'!T403+'DES-TRIAL-BAL-2021'!T403+'DMP-TRIAL-BAL-2021'!T403</f>
        <v>0</v>
      </c>
      <c r="AB403" s="51"/>
      <c r="AC403" s="575">
        <v>0</v>
      </c>
      <c r="AD403" s="582">
        <v>0</v>
      </c>
      <c r="AE403" s="579">
        <v>0</v>
      </c>
      <c r="AF403" s="582">
        <v>0</v>
      </c>
      <c r="AG403" s="27">
        <f t="shared" si="215"/>
        <v>0</v>
      </c>
      <c r="AH403" s="28">
        <f t="shared" si="216"/>
        <v>0</v>
      </c>
      <c r="AI403" s="51"/>
      <c r="AJ403" s="1733">
        <f t="shared" si="226"/>
        <v>6032</v>
      </c>
      <c r="AK403" s="575">
        <v>0</v>
      </c>
      <c r="AL403" s="582">
        <v>0</v>
      </c>
      <c r="AM403" s="837">
        <f t="shared" si="227"/>
        <v>0</v>
      </c>
      <c r="AN403" s="2135">
        <f t="shared" si="228"/>
        <v>0</v>
      </c>
      <c r="AO403" s="583">
        <f t="shared" si="218"/>
        <v>0</v>
      </c>
      <c r="AP403" s="580">
        <f t="shared" si="219"/>
        <v>0</v>
      </c>
      <c r="AQ403" s="43"/>
      <c r="AR403" s="358">
        <f t="shared" si="220"/>
        <v>0</v>
      </c>
      <c r="AS403" s="359">
        <f t="shared" si="221"/>
        <v>0</v>
      </c>
      <c r="AT403" s="360">
        <f t="shared" si="222"/>
        <v>0</v>
      </c>
      <c r="AU403" s="43"/>
      <c r="AV403" s="43"/>
      <c r="AW403" s="119"/>
      <c r="AX403" s="2125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25">
        <v>36637.769999999997</v>
      </c>
      <c r="R404" s="324"/>
      <c r="S404" s="27">
        <f t="shared" si="224"/>
        <v>36637.769999999997</v>
      </c>
      <c r="T404" s="28">
        <f t="shared" si="225"/>
        <v>0</v>
      </c>
      <c r="U404" s="51"/>
      <c r="V404" s="541">
        <f>+'NF-KSF-TRIAL-BAL-2021'!O404+'RA-TRIAL-BAL-2021'!O404+'DES-TRIAL-BAL-2021'!O404+'DMP-TRIAL-BAL-2021'!O404</f>
        <v>0</v>
      </c>
      <c r="W404" s="529">
        <f>+'NF-KSF-TRIAL-BAL-2021'!P404+'RA-TRIAL-BAL-2021'!P404+'DES-TRIAL-BAL-2021'!P404+'DMP-TRIAL-BAL-2021'!P404</f>
        <v>0</v>
      </c>
      <c r="X404" s="528">
        <f>+'NF-KSF-TRIAL-BAL-2021'!Q404+'RA-TRIAL-BAL-2021'!Q404+'DES-TRIAL-BAL-2021'!Q404+'DMP-TRIAL-BAL-2021'!Q404</f>
        <v>0</v>
      </c>
      <c r="Y404" s="529">
        <f>+'NF-KSF-TRIAL-BAL-2021'!R404+'RA-TRIAL-BAL-2021'!R404+'DES-TRIAL-BAL-2021'!R404+'DMP-TRIAL-BAL-2021'!R404</f>
        <v>0</v>
      </c>
      <c r="Z404" s="528">
        <f>+'NF-KSF-TRIAL-BAL-2021'!S404+'RA-TRIAL-BAL-2021'!S404+'DES-TRIAL-BAL-2021'!S404+'DMP-TRIAL-BAL-2021'!S404</f>
        <v>0</v>
      </c>
      <c r="AA404" s="347">
        <f>+'NF-KSF-TRIAL-BAL-2021'!T404+'RA-TRIAL-BAL-2021'!T404+'DES-TRIAL-BAL-2021'!T404+'DMP-TRIAL-BAL-2021'!T404</f>
        <v>0</v>
      </c>
      <c r="AB404" s="51"/>
      <c r="AC404" s="575">
        <v>0</v>
      </c>
      <c r="AD404" s="582">
        <v>0</v>
      </c>
      <c r="AE404" s="579">
        <v>0</v>
      </c>
      <c r="AF404" s="582">
        <v>0</v>
      </c>
      <c r="AG404" s="27">
        <f t="shared" si="215"/>
        <v>0</v>
      </c>
      <c r="AH404" s="28">
        <f t="shared" si="216"/>
        <v>0</v>
      </c>
      <c r="AI404" s="51"/>
      <c r="AJ404" s="1733">
        <f t="shared" si="226"/>
        <v>6033</v>
      </c>
      <c r="AK404" s="575">
        <v>0</v>
      </c>
      <c r="AL404" s="582">
        <v>0</v>
      </c>
      <c r="AM404" s="837">
        <f t="shared" si="227"/>
        <v>36637.769999999997</v>
      </c>
      <c r="AN404" s="2135">
        <f t="shared" si="228"/>
        <v>0</v>
      </c>
      <c r="AO404" s="583">
        <f t="shared" si="218"/>
        <v>36637.769999999997</v>
      </c>
      <c r="AP404" s="580">
        <f t="shared" si="219"/>
        <v>0</v>
      </c>
      <c r="AQ404" s="43"/>
      <c r="AR404" s="358">
        <f t="shared" si="220"/>
        <v>0</v>
      </c>
      <c r="AS404" s="359">
        <f t="shared" si="221"/>
        <v>0</v>
      </c>
      <c r="AT404" s="360">
        <f t="shared" si="222"/>
        <v>0</v>
      </c>
      <c r="AU404" s="43"/>
      <c r="AV404" s="43"/>
      <c r="AW404" s="119"/>
      <c r="AX404" s="2125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25">
        <v>406999.76</v>
      </c>
      <c r="R405" s="324"/>
      <c r="S405" s="27">
        <f t="shared" si="224"/>
        <v>406999.76</v>
      </c>
      <c r="T405" s="28">
        <f t="shared" si="225"/>
        <v>0</v>
      </c>
      <c r="U405" s="51"/>
      <c r="V405" s="541">
        <f>+'NF-KSF-TRIAL-BAL-2021'!O405+'RA-TRIAL-BAL-2021'!O405+'DES-TRIAL-BAL-2021'!O405+'DMP-TRIAL-BAL-2021'!O405</f>
        <v>0</v>
      </c>
      <c r="W405" s="529">
        <f>+'NF-KSF-TRIAL-BAL-2021'!P405+'RA-TRIAL-BAL-2021'!P405+'DES-TRIAL-BAL-2021'!P405+'DMP-TRIAL-BAL-2021'!P405</f>
        <v>0</v>
      </c>
      <c r="X405" s="528">
        <f>+'NF-KSF-TRIAL-BAL-2021'!Q405+'RA-TRIAL-BAL-2021'!Q405+'DES-TRIAL-BAL-2021'!Q405+'DMP-TRIAL-BAL-2021'!Q405</f>
        <v>0</v>
      </c>
      <c r="Y405" s="529">
        <f>+'NF-KSF-TRIAL-BAL-2021'!R405+'RA-TRIAL-BAL-2021'!R405+'DES-TRIAL-BAL-2021'!R405+'DMP-TRIAL-BAL-2021'!R405</f>
        <v>0</v>
      </c>
      <c r="Z405" s="528">
        <f>+'NF-KSF-TRIAL-BAL-2021'!S405+'RA-TRIAL-BAL-2021'!S405+'DES-TRIAL-BAL-2021'!S405+'DMP-TRIAL-BAL-2021'!S405</f>
        <v>0</v>
      </c>
      <c r="AA405" s="347">
        <f>+'NF-KSF-TRIAL-BAL-2021'!T405+'RA-TRIAL-BAL-2021'!T405+'DES-TRIAL-BAL-2021'!T405+'DMP-TRIAL-BAL-2021'!T405</f>
        <v>0</v>
      </c>
      <c r="AB405" s="51"/>
      <c r="AC405" s="575">
        <v>0</v>
      </c>
      <c r="AD405" s="582">
        <v>0</v>
      </c>
      <c r="AE405" s="579">
        <v>0</v>
      </c>
      <c r="AF405" s="582">
        <v>0</v>
      </c>
      <c r="AG405" s="27">
        <f t="shared" si="215"/>
        <v>0</v>
      </c>
      <c r="AH405" s="28">
        <f t="shared" si="216"/>
        <v>0</v>
      </c>
      <c r="AI405" s="51"/>
      <c r="AJ405" s="1733">
        <f t="shared" si="226"/>
        <v>6034</v>
      </c>
      <c r="AK405" s="575">
        <v>0</v>
      </c>
      <c r="AL405" s="582">
        <v>0</v>
      </c>
      <c r="AM405" s="837">
        <f t="shared" si="227"/>
        <v>406999.76</v>
      </c>
      <c r="AN405" s="2135">
        <f t="shared" si="228"/>
        <v>0</v>
      </c>
      <c r="AO405" s="583">
        <f t="shared" si="218"/>
        <v>406999.76</v>
      </c>
      <c r="AP405" s="580">
        <f t="shared" si="219"/>
        <v>0</v>
      </c>
      <c r="AQ405" s="43"/>
      <c r="AR405" s="358">
        <f t="shared" si="220"/>
        <v>0</v>
      </c>
      <c r="AS405" s="359">
        <f t="shared" si="221"/>
        <v>0</v>
      </c>
      <c r="AT405" s="360">
        <f t="shared" si="222"/>
        <v>0</v>
      </c>
      <c r="AU405" s="43"/>
      <c r="AV405" s="43"/>
      <c r="AW405" s="119"/>
      <c r="AX405" s="2125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25">
        <v>75804.42</v>
      </c>
      <c r="R406" s="324"/>
      <c r="S406" s="27">
        <f t="shared" si="224"/>
        <v>75804.42</v>
      </c>
      <c r="T406" s="28">
        <f t="shared" si="225"/>
        <v>0</v>
      </c>
      <c r="U406" s="51"/>
      <c r="V406" s="541">
        <f>+'NF-KSF-TRIAL-BAL-2021'!O406+'RA-TRIAL-BAL-2021'!O406+'DES-TRIAL-BAL-2021'!O406+'DMP-TRIAL-BAL-2021'!O406</f>
        <v>0</v>
      </c>
      <c r="W406" s="529">
        <f>+'NF-KSF-TRIAL-BAL-2021'!P406+'RA-TRIAL-BAL-2021'!P406+'DES-TRIAL-BAL-2021'!P406+'DMP-TRIAL-BAL-2021'!P406</f>
        <v>0</v>
      </c>
      <c r="X406" s="528">
        <f>+'NF-KSF-TRIAL-BAL-2021'!Q406+'RA-TRIAL-BAL-2021'!Q406+'DES-TRIAL-BAL-2021'!Q406+'DMP-TRIAL-BAL-2021'!Q406</f>
        <v>0</v>
      </c>
      <c r="Y406" s="529">
        <f>+'NF-KSF-TRIAL-BAL-2021'!R406+'RA-TRIAL-BAL-2021'!R406+'DES-TRIAL-BAL-2021'!R406+'DMP-TRIAL-BAL-2021'!R406</f>
        <v>0</v>
      </c>
      <c r="Z406" s="528">
        <f>+'NF-KSF-TRIAL-BAL-2021'!S406+'RA-TRIAL-BAL-2021'!S406+'DES-TRIAL-BAL-2021'!S406+'DMP-TRIAL-BAL-2021'!S406</f>
        <v>0</v>
      </c>
      <c r="AA406" s="347">
        <f>+'NF-KSF-TRIAL-BAL-2021'!T406+'RA-TRIAL-BAL-2021'!T406+'DES-TRIAL-BAL-2021'!T406+'DMP-TRIAL-BAL-2021'!T406</f>
        <v>0</v>
      </c>
      <c r="AB406" s="51"/>
      <c r="AC406" s="575">
        <v>0</v>
      </c>
      <c r="AD406" s="582">
        <v>0</v>
      </c>
      <c r="AE406" s="579">
        <v>0</v>
      </c>
      <c r="AF406" s="582">
        <v>0</v>
      </c>
      <c r="AG406" s="27">
        <f t="shared" si="215"/>
        <v>0</v>
      </c>
      <c r="AH406" s="28">
        <f t="shared" si="216"/>
        <v>0</v>
      </c>
      <c r="AI406" s="51"/>
      <c r="AJ406" s="1733">
        <f t="shared" si="226"/>
        <v>6035</v>
      </c>
      <c r="AK406" s="575">
        <v>0</v>
      </c>
      <c r="AL406" s="582">
        <v>0</v>
      </c>
      <c r="AM406" s="837">
        <f t="shared" si="227"/>
        <v>75804.42</v>
      </c>
      <c r="AN406" s="2135">
        <f t="shared" si="228"/>
        <v>0</v>
      </c>
      <c r="AO406" s="583">
        <f t="shared" si="218"/>
        <v>75804.42</v>
      </c>
      <c r="AP406" s="580">
        <f t="shared" si="219"/>
        <v>0</v>
      </c>
      <c r="AQ406" s="43"/>
      <c r="AR406" s="358">
        <f t="shared" si="220"/>
        <v>0</v>
      </c>
      <c r="AS406" s="359">
        <f t="shared" si="221"/>
        <v>0</v>
      </c>
      <c r="AT406" s="360">
        <f t="shared" si="222"/>
        <v>0</v>
      </c>
      <c r="AU406" s="43"/>
      <c r="AV406" s="43"/>
      <c r="AW406" s="119"/>
      <c r="AX406" s="2125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25">
        <v>8534.8700000000008</v>
      </c>
      <c r="R407" s="324"/>
      <c r="S407" s="27">
        <f t="shared" si="224"/>
        <v>8534.8700000000008</v>
      </c>
      <c r="T407" s="28">
        <f t="shared" si="225"/>
        <v>0</v>
      </c>
      <c r="U407" s="51"/>
      <c r="V407" s="541">
        <f>+'NF-KSF-TRIAL-BAL-2021'!O407+'RA-TRIAL-BAL-2021'!O407+'DES-TRIAL-BAL-2021'!O407+'DMP-TRIAL-BAL-2021'!O407</f>
        <v>0</v>
      </c>
      <c r="W407" s="529">
        <f>+'NF-KSF-TRIAL-BAL-2021'!P407+'RA-TRIAL-BAL-2021'!P407+'DES-TRIAL-BAL-2021'!P407+'DMP-TRIAL-BAL-2021'!P407</f>
        <v>0</v>
      </c>
      <c r="X407" s="528">
        <f>+'NF-KSF-TRIAL-BAL-2021'!Q407+'RA-TRIAL-BAL-2021'!Q407+'DES-TRIAL-BAL-2021'!Q407+'DMP-TRIAL-BAL-2021'!Q407</f>
        <v>0</v>
      </c>
      <c r="Y407" s="529">
        <f>+'NF-KSF-TRIAL-BAL-2021'!R407+'RA-TRIAL-BAL-2021'!R407+'DES-TRIAL-BAL-2021'!R407+'DMP-TRIAL-BAL-2021'!R407</f>
        <v>0</v>
      </c>
      <c r="Z407" s="528">
        <f>+'NF-KSF-TRIAL-BAL-2021'!S407+'RA-TRIAL-BAL-2021'!S407+'DES-TRIAL-BAL-2021'!S407+'DMP-TRIAL-BAL-2021'!S407</f>
        <v>0</v>
      </c>
      <c r="AA407" s="347">
        <f>+'NF-KSF-TRIAL-BAL-2021'!T407+'RA-TRIAL-BAL-2021'!T407+'DES-TRIAL-BAL-2021'!T407+'DMP-TRIAL-BAL-2021'!T407</f>
        <v>0</v>
      </c>
      <c r="AB407" s="51"/>
      <c r="AC407" s="575">
        <v>0</v>
      </c>
      <c r="AD407" s="582">
        <v>0</v>
      </c>
      <c r="AE407" s="579">
        <v>0</v>
      </c>
      <c r="AF407" s="582">
        <v>0</v>
      </c>
      <c r="AG407" s="27">
        <f t="shared" si="215"/>
        <v>0</v>
      </c>
      <c r="AH407" s="28">
        <f t="shared" si="216"/>
        <v>0</v>
      </c>
      <c r="AI407" s="51"/>
      <c r="AJ407" s="1733">
        <f t="shared" si="226"/>
        <v>6036</v>
      </c>
      <c r="AK407" s="575">
        <v>0</v>
      </c>
      <c r="AL407" s="582">
        <v>0</v>
      </c>
      <c r="AM407" s="837">
        <f t="shared" si="227"/>
        <v>8534.8700000000008</v>
      </c>
      <c r="AN407" s="2135">
        <f t="shared" si="228"/>
        <v>0</v>
      </c>
      <c r="AO407" s="583">
        <f t="shared" si="218"/>
        <v>8534.8700000000008</v>
      </c>
      <c r="AP407" s="580">
        <f t="shared" si="219"/>
        <v>0</v>
      </c>
      <c r="AQ407" s="43"/>
      <c r="AR407" s="358">
        <f t="shared" si="220"/>
        <v>0</v>
      </c>
      <c r="AS407" s="359">
        <f t="shared" si="221"/>
        <v>0</v>
      </c>
      <c r="AT407" s="360">
        <f t="shared" si="222"/>
        <v>0</v>
      </c>
      <c r="AU407" s="43"/>
      <c r="AV407" s="43"/>
      <c r="AW407" s="119"/>
      <c r="AX407" s="2125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 t="s">
        <v>265</v>
      </c>
      <c r="N408" s="1733">
        <f t="shared" si="212"/>
        <v>6037</v>
      </c>
      <c r="O408" s="575">
        <v>0</v>
      </c>
      <c r="P408" s="582">
        <v>0</v>
      </c>
      <c r="Q408" s="579">
        <v>0</v>
      </c>
      <c r="R408" s="582">
        <v>0</v>
      </c>
      <c r="S408" s="583">
        <f>+IF(ABS(+O408+Q408)&gt;=ABS(P408+R408),+O408-P408+Q408-R408,0)</f>
        <v>0</v>
      </c>
      <c r="T408" s="580">
        <f t="shared" ref="T408:T414" si="230">+IF(ABS(+O408+Q408)&lt;=ABS(P408+R408),-O408+P408-Q408+R408,0)</f>
        <v>0</v>
      </c>
      <c r="U408" s="51"/>
      <c r="V408" s="585">
        <f>+'NF-KSF-TRIAL-BAL-2021'!O408+'RA-TRIAL-BAL-2021'!O408+'DES-TRIAL-BAL-2021'!O408+'DMP-TRIAL-BAL-2021'!O408</f>
        <v>0</v>
      </c>
      <c r="W408" s="586">
        <f>+'NF-KSF-TRIAL-BAL-2021'!P408+'RA-TRIAL-BAL-2021'!P408+'DES-TRIAL-BAL-2021'!P408+'DMP-TRIAL-BAL-2021'!P408</f>
        <v>0</v>
      </c>
      <c r="X408" s="587">
        <f>+'NF-KSF-TRIAL-BAL-2021'!Q408+'RA-TRIAL-BAL-2021'!Q408+'DES-TRIAL-BAL-2021'!Q408+'DMP-TRIAL-BAL-2021'!Q408</f>
        <v>0</v>
      </c>
      <c r="Y408" s="586">
        <f>+'NF-KSF-TRIAL-BAL-2021'!R408+'RA-TRIAL-BAL-2021'!R408+'DES-TRIAL-BAL-2021'!R408+'DMP-TRIAL-BAL-2021'!R408</f>
        <v>0</v>
      </c>
      <c r="Z408" s="587">
        <f>+'NF-KSF-TRIAL-BAL-2021'!S408+'RA-TRIAL-BAL-2021'!S408+'DES-TRIAL-BAL-2021'!S408+'DMP-TRIAL-BAL-2021'!S408</f>
        <v>0</v>
      </c>
      <c r="AA408" s="588">
        <f>+'NF-KSF-TRIAL-BAL-2021'!T408+'RA-TRIAL-BAL-2021'!T408+'DES-TRIAL-BAL-2021'!T408+'DMP-TRIAL-BAL-2021'!T408</f>
        <v>0</v>
      </c>
      <c r="AB408" s="51"/>
      <c r="AC408" s="8">
        <v>0</v>
      </c>
      <c r="AD408" s="9">
        <v>0</v>
      </c>
      <c r="AE408" s="122">
        <v>1642835.96</v>
      </c>
      <c r="AF408" s="121"/>
      <c r="AG408" s="27">
        <f t="shared" si="215"/>
        <v>1642835.96</v>
      </c>
      <c r="AH408" s="28">
        <f t="shared" si="216"/>
        <v>0</v>
      </c>
      <c r="AI408" s="51"/>
      <c r="AJ408" s="1733">
        <f>+N408</f>
        <v>6037</v>
      </c>
      <c r="AK408" s="575">
        <v>0</v>
      </c>
      <c r="AL408" s="582">
        <v>0</v>
      </c>
      <c r="AM408" s="837">
        <f t="shared" si="227"/>
        <v>1642835.96</v>
      </c>
      <c r="AN408" s="2135">
        <f t="shared" si="228"/>
        <v>0</v>
      </c>
      <c r="AO408" s="583">
        <f t="shared" si="218"/>
        <v>1642835.96</v>
      </c>
      <c r="AP408" s="580">
        <f t="shared" si="219"/>
        <v>0</v>
      </c>
      <c r="AQ408" s="43"/>
      <c r="AR408" s="358">
        <f>+ROUND(+SUM(AK408-AL408)-SUM(O408-P408)-SUM(V408-W408)-SUM(AC408-AD408),2)</f>
        <v>0</v>
      </c>
      <c r="AS408" s="359">
        <f>+ROUND(+SUM(AM408-AN408)-SUM(Q408-R408)-SUM(X408-Y408)-SUM(AE408-AF408),2)</f>
        <v>0</v>
      </c>
      <c r="AT408" s="360">
        <f>+ROUND(+SUM(AO408-AP408)-SUM(S408-T408)-SUM(Z408-AA408)-SUM(AG408-AH408),2)</f>
        <v>0</v>
      </c>
      <c r="AU408" s="43"/>
      <c r="AV408" s="2125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 t="s">
        <v>265</v>
      </c>
      <c r="N409" s="113">
        <f>+A409</f>
        <v>6039</v>
      </c>
      <c r="O409" s="8">
        <v>0</v>
      </c>
      <c r="P409" s="9">
        <v>0</v>
      </c>
      <c r="Q409" s="325">
        <v>142.19999999999999</v>
      </c>
      <c r="R409" s="324"/>
      <c r="S409" s="27">
        <f>+IF(ABS(+O409+Q409)&gt;=ABS(P409+R409),+O409-P409+Q409-R409,0)</f>
        <v>142.19999999999999</v>
      </c>
      <c r="T409" s="28">
        <f t="shared" si="230"/>
        <v>0</v>
      </c>
      <c r="U409" s="51"/>
      <c r="V409" s="541">
        <f>+'NF-KSF-TRIAL-BAL-2021'!O409+'RA-TRIAL-BAL-2021'!O409+'DES-TRIAL-BAL-2021'!O409+'DMP-TRIAL-BAL-2021'!O409</f>
        <v>0</v>
      </c>
      <c r="W409" s="529">
        <f>+'NF-KSF-TRIAL-BAL-2021'!P409+'RA-TRIAL-BAL-2021'!P409+'DES-TRIAL-BAL-2021'!P409+'DMP-TRIAL-BAL-2021'!P409</f>
        <v>0</v>
      </c>
      <c r="X409" s="528">
        <f>+'NF-KSF-TRIAL-BAL-2021'!Q409+'RA-TRIAL-BAL-2021'!Q409+'DES-TRIAL-BAL-2021'!Q409+'DMP-TRIAL-BAL-2021'!Q409</f>
        <v>0</v>
      </c>
      <c r="Y409" s="529">
        <f>+'NF-KSF-TRIAL-BAL-2021'!R409+'RA-TRIAL-BAL-2021'!R409+'DES-TRIAL-BAL-2021'!R409+'DMP-TRIAL-BAL-2021'!R409</f>
        <v>0</v>
      </c>
      <c r="Z409" s="528">
        <f>+'NF-KSF-TRIAL-BAL-2021'!S409+'RA-TRIAL-BAL-2021'!S409+'DES-TRIAL-BAL-2021'!S409+'DMP-TRIAL-BAL-2021'!S409</f>
        <v>0</v>
      </c>
      <c r="AA409" s="347">
        <f>+'NF-KSF-TRIAL-BAL-2021'!T409+'RA-TRIAL-BAL-2021'!T409+'DES-TRIAL-BAL-2021'!T409+'DMP-TRIAL-BAL-2021'!T409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33">
        <f t="shared" si="226"/>
        <v>6039</v>
      </c>
      <c r="AK409" s="575">
        <v>0</v>
      </c>
      <c r="AL409" s="582">
        <v>0</v>
      </c>
      <c r="AM409" s="837">
        <f t="shared" si="227"/>
        <v>142.19999999999999</v>
      </c>
      <c r="AN409" s="2135">
        <f t="shared" si="228"/>
        <v>0</v>
      </c>
      <c r="AO409" s="583">
        <f t="shared" si="218"/>
        <v>142.19999999999999</v>
      </c>
      <c r="AP409" s="580">
        <f t="shared" si="219"/>
        <v>0</v>
      </c>
      <c r="AQ409" s="43"/>
      <c r="AR409" s="358">
        <f t="shared" si="220"/>
        <v>0</v>
      </c>
      <c r="AS409" s="359">
        <f t="shared" si="221"/>
        <v>0</v>
      </c>
      <c r="AT409" s="360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25">
        <v>144853.84</v>
      </c>
      <c r="R410" s="324"/>
      <c r="S410" s="27">
        <f t="shared" ref="S410:S415" si="231">+IF(ABS(+O410+Q410)&gt;=ABS(P410+R410),+O410-P410+Q410-R410,0)</f>
        <v>144853.84</v>
      </c>
      <c r="T410" s="28">
        <f t="shared" si="230"/>
        <v>0</v>
      </c>
      <c r="U410" s="51"/>
      <c r="V410" s="541">
        <f>+'NF-KSF-TRIAL-BAL-2021'!O410+'RA-TRIAL-BAL-2021'!O410+'DES-TRIAL-BAL-2021'!O410+'DMP-TRIAL-BAL-2021'!O410</f>
        <v>0</v>
      </c>
      <c r="W410" s="529">
        <f>+'NF-KSF-TRIAL-BAL-2021'!P410+'RA-TRIAL-BAL-2021'!P410+'DES-TRIAL-BAL-2021'!P410+'DMP-TRIAL-BAL-2021'!P410</f>
        <v>0</v>
      </c>
      <c r="X410" s="528">
        <f>+'NF-KSF-TRIAL-BAL-2021'!Q410+'RA-TRIAL-BAL-2021'!Q410+'DES-TRIAL-BAL-2021'!Q410+'DMP-TRIAL-BAL-2021'!Q410</f>
        <v>10436.870000000001</v>
      </c>
      <c r="Y410" s="529">
        <f>+'NF-KSF-TRIAL-BAL-2021'!R410+'RA-TRIAL-BAL-2021'!R410+'DES-TRIAL-BAL-2021'!R410+'DMP-TRIAL-BAL-2021'!R410</f>
        <v>0</v>
      </c>
      <c r="Z410" s="528">
        <f>+'NF-KSF-TRIAL-BAL-2021'!S410+'RA-TRIAL-BAL-2021'!S410+'DES-TRIAL-BAL-2021'!S410+'DMP-TRIAL-BAL-2021'!S410</f>
        <v>10436.870000000001</v>
      </c>
      <c r="AA410" s="347">
        <f>+'NF-KSF-TRIAL-BAL-2021'!T410+'RA-TRIAL-BAL-2021'!T410+'DES-TRIAL-BAL-2021'!T410+'DMP-TRIAL-BAL-2021'!T410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97">
        <f t="shared" si="226"/>
        <v>6041</v>
      </c>
      <c r="AK410" s="8">
        <v>0</v>
      </c>
      <c r="AL410" s="9">
        <v>0</v>
      </c>
      <c r="AM410" s="326">
        <f t="shared" ref="AM410:AN482" si="233">+ROUND(+Q410+X410+AE410,2)</f>
        <v>155290.71</v>
      </c>
      <c r="AN410" s="970">
        <f t="shared" si="233"/>
        <v>0</v>
      </c>
      <c r="AO410" s="326">
        <f t="shared" si="218"/>
        <v>155290.71</v>
      </c>
      <c r="AP410" s="327">
        <f t="shared" si="219"/>
        <v>0</v>
      </c>
      <c r="AQ410" s="43"/>
      <c r="AR410" s="358">
        <f t="shared" si="220"/>
        <v>0</v>
      </c>
      <c r="AS410" s="359">
        <f t="shared" si="221"/>
        <v>0</v>
      </c>
      <c r="AT410" s="360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25">
        <v>3530419.49</v>
      </c>
      <c r="R411" s="324"/>
      <c r="S411" s="27">
        <f t="shared" si="231"/>
        <v>3530419.49</v>
      </c>
      <c r="T411" s="28">
        <f t="shared" si="230"/>
        <v>0</v>
      </c>
      <c r="U411" s="51"/>
      <c r="V411" s="541">
        <f>+'NF-KSF-TRIAL-BAL-2021'!O411+'RA-TRIAL-BAL-2021'!O411+'DES-TRIAL-BAL-2021'!O411+'DMP-TRIAL-BAL-2021'!O411</f>
        <v>0</v>
      </c>
      <c r="W411" s="529">
        <f>+'NF-KSF-TRIAL-BAL-2021'!P411+'RA-TRIAL-BAL-2021'!P411+'DES-TRIAL-BAL-2021'!P411+'DMP-TRIAL-BAL-2021'!P411</f>
        <v>0</v>
      </c>
      <c r="X411" s="528">
        <f>+'NF-KSF-TRIAL-BAL-2021'!Q411+'RA-TRIAL-BAL-2021'!Q411+'DES-TRIAL-BAL-2021'!Q411+'DMP-TRIAL-BAL-2021'!Q411</f>
        <v>139945.91</v>
      </c>
      <c r="Y411" s="529">
        <f>+'NF-KSF-TRIAL-BAL-2021'!R411+'RA-TRIAL-BAL-2021'!R411+'DES-TRIAL-BAL-2021'!R411+'DMP-TRIAL-BAL-2021'!R411</f>
        <v>0</v>
      </c>
      <c r="Z411" s="528">
        <f>+'NF-KSF-TRIAL-BAL-2021'!S411+'RA-TRIAL-BAL-2021'!S411+'DES-TRIAL-BAL-2021'!S411+'DMP-TRIAL-BAL-2021'!S411</f>
        <v>139945.91</v>
      </c>
      <c r="AA411" s="347">
        <f>+'NF-KSF-TRIAL-BAL-2021'!T411+'RA-TRIAL-BAL-2021'!T411+'DES-TRIAL-BAL-2021'!T411+'DMP-TRIAL-BAL-2021'!T411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97">
        <f t="shared" si="226"/>
        <v>6042</v>
      </c>
      <c r="AK411" s="8">
        <v>0</v>
      </c>
      <c r="AL411" s="9">
        <v>0</v>
      </c>
      <c r="AM411" s="326">
        <f t="shared" si="233"/>
        <v>3670365.4</v>
      </c>
      <c r="AN411" s="970">
        <f t="shared" si="233"/>
        <v>0</v>
      </c>
      <c r="AO411" s="326">
        <f t="shared" si="218"/>
        <v>3670365.4000000004</v>
      </c>
      <c r="AP411" s="327">
        <f t="shared" si="219"/>
        <v>0</v>
      </c>
      <c r="AQ411" s="43"/>
      <c r="AR411" s="358">
        <f t="shared" si="220"/>
        <v>0</v>
      </c>
      <c r="AS411" s="359">
        <f t="shared" si="221"/>
        <v>0</v>
      </c>
      <c r="AT411" s="360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25">
        <v>1222263.5</v>
      </c>
      <c r="R412" s="324"/>
      <c r="S412" s="27">
        <f t="shared" si="231"/>
        <v>1222263.5</v>
      </c>
      <c r="T412" s="28">
        <f t="shared" si="230"/>
        <v>0</v>
      </c>
      <c r="U412" s="51"/>
      <c r="V412" s="541">
        <f>+'NF-KSF-TRIAL-BAL-2021'!O412+'RA-TRIAL-BAL-2021'!O412+'DES-TRIAL-BAL-2021'!O412+'DMP-TRIAL-BAL-2021'!O412</f>
        <v>0</v>
      </c>
      <c r="W412" s="529">
        <f>+'NF-KSF-TRIAL-BAL-2021'!P412+'RA-TRIAL-BAL-2021'!P412+'DES-TRIAL-BAL-2021'!P412+'DMP-TRIAL-BAL-2021'!P412</f>
        <v>0</v>
      </c>
      <c r="X412" s="528">
        <f>+'NF-KSF-TRIAL-BAL-2021'!Q412+'RA-TRIAL-BAL-2021'!Q412+'DES-TRIAL-BAL-2021'!Q412+'DMP-TRIAL-BAL-2021'!Q412</f>
        <v>108563.75</v>
      </c>
      <c r="Y412" s="529">
        <f>+'NF-KSF-TRIAL-BAL-2021'!R412+'RA-TRIAL-BAL-2021'!R412+'DES-TRIAL-BAL-2021'!R412+'DMP-TRIAL-BAL-2021'!R412</f>
        <v>0</v>
      </c>
      <c r="Z412" s="528">
        <f>+'NF-KSF-TRIAL-BAL-2021'!S412+'RA-TRIAL-BAL-2021'!S412+'DES-TRIAL-BAL-2021'!S412+'DMP-TRIAL-BAL-2021'!S412</f>
        <v>108563.75</v>
      </c>
      <c r="AA412" s="347">
        <f>+'NF-KSF-TRIAL-BAL-2021'!T412+'RA-TRIAL-BAL-2021'!T412+'DES-TRIAL-BAL-2021'!T412+'DMP-TRIAL-BAL-2021'!T412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97">
        <f t="shared" si="226"/>
        <v>6043</v>
      </c>
      <c r="AK412" s="8">
        <v>0</v>
      </c>
      <c r="AL412" s="9">
        <v>0</v>
      </c>
      <c r="AM412" s="326">
        <f t="shared" si="233"/>
        <v>1330827.25</v>
      </c>
      <c r="AN412" s="970">
        <f t="shared" si="233"/>
        <v>0</v>
      </c>
      <c r="AO412" s="326">
        <f t="shared" si="218"/>
        <v>1330827.25</v>
      </c>
      <c r="AP412" s="327">
        <f t="shared" si="219"/>
        <v>0</v>
      </c>
      <c r="AQ412" s="43"/>
      <c r="AR412" s="358">
        <f t="shared" si="220"/>
        <v>0</v>
      </c>
      <c r="AS412" s="359">
        <f t="shared" si="221"/>
        <v>0</v>
      </c>
      <c r="AT412" s="360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25">
        <v>210219.99</v>
      </c>
      <c r="R413" s="324"/>
      <c r="S413" s="27">
        <f t="shared" si="231"/>
        <v>210219.99</v>
      </c>
      <c r="T413" s="28">
        <f t="shared" si="230"/>
        <v>0</v>
      </c>
      <c r="U413" s="51"/>
      <c r="V413" s="541">
        <f>+'NF-KSF-TRIAL-BAL-2021'!O413+'RA-TRIAL-BAL-2021'!O413+'DES-TRIAL-BAL-2021'!O413+'DMP-TRIAL-BAL-2021'!O413</f>
        <v>0</v>
      </c>
      <c r="W413" s="529">
        <f>+'NF-KSF-TRIAL-BAL-2021'!P413+'RA-TRIAL-BAL-2021'!P413+'DES-TRIAL-BAL-2021'!P413+'DMP-TRIAL-BAL-2021'!P413</f>
        <v>0</v>
      </c>
      <c r="X413" s="528">
        <f>+'NF-KSF-TRIAL-BAL-2021'!Q413+'RA-TRIAL-BAL-2021'!Q413+'DES-TRIAL-BAL-2021'!Q413+'DMP-TRIAL-BAL-2021'!Q413</f>
        <v>4042.5</v>
      </c>
      <c r="Y413" s="529">
        <f>+'NF-KSF-TRIAL-BAL-2021'!R413+'RA-TRIAL-BAL-2021'!R413+'DES-TRIAL-BAL-2021'!R413+'DMP-TRIAL-BAL-2021'!R413</f>
        <v>0</v>
      </c>
      <c r="Z413" s="528">
        <f>+'NF-KSF-TRIAL-BAL-2021'!S413+'RA-TRIAL-BAL-2021'!S413+'DES-TRIAL-BAL-2021'!S413+'DMP-TRIAL-BAL-2021'!S413</f>
        <v>4042.5</v>
      </c>
      <c r="AA413" s="347">
        <f>+'NF-KSF-TRIAL-BAL-2021'!T413+'RA-TRIAL-BAL-2021'!T413+'DES-TRIAL-BAL-2021'!T413+'DMP-TRIAL-BAL-2021'!T413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97">
        <f t="shared" si="226"/>
        <v>6044</v>
      </c>
      <c r="AK413" s="8">
        <v>0</v>
      </c>
      <c r="AL413" s="9">
        <v>0</v>
      </c>
      <c r="AM413" s="326">
        <f t="shared" si="233"/>
        <v>214262.49</v>
      </c>
      <c r="AN413" s="970">
        <f t="shared" si="233"/>
        <v>0</v>
      </c>
      <c r="AO413" s="326">
        <f t="shared" si="218"/>
        <v>214262.49</v>
      </c>
      <c r="AP413" s="327">
        <f t="shared" si="219"/>
        <v>0</v>
      </c>
      <c r="AQ413" s="43"/>
      <c r="AR413" s="358">
        <f t="shared" si="220"/>
        <v>0</v>
      </c>
      <c r="AS413" s="359">
        <f t="shared" si="221"/>
        <v>0</v>
      </c>
      <c r="AT413" s="360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25"/>
      <c r="R414" s="324"/>
      <c r="S414" s="27">
        <f t="shared" si="231"/>
        <v>0</v>
      </c>
      <c r="T414" s="28">
        <f t="shared" si="230"/>
        <v>0</v>
      </c>
      <c r="U414" s="51"/>
      <c r="V414" s="541">
        <f>+'NF-KSF-TRIAL-BAL-2021'!O414+'RA-TRIAL-BAL-2021'!O414+'DES-TRIAL-BAL-2021'!O414+'DMP-TRIAL-BAL-2021'!O414</f>
        <v>0</v>
      </c>
      <c r="W414" s="529">
        <f>+'NF-KSF-TRIAL-BAL-2021'!P414+'RA-TRIAL-BAL-2021'!P414+'DES-TRIAL-BAL-2021'!P414+'DMP-TRIAL-BAL-2021'!P414</f>
        <v>0</v>
      </c>
      <c r="X414" s="528">
        <f>+'NF-KSF-TRIAL-BAL-2021'!Q414+'RA-TRIAL-BAL-2021'!Q414+'DES-TRIAL-BAL-2021'!Q414+'DMP-TRIAL-BAL-2021'!Q414</f>
        <v>0</v>
      </c>
      <c r="Y414" s="529">
        <f>+'NF-KSF-TRIAL-BAL-2021'!R414+'RA-TRIAL-BAL-2021'!R414+'DES-TRIAL-BAL-2021'!R414+'DMP-TRIAL-BAL-2021'!R414</f>
        <v>0</v>
      </c>
      <c r="Z414" s="528">
        <f>+'NF-KSF-TRIAL-BAL-2021'!S414+'RA-TRIAL-BAL-2021'!S414+'DES-TRIAL-BAL-2021'!S414+'DMP-TRIAL-BAL-2021'!S414</f>
        <v>0</v>
      </c>
      <c r="AA414" s="347">
        <f>+'NF-KSF-TRIAL-BAL-2021'!T414+'RA-TRIAL-BAL-2021'!T414+'DES-TRIAL-BAL-2021'!T414+'DMP-TRIAL-BAL-2021'!T414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97">
        <f t="shared" si="226"/>
        <v>6046</v>
      </c>
      <c r="AK414" s="8">
        <v>0</v>
      </c>
      <c r="AL414" s="9">
        <v>0</v>
      </c>
      <c r="AM414" s="326">
        <f t="shared" si="233"/>
        <v>0</v>
      </c>
      <c r="AN414" s="970">
        <f t="shared" si="233"/>
        <v>0</v>
      </c>
      <c r="AO414" s="326">
        <f t="shared" si="218"/>
        <v>0</v>
      </c>
      <c r="AP414" s="327">
        <f t="shared" si="219"/>
        <v>0</v>
      </c>
      <c r="AQ414" s="43"/>
      <c r="AR414" s="358">
        <f t="shared" si="220"/>
        <v>0</v>
      </c>
      <c r="AS414" s="359">
        <f t="shared" si="221"/>
        <v>0</v>
      </c>
      <c r="AT414" s="360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25"/>
      <c r="R415" s="324"/>
      <c r="S415" s="27">
        <f t="shared" si="231"/>
        <v>0</v>
      </c>
      <c r="T415" s="30">
        <v>0</v>
      </c>
      <c r="U415" s="51"/>
      <c r="V415" s="541">
        <f>+'NF-KSF-TRIAL-BAL-2021'!O415+'RA-TRIAL-BAL-2021'!O415+'DES-TRIAL-BAL-2021'!O415+'DMP-TRIAL-BAL-2021'!O415</f>
        <v>0</v>
      </c>
      <c r="W415" s="529">
        <f>+'NF-KSF-TRIAL-BAL-2021'!P415+'RA-TRIAL-BAL-2021'!P415+'DES-TRIAL-BAL-2021'!P415+'DMP-TRIAL-BAL-2021'!P415</f>
        <v>0</v>
      </c>
      <c r="X415" s="528">
        <f>+'NF-KSF-TRIAL-BAL-2021'!Q415+'RA-TRIAL-BAL-2021'!Q415+'DES-TRIAL-BAL-2021'!Q415+'DMP-TRIAL-BAL-2021'!Q415</f>
        <v>0</v>
      </c>
      <c r="Y415" s="529">
        <f>+'NF-KSF-TRIAL-BAL-2021'!R415+'RA-TRIAL-BAL-2021'!R415+'DES-TRIAL-BAL-2021'!R415+'DMP-TRIAL-BAL-2021'!R415</f>
        <v>0</v>
      </c>
      <c r="Z415" s="528">
        <f>+'NF-KSF-TRIAL-BAL-2021'!S415+'RA-TRIAL-BAL-2021'!S415+'DES-TRIAL-BAL-2021'!S415+'DMP-TRIAL-BAL-2021'!S415</f>
        <v>0</v>
      </c>
      <c r="AA415" s="347">
        <f>+'NF-KSF-TRIAL-BAL-2021'!T415+'RA-TRIAL-BAL-2021'!T415+'DES-TRIAL-BAL-2021'!T415+'DMP-TRIAL-BAL-2021'!T415</f>
        <v>0</v>
      </c>
      <c r="AB415" s="51"/>
      <c r="AC415" s="8">
        <v>0</v>
      </c>
      <c r="AD415" s="9">
        <v>0</v>
      </c>
      <c r="AE415" s="122"/>
      <c r="AF415" s="324"/>
      <c r="AG415" s="27">
        <f t="shared" si="232"/>
        <v>0</v>
      </c>
      <c r="AH415" s="30">
        <v>0</v>
      </c>
      <c r="AI415" s="51"/>
      <c r="AJ415" s="1497">
        <f t="shared" si="226"/>
        <v>6047</v>
      </c>
      <c r="AK415" s="8">
        <v>0</v>
      </c>
      <c r="AL415" s="9">
        <v>0</v>
      </c>
      <c r="AM415" s="326">
        <f t="shared" si="233"/>
        <v>0</v>
      </c>
      <c r="AN415" s="970">
        <f t="shared" si="233"/>
        <v>0</v>
      </c>
      <c r="AO415" s="326">
        <f t="shared" si="218"/>
        <v>0</v>
      </c>
      <c r="AP415" s="30">
        <v>0</v>
      </c>
      <c r="AQ415" s="43"/>
      <c r="AR415" s="358">
        <f t="shared" si="220"/>
        <v>0</v>
      </c>
      <c r="AS415" s="359">
        <f t="shared" si="221"/>
        <v>0</v>
      </c>
      <c r="AT415" s="360">
        <f t="shared" si="222"/>
        <v>0</v>
      </c>
      <c r="AU415" s="43"/>
      <c r="AV415" s="2120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120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25"/>
      <c r="R416" s="324">
        <v>262761.02</v>
      </c>
      <c r="S416" s="29">
        <v>0</v>
      </c>
      <c r="T416" s="28">
        <f t="shared" ref="T416:T482" si="234">+IF(ABS(+O416+Q416)&lt;=ABS(P416+R416),-O416+P416-Q416+R416,0)</f>
        <v>262761.02</v>
      </c>
      <c r="U416" s="51"/>
      <c r="V416" s="541">
        <f>+'NF-KSF-TRIAL-BAL-2021'!O416+'RA-TRIAL-BAL-2021'!O416+'DES-TRIAL-BAL-2021'!O416+'DMP-TRIAL-BAL-2021'!O416</f>
        <v>0</v>
      </c>
      <c r="W416" s="529">
        <f>+'NF-KSF-TRIAL-BAL-2021'!P416+'RA-TRIAL-BAL-2021'!P416+'DES-TRIAL-BAL-2021'!P416+'DMP-TRIAL-BAL-2021'!P416</f>
        <v>0</v>
      </c>
      <c r="X416" s="528">
        <f>+'NF-KSF-TRIAL-BAL-2021'!Q416+'RA-TRIAL-BAL-2021'!Q416+'DES-TRIAL-BAL-2021'!Q416+'DMP-TRIAL-BAL-2021'!Q416</f>
        <v>0</v>
      </c>
      <c r="Y416" s="529">
        <f>+'NF-KSF-TRIAL-BAL-2021'!R416+'RA-TRIAL-BAL-2021'!R416+'DES-TRIAL-BAL-2021'!R416+'DMP-TRIAL-BAL-2021'!R416</f>
        <v>0</v>
      </c>
      <c r="Z416" s="528">
        <f>+'NF-KSF-TRIAL-BAL-2021'!S416+'RA-TRIAL-BAL-2021'!S416+'DES-TRIAL-BAL-2021'!S416+'DMP-TRIAL-BAL-2021'!S416</f>
        <v>0</v>
      </c>
      <c r="AA416" s="347">
        <f>+'NF-KSF-TRIAL-BAL-2021'!T416+'RA-TRIAL-BAL-2021'!T416+'DES-TRIAL-BAL-2021'!T416+'DMP-TRIAL-BAL-2021'!T416</f>
        <v>0</v>
      </c>
      <c r="AB416" s="51"/>
      <c r="AC416" s="8">
        <v>0</v>
      </c>
      <c r="AD416" s="9">
        <v>0</v>
      </c>
      <c r="AE416" s="122"/>
      <c r="AF416" s="324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97">
        <f t="shared" si="226"/>
        <v>6048</v>
      </c>
      <c r="AK416" s="8">
        <v>0</v>
      </c>
      <c r="AL416" s="9">
        <v>0</v>
      </c>
      <c r="AM416" s="326">
        <f t="shared" si="233"/>
        <v>0</v>
      </c>
      <c r="AN416" s="970">
        <f t="shared" si="233"/>
        <v>262761.02</v>
      </c>
      <c r="AO416" s="8">
        <v>0</v>
      </c>
      <c r="AP416" s="327">
        <f t="shared" si="219"/>
        <v>262761.02</v>
      </c>
      <c r="AQ416" s="43"/>
      <c r="AR416" s="358">
        <f t="shared" si="220"/>
        <v>0</v>
      </c>
      <c r="AS416" s="359">
        <f t="shared" si="221"/>
        <v>0</v>
      </c>
      <c r="AT416" s="360">
        <f t="shared" si="222"/>
        <v>0</v>
      </c>
      <c r="AU416" s="43"/>
      <c r="AV416" s="2119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119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25">
        <v>28001.72</v>
      </c>
      <c r="R417" s="324">
        <v>158.78</v>
      </c>
      <c r="S417" s="27">
        <f>+IF(ABS(+O417+Q417)&gt;=ABS(P417+R417),+O417-P417+Q417-R417,0)</f>
        <v>27842.940000000002</v>
      </c>
      <c r="T417" s="28">
        <f t="shared" si="234"/>
        <v>0</v>
      </c>
      <c r="U417" s="51"/>
      <c r="V417" s="541">
        <f>+'NF-KSF-TRIAL-BAL-2021'!O417+'RA-TRIAL-BAL-2021'!O417+'DES-TRIAL-BAL-2021'!O417+'DMP-TRIAL-BAL-2021'!O417</f>
        <v>0</v>
      </c>
      <c r="W417" s="529">
        <f>+'NF-KSF-TRIAL-BAL-2021'!P417+'RA-TRIAL-BAL-2021'!P417+'DES-TRIAL-BAL-2021'!P417+'DMP-TRIAL-BAL-2021'!P417</f>
        <v>0</v>
      </c>
      <c r="X417" s="528">
        <f>+'NF-KSF-TRIAL-BAL-2021'!Q417+'RA-TRIAL-BAL-2021'!Q417+'DES-TRIAL-BAL-2021'!Q417+'DMP-TRIAL-BAL-2021'!Q417</f>
        <v>0</v>
      </c>
      <c r="Y417" s="529">
        <f>+'NF-KSF-TRIAL-BAL-2021'!R417+'RA-TRIAL-BAL-2021'!R417+'DES-TRIAL-BAL-2021'!R417+'DMP-TRIAL-BAL-2021'!R417</f>
        <v>0</v>
      </c>
      <c r="Z417" s="528">
        <f>+'NF-KSF-TRIAL-BAL-2021'!S417+'RA-TRIAL-BAL-2021'!S417+'DES-TRIAL-BAL-2021'!S417+'DMP-TRIAL-BAL-2021'!S417</f>
        <v>0</v>
      </c>
      <c r="AA417" s="347">
        <f>+'NF-KSF-TRIAL-BAL-2021'!T417+'RA-TRIAL-BAL-2021'!T417+'DES-TRIAL-BAL-2021'!T417+'DMP-TRIAL-BAL-2021'!T417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97">
        <f>+N417</f>
        <v>6049</v>
      </c>
      <c r="AK417" s="8">
        <v>0</v>
      </c>
      <c r="AL417" s="9">
        <v>0</v>
      </c>
      <c r="AM417" s="326">
        <f>+ROUND(+Q417+X417+AE417,2)</f>
        <v>28001.72</v>
      </c>
      <c r="AN417" s="970">
        <f>+ROUND(+R417+Y417+AF417,2)</f>
        <v>158.78</v>
      </c>
      <c r="AO417" s="326">
        <f t="shared" ref="AO417:AO480" si="236">+S417+Z417+AG417</f>
        <v>27842.940000000002</v>
      </c>
      <c r="AP417" s="327">
        <f t="shared" ref="AP417:AP480" si="237">+T417+AA417+AH417</f>
        <v>0</v>
      </c>
      <c r="AQ417" s="43"/>
      <c r="AR417" s="358">
        <f>+ROUND(+SUM(AK417-AL417)-SUM(O417-P417)-SUM(V417-W417)-SUM(AC417-AD417),2)</f>
        <v>0</v>
      </c>
      <c r="AS417" s="359">
        <f>+ROUND(+SUM(AM417-AN417)-SUM(Q417-R417)-SUM(X417-Y417)-SUM(AE417-AF417),2)</f>
        <v>0</v>
      </c>
      <c r="AT417" s="360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25">
        <v>681281.33</v>
      </c>
      <c r="R418" s="324"/>
      <c r="S418" s="27">
        <f t="shared" ref="S418:S482" si="238">+IF(ABS(+O418+Q418)&gt;=ABS(P418+R418),+O418-P418+Q418-R418,0)</f>
        <v>681281.33</v>
      </c>
      <c r="T418" s="28">
        <f t="shared" si="234"/>
        <v>0</v>
      </c>
      <c r="U418" s="51"/>
      <c r="V418" s="541">
        <f>+'NF-KSF-TRIAL-BAL-2021'!O418+'RA-TRIAL-BAL-2021'!O418+'DES-TRIAL-BAL-2021'!O418+'DMP-TRIAL-BAL-2021'!O418</f>
        <v>0</v>
      </c>
      <c r="W418" s="529">
        <f>+'NF-KSF-TRIAL-BAL-2021'!P418+'RA-TRIAL-BAL-2021'!P418+'DES-TRIAL-BAL-2021'!P418+'DMP-TRIAL-BAL-2021'!P418</f>
        <v>0</v>
      </c>
      <c r="X418" s="528">
        <f>+'NF-KSF-TRIAL-BAL-2021'!Q418+'RA-TRIAL-BAL-2021'!Q418+'DES-TRIAL-BAL-2021'!Q418+'DMP-TRIAL-BAL-2021'!Q418</f>
        <v>35094.17</v>
      </c>
      <c r="Y418" s="529">
        <f>+'NF-KSF-TRIAL-BAL-2021'!R418+'RA-TRIAL-BAL-2021'!R418+'DES-TRIAL-BAL-2021'!R418+'DMP-TRIAL-BAL-2021'!R418</f>
        <v>0</v>
      </c>
      <c r="Z418" s="528">
        <f>+'NF-KSF-TRIAL-BAL-2021'!S418+'RA-TRIAL-BAL-2021'!S418+'DES-TRIAL-BAL-2021'!S418+'DMP-TRIAL-BAL-2021'!S418</f>
        <v>35094.17</v>
      </c>
      <c r="AA418" s="347">
        <f>+'NF-KSF-TRIAL-BAL-2021'!T418+'RA-TRIAL-BAL-2021'!T418+'DES-TRIAL-BAL-2021'!T418+'DMP-TRIAL-BAL-2021'!T418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97">
        <f t="shared" si="226"/>
        <v>6051</v>
      </c>
      <c r="AK418" s="8">
        <v>0</v>
      </c>
      <c r="AL418" s="9">
        <v>0</v>
      </c>
      <c r="AM418" s="326">
        <f t="shared" si="233"/>
        <v>716375.5</v>
      </c>
      <c r="AN418" s="970">
        <f t="shared" si="233"/>
        <v>0</v>
      </c>
      <c r="AO418" s="326">
        <f t="shared" si="236"/>
        <v>716375.5</v>
      </c>
      <c r="AP418" s="327">
        <f t="shared" si="237"/>
        <v>0</v>
      </c>
      <c r="AQ418" s="43"/>
      <c r="AR418" s="358">
        <f t="shared" si="220"/>
        <v>0</v>
      </c>
      <c r="AS418" s="359">
        <f t="shared" si="221"/>
        <v>0</v>
      </c>
      <c r="AT418" s="360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25">
        <v>244889.24</v>
      </c>
      <c r="R419" s="324"/>
      <c r="S419" s="27">
        <f t="shared" si="238"/>
        <v>244889.24</v>
      </c>
      <c r="T419" s="28">
        <f t="shared" si="234"/>
        <v>0</v>
      </c>
      <c r="U419" s="51"/>
      <c r="V419" s="541">
        <f>+'NF-KSF-TRIAL-BAL-2021'!O419+'RA-TRIAL-BAL-2021'!O419+'DES-TRIAL-BAL-2021'!O419+'DMP-TRIAL-BAL-2021'!O419</f>
        <v>0</v>
      </c>
      <c r="W419" s="529">
        <f>+'NF-KSF-TRIAL-BAL-2021'!P419+'RA-TRIAL-BAL-2021'!P419+'DES-TRIAL-BAL-2021'!P419+'DMP-TRIAL-BAL-2021'!P419</f>
        <v>0</v>
      </c>
      <c r="X419" s="528">
        <f>+'NF-KSF-TRIAL-BAL-2021'!Q419+'RA-TRIAL-BAL-2021'!Q419+'DES-TRIAL-BAL-2021'!Q419+'DMP-TRIAL-BAL-2021'!Q419</f>
        <v>12511.83</v>
      </c>
      <c r="Y419" s="529">
        <f>+'NF-KSF-TRIAL-BAL-2021'!R419+'RA-TRIAL-BAL-2021'!R419+'DES-TRIAL-BAL-2021'!R419+'DMP-TRIAL-BAL-2021'!R419</f>
        <v>0</v>
      </c>
      <c r="Z419" s="528">
        <f>+'NF-KSF-TRIAL-BAL-2021'!S419+'RA-TRIAL-BAL-2021'!S419+'DES-TRIAL-BAL-2021'!S419+'DMP-TRIAL-BAL-2021'!S419</f>
        <v>12511.83</v>
      </c>
      <c r="AA419" s="347">
        <f>+'NF-KSF-TRIAL-BAL-2021'!T419+'RA-TRIAL-BAL-2021'!T419+'DES-TRIAL-BAL-2021'!T419+'DMP-TRIAL-BAL-2021'!T419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97">
        <f t="shared" si="226"/>
        <v>6052</v>
      </c>
      <c r="AK419" s="8">
        <v>0</v>
      </c>
      <c r="AL419" s="9">
        <v>0</v>
      </c>
      <c r="AM419" s="326">
        <f t="shared" si="233"/>
        <v>257401.07</v>
      </c>
      <c r="AN419" s="970">
        <f t="shared" si="233"/>
        <v>0</v>
      </c>
      <c r="AO419" s="326">
        <f t="shared" si="236"/>
        <v>257401.06999999998</v>
      </c>
      <c r="AP419" s="327">
        <f t="shared" si="237"/>
        <v>0</v>
      </c>
      <c r="AQ419" s="43"/>
      <c r="AR419" s="358">
        <f t="shared" si="220"/>
        <v>0</v>
      </c>
      <c r="AS419" s="359">
        <f t="shared" si="221"/>
        <v>0</v>
      </c>
      <c r="AT419" s="360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25"/>
      <c r="R420" s="324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41">
        <f>+'NF-KSF-TRIAL-BAL-2021'!O420+'RA-TRIAL-BAL-2021'!O420+'DES-TRIAL-BAL-2021'!O420+'DMP-TRIAL-BAL-2021'!O420</f>
        <v>0</v>
      </c>
      <c r="W420" s="529">
        <f>+'NF-KSF-TRIAL-BAL-2021'!P420+'RA-TRIAL-BAL-2021'!P420+'DES-TRIAL-BAL-2021'!P420+'DMP-TRIAL-BAL-2021'!P420</f>
        <v>0</v>
      </c>
      <c r="X420" s="528">
        <f>+'NF-KSF-TRIAL-BAL-2021'!Q420+'RA-TRIAL-BAL-2021'!Q420+'DES-TRIAL-BAL-2021'!Q420+'DMP-TRIAL-BAL-2021'!Q420</f>
        <v>0</v>
      </c>
      <c r="Y420" s="529">
        <f>+'NF-KSF-TRIAL-BAL-2021'!R420+'RA-TRIAL-BAL-2021'!R420+'DES-TRIAL-BAL-2021'!R420+'DMP-TRIAL-BAL-2021'!R420</f>
        <v>0</v>
      </c>
      <c r="Z420" s="528">
        <f>+'NF-KSF-TRIAL-BAL-2021'!S420+'RA-TRIAL-BAL-2021'!S420+'DES-TRIAL-BAL-2021'!S420+'DMP-TRIAL-BAL-2021'!S420</f>
        <v>0</v>
      </c>
      <c r="AA420" s="347">
        <f>+'NF-KSF-TRIAL-BAL-2021'!T420+'RA-TRIAL-BAL-2021'!T420+'DES-TRIAL-BAL-2021'!T420+'DMP-TRIAL-BAL-2021'!T420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97">
        <f>+N420</f>
        <v>6054</v>
      </c>
      <c r="AK420" s="8">
        <v>0</v>
      </c>
      <c r="AL420" s="9">
        <v>0</v>
      </c>
      <c r="AM420" s="326">
        <f t="shared" si="233"/>
        <v>0</v>
      </c>
      <c r="AN420" s="970">
        <f t="shared" si="233"/>
        <v>0</v>
      </c>
      <c r="AO420" s="326">
        <f t="shared" si="236"/>
        <v>0</v>
      </c>
      <c r="AP420" s="327">
        <f t="shared" si="237"/>
        <v>0</v>
      </c>
      <c r="AQ420" s="43"/>
      <c r="AR420" s="358">
        <f>+ROUND(+SUM(AK420-AL420)-SUM(O420-P420)-SUM(V420-W420)-SUM(AC420-AD420),2)</f>
        <v>0</v>
      </c>
      <c r="AS420" s="359">
        <f>+ROUND(+SUM(AM420-AN420)-SUM(Q420-R420)-SUM(X420-Y420)-SUM(AE420-AF420),2)</f>
        <v>0</v>
      </c>
      <c r="AT420" s="360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25">
        <v>111717.38</v>
      </c>
      <c r="R421" s="324"/>
      <c r="S421" s="27">
        <f t="shared" si="238"/>
        <v>111717.38</v>
      </c>
      <c r="T421" s="28">
        <f t="shared" si="234"/>
        <v>0</v>
      </c>
      <c r="U421" s="51"/>
      <c r="V421" s="541">
        <f>+'NF-KSF-TRIAL-BAL-2021'!O421+'RA-TRIAL-BAL-2021'!O421+'DES-TRIAL-BAL-2021'!O421+'DMP-TRIAL-BAL-2021'!O421</f>
        <v>0</v>
      </c>
      <c r="W421" s="529">
        <f>+'NF-KSF-TRIAL-BAL-2021'!P421+'RA-TRIAL-BAL-2021'!P421+'DES-TRIAL-BAL-2021'!P421+'DMP-TRIAL-BAL-2021'!P421</f>
        <v>0</v>
      </c>
      <c r="X421" s="528">
        <f>+'NF-KSF-TRIAL-BAL-2021'!Q421+'RA-TRIAL-BAL-2021'!Q421+'DES-TRIAL-BAL-2021'!Q421+'DMP-TRIAL-BAL-2021'!Q421</f>
        <v>5999.15</v>
      </c>
      <c r="Y421" s="529">
        <f>+'NF-KSF-TRIAL-BAL-2021'!R421+'RA-TRIAL-BAL-2021'!R421+'DES-TRIAL-BAL-2021'!R421+'DMP-TRIAL-BAL-2021'!R421</f>
        <v>0</v>
      </c>
      <c r="Z421" s="528">
        <f>+'NF-KSF-TRIAL-BAL-2021'!S421+'RA-TRIAL-BAL-2021'!S421+'DES-TRIAL-BAL-2021'!S421+'DMP-TRIAL-BAL-2021'!S421</f>
        <v>5999.15</v>
      </c>
      <c r="AA421" s="347">
        <f>+'NF-KSF-TRIAL-BAL-2021'!T421+'RA-TRIAL-BAL-2021'!T421+'DES-TRIAL-BAL-2021'!T421+'DMP-TRIAL-BAL-2021'!T421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97">
        <f t="shared" si="226"/>
        <v>6055</v>
      </c>
      <c r="AK421" s="8">
        <v>0</v>
      </c>
      <c r="AL421" s="9">
        <v>0</v>
      </c>
      <c r="AM421" s="326">
        <f t="shared" si="233"/>
        <v>117716.53</v>
      </c>
      <c r="AN421" s="970">
        <f t="shared" si="233"/>
        <v>0</v>
      </c>
      <c r="AO421" s="326">
        <f t="shared" si="236"/>
        <v>117716.53</v>
      </c>
      <c r="AP421" s="327">
        <f t="shared" si="237"/>
        <v>0</v>
      </c>
      <c r="AQ421" s="43"/>
      <c r="AR421" s="358">
        <f t="shared" si="220"/>
        <v>0</v>
      </c>
      <c r="AS421" s="359">
        <f t="shared" si="221"/>
        <v>0</v>
      </c>
      <c r="AT421" s="360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25"/>
      <c r="R422" s="324"/>
      <c r="S422" s="27">
        <f t="shared" si="238"/>
        <v>0</v>
      </c>
      <c r="T422" s="28">
        <f t="shared" si="234"/>
        <v>0</v>
      </c>
      <c r="U422" s="51"/>
      <c r="V422" s="541">
        <f>+'NF-KSF-TRIAL-BAL-2021'!O422+'RA-TRIAL-BAL-2021'!O422+'DES-TRIAL-BAL-2021'!O422+'DMP-TRIAL-BAL-2021'!O422</f>
        <v>0</v>
      </c>
      <c r="W422" s="529">
        <f>+'NF-KSF-TRIAL-BAL-2021'!P422+'RA-TRIAL-BAL-2021'!P422+'DES-TRIAL-BAL-2021'!P422+'DMP-TRIAL-BAL-2021'!P422</f>
        <v>0</v>
      </c>
      <c r="X422" s="528">
        <f>+'NF-KSF-TRIAL-BAL-2021'!Q422+'RA-TRIAL-BAL-2021'!Q422+'DES-TRIAL-BAL-2021'!Q422+'DMP-TRIAL-BAL-2021'!Q422</f>
        <v>0</v>
      </c>
      <c r="Y422" s="529">
        <f>+'NF-KSF-TRIAL-BAL-2021'!R422+'RA-TRIAL-BAL-2021'!R422+'DES-TRIAL-BAL-2021'!R422+'DMP-TRIAL-BAL-2021'!R422</f>
        <v>0</v>
      </c>
      <c r="Z422" s="528">
        <f>+'NF-KSF-TRIAL-BAL-2021'!S422+'RA-TRIAL-BAL-2021'!S422+'DES-TRIAL-BAL-2021'!S422+'DMP-TRIAL-BAL-2021'!S422</f>
        <v>0</v>
      </c>
      <c r="AA422" s="347">
        <f>+'NF-KSF-TRIAL-BAL-2021'!T422+'RA-TRIAL-BAL-2021'!T422+'DES-TRIAL-BAL-2021'!T422+'DMP-TRIAL-BAL-2021'!T422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97">
        <f t="shared" si="226"/>
        <v>6056</v>
      </c>
      <c r="AK422" s="8">
        <v>0</v>
      </c>
      <c r="AL422" s="9">
        <v>0</v>
      </c>
      <c r="AM422" s="326">
        <f t="shared" si="233"/>
        <v>0</v>
      </c>
      <c r="AN422" s="970">
        <f t="shared" si="233"/>
        <v>0</v>
      </c>
      <c r="AO422" s="326">
        <f t="shared" si="236"/>
        <v>0</v>
      </c>
      <c r="AP422" s="327">
        <f t="shared" si="237"/>
        <v>0</v>
      </c>
      <c r="AQ422" s="43"/>
      <c r="AR422" s="358">
        <f t="shared" si="220"/>
        <v>0</v>
      </c>
      <c r="AS422" s="359">
        <f t="shared" si="221"/>
        <v>0</v>
      </c>
      <c r="AT422" s="360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25"/>
      <c r="R423" s="324"/>
      <c r="S423" s="27">
        <f t="shared" si="238"/>
        <v>0</v>
      </c>
      <c r="T423" s="28">
        <f t="shared" si="234"/>
        <v>0</v>
      </c>
      <c r="U423" s="51"/>
      <c r="V423" s="541">
        <f>+'NF-KSF-TRIAL-BAL-2021'!O423+'RA-TRIAL-BAL-2021'!O423+'DES-TRIAL-BAL-2021'!O423+'DMP-TRIAL-BAL-2021'!O423</f>
        <v>0</v>
      </c>
      <c r="W423" s="529">
        <f>+'NF-KSF-TRIAL-BAL-2021'!P423+'RA-TRIAL-BAL-2021'!P423+'DES-TRIAL-BAL-2021'!P423+'DMP-TRIAL-BAL-2021'!P423</f>
        <v>0</v>
      </c>
      <c r="X423" s="528">
        <f>+'NF-KSF-TRIAL-BAL-2021'!Q423+'RA-TRIAL-BAL-2021'!Q423+'DES-TRIAL-BAL-2021'!Q423+'DMP-TRIAL-BAL-2021'!Q423</f>
        <v>0</v>
      </c>
      <c r="Y423" s="529">
        <f>+'NF-KSF-TRIAL-BAL-2021'!R423+'RA-TRIAL-BAL-2021'!R423+'DES-TRIAL-BAL-2021'!R423+'DMP-TRIAL-BAL-2021'!R423</f>
        <v>0</v>
      </c>
      <c r="Z423" s="528">
        <f>+'NF-KSF-TRIAL-BAL-2021'!S423+'RA-TRIAL-BAL-2021'!S423+'DES-TRIAL-BAL-2021'!S423+'DMP-TRIAL-BAL-2021'!S423</f>
        <v>0</v>
      </c>
      <c r="AA423" s="347">
        <f>+'NF-KSF-TRIAL-BAL-2021'!T423+'RA-TRIAL-BAL-2021'!T423+'DES-TRIAL-BAL-2021'!T423+'DMP-TRIAL-BAL-2021'!T423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97">
        <f t="shared" si="226"/>
        <v>6058</v>
      </c>
      <c r="AK423" s="8">
        <v>0</v>
      </c>
      <c r="AL423" s="9">
        <v>0</v>
      </c>
      <c r="AM423" s="326">
        <f t="shared" si="233"/>
        <v>0</v>
      </c>
      <c r="AN423" s="970">
        <f t="shared" si="233"/>
        <v>0</v>
      </c>
      <c r="AO423" s="326">
        <f t="shared" si="236"/>
        <v>0</v>
      </c>
      <c r="AP423" s="327">
        <f t="shared" si="237"/>
        <v>0</v>
      </c>
      <c r="AQ423" s="43"/>
      <c r="AR423" s="358">
        <f t="shared" si="220"/>
        <v>0</v>
      </c>
      <c r="AS423" s="359">
        <f t="shared" si="221"/>
        <v>0</v>
      </c>
      <c r="AT423" s="360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25"/>
      <c r="R424" s="324"/>
      <c r="S424" s="27">
        <f t="shared" si="238"/>
        <v>0</v>
      </c>
      <c r="T424" s="28">
        <f t="shared" si="234"/>
        <v>0</v>
      </c>
      <c r="U424" s="51"/>
      <c r="V424" s="541">
        <f>+'NF-KSF-TRIAL-BAL-2021'!O424+'RA-TRIAL-BAL-2021'!O424+'DES-TRIAL-BAL-2021'!O424+'DMP-TRIAL-BAL-2021'!O424</f>
        <v>0</v>
      </c>
      <c r="W424" s="529">
        <f>+'NF-KSF-TRIAL-BAL-2021'!P424+'RA-TRIAL-BAL-2021'!P424+'DES-TRIAL-BAL-2021'!P424+'DMP-TRIAL-BAL-2021'!P424</f>
        <v>0</v>
      </c>
      <c r="X424" s="528">
        <f>+'NF-KSF-TRIAL-BAL-2021'!Q424+'RA-TRIAL-BAL-2021'!Q424+'DES-TRIAL-BAL-2021'!Q424+'DMP-TRIAL-BAL-2021'!Q424</f>
        <v>0</v>
      </c>
      <c r="Y424" s="529">
        <f>+'NF-KSF-TRIAL-BAL-2021'!R424+'RA-TRIAL-BAL-2021'!R424+'DES-TRIAL-BAL-2021'!R424+'DMP-TRIAL-BAL-2021'!R424</f>
        <v>0</v>
      </c>
      <c r="Z424" s="528">
        <f>+'NF-KSF-TRIAL-BAL-2021'!S424+'RA-TRIAL-BAL-2021'!S424+'DES-TRIAL-BAL-2021'!S424+'DMP-TRIAL-BAL-2021'!S424</f>
        <v>0</v>
      </c>
      <c r="AA424" s="347">
        <f>+'NF-KSF-TRIAL-BAL-2021'!T424+'RA-TRIAL-BAL-2021'!T424+'DES-TRIAL-BAL-2021'!T424+'DMP-TRIAL-BAL-2021'!T424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97">
        <f t="shared" si="226"/>
        <v>6059</v>
      </c>
      <c r="AK424" s="8">
        <v>0</v>
      </c>
      <c r="AL424" s="9">
        <v>0</v>
      </c>
      <c r="AM424" s="326">
        <f t="shared" si="233"/>
        <v>0</v>
      </c>
      <c r="AN424" s="970">
        <f t="shared" si="233"/>
        <v>0</v>
      </c>
      <c r="AO424" s="326">
        <f t="shared" si="236"/>
        <v>0</v>
      </c>
      <c r="AP424" s="327">
        <f t="shared" si="237"/>
        <v>0</v>
      </c>
      <c r="AQ424" s="43"/>
      <c r="AR424" s="358">
        <f t="shared" si="220"/>
        <v>0</v>
      </c>
      <c r="AS424" s="359">
        <f t="shared" si="221"/>
        <v>0</v>
      </c>
      <c r="AT424" s="360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25">
        <v>14109.34</v>
      </c>
      <c r="R425" s="324"/>
      <c r="S425" s="27">
        <f t="shared" si="238"/>
        <v>14109.34</v>
      </c>
      <c r="T425" s="28">
        <f t="shared" si="234"/>
        <v>0</v>
      </c>
      <c r="U425" s="51"/>
      <c r="V425" s="541">
        <f>+'NF-KSF-TRIAL-BAL-2021'!O425+'RA-TRIAL-BAL-2021'!O425+'DES-TRIAL-BAL-2021'!O425+'DMP-TRIAL-BAL-2021'!O425</f>
        <v>0</v>
      </c>
      <c r="W425" s="529">
        <f>+'NF-KSF-TRIAL-BAL-2021'!P425+'RA-TRIAL-BAL-2021'!P425+'DES-TRIAL-BAL-2021'!P425+'DMP-TRIAL-BAL-2021'!P425</f>
        <v>0</v>
      </c>
      <c r="X425" s="528">
        <f>+'NF-KSF-TRIAL-BAL-2021'!Q425+'RA-TRIAL-BAL-2021'!Q425+'DES-TRIAL-BAL-2021'!Q425+'DMP-TRIAL-BAL-2021'!Q425</f>
        <v>0</v>
      </c>
      <c r="Y425" s="529">
        <f>+'NF-KSF-TRIAL-BAL-2021'!R425+'RA-TRIAL-BAL-2021'!R425+'DES-TRIAL-BAL-2021'!R425+'DMP-TRIAL-BAL-2021'!R425</f>
        <v>0</v>
      </c>
      <c r="Z425" s="528">
        <f>+'NF-KSF-TRIAL-BAL-2021'!S425+'RA-TRIAL-BAL-2021'!S425+'DES-TRIAL-BAL-2021'!S425+'DMP-TRIAL-BAL-2021'!S425</f>
        <v>0</v>
      </c>
      <c r="AA425" s="347">
        <f>+'NF-KSF-TRIAL-BAL-2021'!T425+'RA-TRIAL-BAL-2021'!T425+'DES-TRIAL-BAL-2021'!T425+'DMP-TRIAL-BAL-2021'!T425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97">
        <f t="shared" si="226"/>
        <v>6061</v>
      </c>
      <c r="AK425" s="8">
        <v>0</v>
      </c>
      <c r="AL425" s="9">
        <v>0</v>
      </c>
      <c r="AM425" s="326">
        <f t="shared" si="233"/>
        <v>14109.34</v>
      </c>
      <c r="AN425" s="970">
        <f t="shared" si="233"/>
        <v>0</v>
      </c>
      <c r="AO425" s="326">
        <f t="shared" si="236"/>
        <v>14109.34</v>
      </c>
      <c r="AP425" s="327">
        <f t="shared" si="237"/>
        <v>0</v>
      </c>
      <c r="AQ425" s="43"/>
      <c r="AR425" s="358">
        <f t="shared" si="220"/>
        <v>0</v>
      </c>
      <c r="AS425" s="359">
        <f t="shared" si="221"/>
        <v>0</v>
      </c>
      <c r="AT425" s="360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25">
        <v>1794.39</v>
      </c>
      <c r="R426" s="324"/>
      <c r="S426" s="27">
        <f t="shared" si="238"/>
        <v>1794.39</v>
      </c>
      <c r="T426" s="28">
        <f t="shared" si="234"/>
        <v>0</v>
      </c>
      <c r="U426" s="51"/>
      <c r="V426" s="541">
        <f>+'NF-KSF-TRIAL-BAL-2021'!O426+'RA-TRIAL-BAL-2021'!O426+'DES-TRIAL-BAL-2021'!O426+'DMP-TRIAL-BAL-2021'!O426</f>
        <v>0</v>
      </c>
      <c r="W426" s="529">
        <f>+'NF-KSF-TRIAL-BAL-2021'!P426+'RA-TRIAL-BAL-2021'!P426+'DES-TRIAL-BAL-2021'!P426+'DMP-TRIAL-BAL-2021'!P426</f>
        <v>0</v>
      </c>
      <c r="X426" s="528">
        <f>+'NF-KSF-TRIAL-BAL-2021'!Q426+'RA-TRIAL-BAL-2021'!Q426+'DES-TRIAL-BAL-2021'!Q426+'DMP-TRIAL-BAL-2021'!Q426</f>
        <v>0</v>
      </c>
      <c r="Y426" s="529">
        <f>+'NF-KSF-TRIAL-BAL-2021'!R426+'RA-TRIAL-BAL-2021'!R426+'DES-TRIAL-BAL-2021'!R426+'DMP-TRIAL-BAL-2021'!R426</f>
        <v>0</v>
      </c>
      <c r="Z426" s="528">
        <f>+'NF-KSF-TRIAL-BAL-2021'!S426+'RA-TRIAL-BAL-2021'!S426+'DES-TRIAL-BAL-2021'!S426+'DMP-TRIAL-BAL-2021'!S426</f>
        <v>0</v>
      </c>
      <c r="AA426" s="347">
        <f>+'NF-KSF-TRIAL-BAL-2021'!T426+'RA-TRIAL-BAL-2021'!T426+'DES-TRIAL-BAL-2021'!T426+'DMP-TRIAL-BAL-2021'!T426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97">
        <f t="shared" si="226"/>
        <v>6062</v>
      </c>
      <c r="AK426" s="8">
        <v>0</v>
      </c>
      <c r="AL426" s="9">
        <v>0</v>
      </c>
      <c r="AM426" s="326">
        <f t="shared" si="233"/>
        <v>1794.39</v>
      </c>
      <c r="AN426" s="970">
        <f t="shared" si="233"/>
        <v>0</v>
      </c>
      <c r="AO426" s="326">
        <f t="shared" si="236"/>
        <v>1794.39</v>
      </c>
      <c r="AP426" s="327">
        <f t="shared" si="237"/>
        <v>0</v>
      </c>
      <c r="AQ426" s="43"/>
      <c r="AR426" s="358">
        <f t="shared" si="220"/>
        <v>0</v>
      </c>
      <c r="AS426" s="359">
        <f t="shared" si="221"/>
        <v>0</v>
      </c>
      <c r="AT426" s="360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25"/>
      <c r="R427" s="324"/>
      <c r="S427" s="27">
        <f t="shared" si="238"/>
        <v>0</v>
      </c>
      <c r="T427" s="28">
        <f t="shared" si="234"/>
        <v>0</v>
      </c>
      <c r="U427" s="51"/>
      <c r="V427" s="541">
        <f>+'NF-KSF-TRIAL-BAL-2021'!O427+'RA-TRIAL-BAL-2021'!O427+'DES-TRIAL-BAL-2021'!O427+'DMP-TRIAL-BAL-2021'!O427</f>
        <v>0</v>
      </c>
      <c r="W427" s="529">
        <f>+'NF-KSF-TRIAL-BAL-2021'!P427+'RA-TRIAL-BAL-2021'!P427+'DES-TRIAL-BAL-2021'!P427+'DMP-TRIAL-BAL-2021'!P427</f>
        <v>0</v>
      </c>
      <c r="X427" s="528">
        <f>+'NF-KSF-TRIAL-BAL-2021'!Q427+'RA-TRIAL-BAL-2021'!Q427+'DES-TRIAL-BAL-2021'!Q427+'DMP-TRIAL-BAL-2021'!Q427</f>
        <v>0</v>
      </c>
      <c r="Y427" s="529">
        <f>+'NF-KSF-TRIAL-BAL-2021'!R427+'RA-TRIAL-BAL-2021'!R427+'DES-TRIAL-BAL-2021'!R427+'DMP-TRIAL-BAL-2021'!R427</f>
        <v>0</v>
      </c>
      <c r="Z427" s="528">
        <f>+'NF-KSF-TRIAL-BAL-2021'!S427+'RA-TRIAL-BAL-2021'!S427+'DES-TRIAL-BAL-2021'!S427+'DMP-TRIAL-BAL-2021'!S427</f>
        <v>0</v>
      </c>
      <c r="AA427" s="347">
        <f>+'NF-KSF-TRIAL-BAL-2021'!T427+'RA-TRIAL-BAL-2021'!T427+'DES-TRIAL-BAL-2021'!T427+'DMP-TRIAL-BAL-2021'!T427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97">
        <f t="shared" si="226"/>
        <v>6063</v>
      </c>
      <c r="AK427" s="8">
        <v>0</v>
      </c>
      <c r="AL427" s="9">
        <v>0</v>
      </c>
      <c r="AM427" s="326">
        <f t="shared" si="233"/>
        <v>0</v>
      </c>
      <c r="AN427" s="970">
        <f t="shared" si="233"/>
        <v>0</v>
      </c>
      <c r="AO427" s="326">
        <f t="shared" si="236"/>
        <v>0</v>
      </c>
      <c r="AP427" s="327">
        <f t="shared" si="237"/>
        <v>0</v>
      </c>
      <c r="AQ427" s="43"/>
      <c r="AR427" s="358">
        <f t="shared" si="220"/>
        <v>0</v>
      </c>
      <c r="AS427" s="359">
        <f t="shared" si="221"/>
        <v>0</v>
      </c>
      <c r="AT427" s="360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25"/>
      <c r="R428" s="324"/>
      <c r="S428" s="27">
        <f t="shared" si="238"/>
        <v>0</v>
      </c>
      <c r="T428" s="28">
        <f t="shared" si="234"/>
        <v>0</v>
      </c>
      <c r="U428" s="51"/>
      <c r="V428" s="541">
        <f>+'NF-KSF-TRIAL-BAL-2021'!O428+'RA-TRIAL-BAL-2021'!O428+'DES-TRIAL-BAL-2021'!O428+'DMP-TRIAL-BAL-2021'!O428</f>
        <v>0</v>
      </c>
      <c r="W428" s="529">
        <f>+'NF-KSF-TRIAL-BAL-2021'!P428+'RA-TRIAL-BAL-2021'!P428+'DES-TRIAL-BAL-2021'!P428+'DMP-TRIAL-BAL-2021'!P428</f>
        <v>0</v>
      </c>
      <c r="X428" s="528">
        <f>+'NF-KSF-TRIAL-BAL-2021'!Q428+'RA-TRIAL-BAL-2021'!Q428+'DES-TRIAL-BAL-2021'!Q428+'DMP-TRIAL-BAL-2021'!Q428</f>
        <v>0</v>
      </c>
      <c r="Y428" s="529">
        <f>+'NF-KSF-TRIAL-BAL-2021'!R428+'RA-TRIAL-BAL-2021'!R428+'DES-TRIAL-BAL-2021'!R428+'DMP-TRIAL-BAL-2021'!R428</f>
        <v>0</v>
      </c>
      <c r="Z428" s="528">
        <f>+'NF-KSF-TRIAL-BAL-2021'!S428+'RA-TRIAL-BAL-2021'!S428+'DES-TRIAL-BAL-2021'!S428+'DMP-TRIAL-BAL-2021'!S428</f>
        <v>0</v>
      </c>
      <c r="AA428" s="347">
        <f>+'NF-KSF-TRIAL-BAL-2021'!T428+'RA-TRIAL-BAL-2021'!T428+'DES-TRIAL-BAL-2021'!T428+'DMP-TRIAL-BAL-2021'!T428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97">
        <f t="shared" si="226"/>
        <v>6064</v>
      </c>
      <c r="AK428" s="8">
        <v>0</v>
      </c>
      <c r="AL428" s="9">
        <v>0</v>
      </c>
      <c r="AM428" s="326">
        <f t="shared" si="233"/>
        <v>0</v>
      </c>
      <c r="AN428" s="970">
        <f t="shared" si="233"/>
        <v>0</v>
      </c>
      <c r="AO428" s="326">
        <f t="shared" si="236"/>
        <v>0</v>
      </c>
      <c r="AP428" s="327">
        <f t="shared" si="237"/>
        <v>0</v>
      </c>
      <c r="AQ428" s="43"/>
      <c r="AR428" s="358">
        <f t="shared" si="220"/>
        <v>0</v>
      </c>
      <c r="AS428" s="359">
        <f t="shared" si="221"/>
        <v>0</v>
      </c>
      <c r="AT428" s="360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25">
        <v>3156.18</v>
      </c>
      <c r="R429" s="324"/>
      <c r="S429" s="27">
        <f t="shared" si="238"/>
        <v>3156.18</v>
      </c>
      <c r="T429" s="28">
        <f t="shared" si="234"/>
        <v>0</v>
      </c>
      <c r="U429" s="51"/>
      <c r="V429" s="541">
        <f>+'NF-KSF-TRIAL-BAL-2021'!O429+'RA-TRIAL-BAL-2021'!O429+'DES-TRIAL-BAL-2021'!O429+'DMP-TRIAL-BAL-2021'!O429</f>
        <v>0</v>
      </c>
      <c r="W429" s="529">
        <f>+'NF-KSF-TRIAL-BAL-2021'!P429+'RA-TRIAL-BAL-2021'!P429+'DES-TRIAL-BAL-2021'!P429+'DMP-TRIAL-BAL-2021'!P429</f>
        <v>0</v>
      </c>
      <c r="X429" s="528">
        <f>+'NF-KSF-TRIAL-BAL-2021'!Q429+'RA-TRIAL-BAL-2021'!Q429+'DES-TRIAL-BAL-2021'!Q429+'DMP-TRIAL-BAL-2021'!Q429</f>
        <v>0</v>
      </c>
      <c r="Y429" s="529">
        <f>+'NF-KSF-TRIAL-BAL-2021'!R429+'RA-TRIAL-BAL-2021'!R429+'DES-TRIAL-BAL-2021'!R429+'DMP-TRIAL-BAL-2021'!R429</f>
        <v>0</v>
      </c>
      <c r="Z429" s="528">
        <f>+'NF-KSF-TRIAL-BAL-2021'!S429+'RA-TRIAL-BAL-2021'!S429+'DES-TRIAL-BAL-2021'!S429+'DMP-TRIAL-BAL-2021'!S429</f>
        <v>0</v>
      </c>
      <c r="AA429" s="347">
        <f>+'NF-KSF-TRIAL-BAL-2021'!T429+'RA-TRIAL-BAL-2021'!T429+'DES-TRIAL-BAL-2021'!T429+'DMP-TRIAL-BAL-2021'!T429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97">
        <f t="shared" si="226"/>
        <v>6065</v>
      </c>
      <c r="AK429" s="8">
        <v>0</v>
      </c>
      <c r="AL429" s="9">
        <v>0</v>
      </c>
      <c r="AM429" s="326">
        <f t="shared" si="233"/>
        <v>3156.18</v>
      </c>
      <c r="AN429" s="970">
        <f t="shared" si="233"/>
        <v>0</v>
      </c>
      <c r="AO429" s="326">
        <f t="shared" si="236"/>
        <v>3156.18</v>
      </c>
      <c r="AP429" s="327">
        <f t="shared" si="237"/>
        <v>0</v>
      </c>
      <c r="AQ429" s="43"/>
      <c r="AR429" s="358">
        <f t="shared" si="220"/>
        <v>0</v>
      </c>
      <c r="AS429" s="359">
        <f t="shared" si="221"/>
        <v>0</v>
      </c>
      <c r="AT429" s="360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25"/>
      <c r="R430" s="324"/>
      <c r="S430" s="27">
        <f t="shared" si="238"/>
        <v>0</v>
      </c>
      <c r="T430" s="28">
        <f t="shared" si="234"/>
        <v>0</v>
      </c>
      <c r="U430" s="51"/>
      <c r="V430" s="541">
        <f>+'NF-KSF-TRIAL-BAL-2021'!O430+'RA-TRIAL-BAL-2021'!O430+'DES-TRIAL-BAL-2021'!O430+'DMP-TRIAL-BAL-2021'!O430</f>
        <v>0</v>
      </c>
      <c r="W430" s="529">
        <f>+'NF-KSF-TRIAL-BAL-2021'!P430+'RA-TRIAL-BAL-2021'!P430+'DES-TRIAL-BAL-2021'!P430+'DMP-TRIAL-BAL-2021'!P430</f>
        <v>0</v>
      </c>
      <c r="X430" s="528">
        <f>+'NF-KSF-TRIAL-BAL-2021'!Q430+'RA-TRIAL-BAL-2021'!Q430+'DES-TRIAL-BAL-2021'!Q430+'DMP-TRIAL-BAL-2021'!Q430</f>
        <v>0</v>
      </c>
      <c r="Y430" s="529">
        <f>+'NF-KSF-TRIAL-BAL-2021'!R430+'RA-TRIAL-BAL-2021'!R430+'DES-TRIAL-BAL-2021'!R430+'DMP-TRIAL-BAL-2021'!R430</f>
        <v>0</v>
      </c>
      <c r="Z430" s="528">
        <f>+'NF-KSF-TRIAL-BAL-2021'!S430+'RA-TRIAL-BAL-2021'!S430+'DES-TRIAL-BAL-2021'!S430+'DMP-TRIAL-BAL-2021'!S430</f>
        <v>0</v>
      </c>
      <c r="AA430" s="347">
        <f>+'NF-KSF-TRIAL-BAL-2021'!T430+'RA-TRIAL-BAL-2021'!T430+'DES-TRIAL-BAL-2021'!T430+'DMP-TRIAL-BAL-2021'!T430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97">
        <f t="shared" si="226"/>
        <v>6067</v>
      </c>
      <c r="AK430" s="8">
        <v>0</v>
      </c>
      <c r="AL430" s="9">
        <v>0</v>
      </c>
      <c r="AM430" s="326">
        <f t="shared" si="233"/>
        <v>0</v>
      </c>
      <c r="AN430" s="970">
        <f t="shared" si="233"/>
        <v>0</v>
      </c>
      <c r="AO430" s="326">
        <f t="shared" si="236"/>
        <v>0</v>
      </c>
      <c r="AP430" s="327">
        <f t="shared" si="237"/>
        <v>0</v>
      </c>
      <c r="AQ430" s="43"/>
      <c r="AR430" s="358">
        <f t="shared" si="220"/>
        <v>0</v>
      </c>
      <c r="AS430" s="359">
        <f t="shared" si="221"/>
        <v>0</v>
      </c>
      <c r="AT430" s="360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25"/>
      <c r="R431" s="324"/>
      <c r="S431" s="27">
        <f t="shared" si="238"/>
        <v>0</v>
      </c>
      <c r="T431" s="28">
        <f t="shared" si="234"/>
        <v>0</v>
      </c>
      <c r="U431" s="51"/>
      <c r="V431" s="541">
        <f>+'NF-KSF-TRIAL-BAL-2021'!O431+'RA-TRIAL-BAL-2021'!O431+'DES-TRIAL-BAL-2021'!O431+'DMP-TRIAL-BAL-2021'!O431</f>
        <v>0</v>
      </c>
      <c r="W431" s="529">
        <f>+'NF-KSF-TRIAL-BAL-2021'!P431+'RA-TRIAL-BAL-2021'!P431+'DES-TRIAL-BAL-2021'!P431+'DMP-TRIAL-BAL-2021'!P431</f>
        <v>0</v>
      </c>
      <c r="X431" s="528">
        <f>+'NF-KSF-TRIAL-BAL-2021'!Q431+'RA-TRIAL-BAL-2021'!Q431+'DES-TRIAL-BAL-2021'!Q431+'DMP-TRIAL-BAL-2021'!Q431</f>
        <v>0</v>
      </c>
      <c r="Y431" s="529">
        <f>+'NF-KSF-TRIAL-BAL-2021'!R431+'RA-TRIAL-BAL-2021'!R431+'DES-TRIAL-BAL-2021'!R431+'DMP-TRIAL-BAL-2021'!R431</f>
        <v>0</v>
      </c>
      <c r="Z431" s="528">
        <f>+'NF-KSF-TRIAL-BAL-2021'!S431+'RA-TRIAL-BAL-2021'!S431+'DES-TRIAL-BAL-2021'!S431+'DMP-TRIAL-BAL-2021'!S431</f>
        <v>0</v>
      </c>
      <c r="AA431" s="347">
        <f>+'NF-KSF-TRIAL-BAL-2021'!T431+'RA-TRIAL-BAL-2021'!T431+'DES-TRIAL-BAL-2021'!T431+'DMP-TRIAL-BAL-2021'!T431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97">
        <f t="shared" si="226"/>
        <v>6068</v>
      </c>
      <c r="AK431" s="8">
        <v>0</v>
      </c>
      <c r="AL431" s="9">
        <v>0</v>
      </c>
      <c r="AM431" s="326">
        <f t="shared" si="233"/>
        <v>0</v>
      </c>
      <c r="AN431" s="970">
        <f t="shared" si="233"/>
        <v>0</v>
      </c>
      <c r="AO431" s="326">
        <f t="shared" si="236"/>
        <v>0</v>
      </c>
      <c r="AP431" s="327">
        <f t="shared" si="237"/>
        <v>0</v>
      </c>
      <c r="AQ431" s="43"/>
      <c r="AR431" s="358">
        <f t="shared" si="220"/>
        <v>0</v>
      </c>
      <c r="AS431" s="359">
        <f t="shared" si="221"/>
        <v>0</v>
      </c>
      <c r="AT431" s="360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25"/>
      <c r="R432" s="324"/>
      <c r="S432" s="27">
        <f t="shared" si="238"/>
        <v>0</v>
      </c>
      <c r="T432" s="28">
        <f t="shared" si="234"/>
        <v>0</v>
      </c>
      <c r="U432" s="51"/>
      <c r="V432" s="541">
        <f>+'NF-KSF-TRIAL-BAL-2021'!O432+'RA-TRIAL-BAL-2021'!O432+'DES-TRIAL-BAL-2021'!O432+'DMP-TRIAL-BAL-2021'!O432</f>
        <v>0</v>
      </c>
      <c r="W432" s="529">
        <f>+'NF-KSF-TRIAL-BAL-2021'!P432+'RA-TRIAL-BAL-2021'!P432+'DES-TRIAL-BAL-2021'!P432+'DMP-TRIAL-BAL-2021'!P432</f>
        <v>0</v>
      </c>
      <c r="X432" s="528">
        <f>+'NF-KSF-TRIAL-BAL-2021'!Q432+'RA-TRIAL-BAL-2021'!Q432+'DES-TRIAL-BAL-2021'!Q432+'DMP-TRIAL-BAL-2021'!Q432</f>
        <v>0</v>
      </c>
      <c r="Y432" s="529">
        <f>+'NF-KSF-TRIAL-BAL-2021'!R432+'RA-TRIAL-BAL-2021'!R432+'DES-TRIAL-BAL-2021'!R432+'DMP-TRIAL-BAL-2021'!R432</f>
        <v>0</v>
      </c>
      <c r="Z432" s="528">
        <f>+'NF-KSF-TRIAL-BAL-2021'!S432+'RA-TRIAL-BAL-2021'!S432+'DES-TRIAL-BAL-2021'!S432+'DMP-TRIAL-BAL-2021'!S432</f>
        <v>0</v>
      </c>
      <c r="AA432" s="347">
        <f>+'NF-KSF-TRIAL-BAL-2021'!T432+'RA-TRIAL-BAL-2021'!T432+'DES-TRIAL-BAL-2021'!T432+'DMP-TRIAL-BAL-2021'!T432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97">
        <f t="shared" si="226"/>
        <v>6069</v>
      </c>
      <c r="AK432" s="8">
        <v>0</v>
      </c>
      <c r="AL432" s="9">
        <v>0</v>
      </c>
      <c r="AM432" s="326">
        <f t="shared" si="233"/>
        <v>0</v>
      </c>
      <c r="AN432" s="970">
        <f t="shared" si="233"/>
        <v>0</v>
      </c>
      <c r="AO432" s="326">
        <f t="shared" si="236"/>
        <v>0</v>
      </c>
      <c r="AP432" s="327">
        <f t="shared" si="237"/>
        <v>0</v>
      </c>
      <c r="AQ432" s="43"/>
      <c r="AR432" s="358">
        <f t="shared" si="220"/>
        <v>0</v>
      </c>
      <c r="AS432" s="359">
        <f t="shared" si="221"/>
        <v>0</v>
      </c>
      <c r="AT432" s="360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25"/>
      <c r="R433" s="324"/>
      <c r="S433" s="27">
        <f t="shared" si="238"/>
        <v>0</v>
      </c>
      <c r="T433" s="28">
        <f t="shared" si="234"/>
        <v>0</v>
      </c>
      <c r="U433" s="51"/>
      <c r="V433" s="541">
        <f>+'NF-KSF-TRIAL-BAL-2021'!O433+'RA-TRIAL-BAL-2021'!O433+'DES-TRIAL-BAL-2021'!O433+'DMP-TRIAL-BAL-2021'!O433</f>
        <v>0</v>
      </c>
      <c r="W433" s="529">
        <f>+'NF-KSF-TRIAL-BAL-2021'!P433+'RA-TRIAL-BAL-2021'!P433+'DES-TRIAL-BAL-2021'!P433+'DMP-TRIAL-BAL-2021'!P433</f>
        <v>0</v>
      </c>
      <c r="X433" s="528">
        <f>+'NF-KSF-TRIAL-BAL-2021'!Q433+'RA-TRIAL-BAL-2021'!Q433+'DES-TRIAL-BAL-2021'!Q433+'DMP-TRIAL-BAL-2021'!Q433</f>
        <v>0</v>
      </c>
      <c r="Y433" s="529">
        <f>+'NF-KSF-TRIAL-BAL-2021'!R433+'RA-TRIAL-BAL-2021'!R433+'DES-TRIAL-BAL-2021'!R433+'DMP-TRIAL-BAL-2021'!R433</f>
        <v>0</v>
      </c>
      <c r="Z433" s="528">
        <f>+'NF-KSF-TRIAL-BAL-2021'!S433+'RA-TRIAL-BAL-2021'!S433+'DES-TRIAL-BAL-2021'!S433+'DMP-TRIAL-BAL-2021'!S433</f>
        <v>0</v>
      </c>
      <c r="AA433" s="347">
        <f>+'NF-KSF-TRIAL-BAL-2021'!T433+'RA-TRIAL-BAL-2021'!T433+'DES-TRIAL-BAL-2021'!T433+'DMP-TRIAL-BAL-2021'!T433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97">
        <f t="shared" si="226"/>
        <v>6071</v>
      </c>
      <c r="AK433" s="8">
        <v>0</v>
      </c>
      <c r="AL433" s="9">
        <v>0</v>
      </c>
      <c r="AM433" s="326">
        <f t="shared" si="233"/>
        <v>0</v>
      </c>
      <c r="AN433" s="970">
        <f t="shared" si="233"/>
        <v>0</v>
      </c>
      <c r="AO433" s="326">
        <f t="shared" si="236"/>
        <v>0</v>
      </c>
      <c r="AP433" s="327">
        <f t="shared" si="237"/>
        <v>0</v>
      </c>
      <c r="AQ433" s="43"/>
      <c r="AR433" s="358">
        <f t="shared" si="220"/>
        <v>0</v>
      </c>
      <c r="AS433" s="359">
        <f t="shared" si="221"/>
        <v>0</v>
      </c>
      <c r="AT433" s="360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25"/>
      <c r="R434" s="324"/>
      <c r="S434" s="27">
        <f t="shared" si="238"/>
        <v>0</v>
      </c>
      <c r="T434" s="28">
        <f t="shared" si="234"/>
        <v>0</v>
      </c>
      <c r="U434" s="51"/>
      <c r="V434" s="541">
        <f>+'NF-KSF-TRIAL-BAL-2021'!O434+'RA-TRIAL-BAL-2021'!O434+'DES-TRIAL-BAL-2021'!O434+'DMP-TRIAL-BAL-2021'!O434</f>
        <v>0</v>
      </c>
      <c r="W434" s="529">
        <f>+'NF-KSF-TRIAL-BAL-2021'!P434+'RA-TRIAL-BAL-2021'!P434+'DES-TRIAL-BAL-2021'!P434+'DMP-TRIAL-BAL-2021'!P434</f>
        <v>0</v>
      </c>
      <c r="X434" s="528">
        <f>+'NF-KSF-TRIAL-BAL-2021'!Q434+'RA-TRIAL-BAL-2021'!Q434+'DES-TRIAL-BAL-2021'!Q434+'DMP-TRIAL-BAL-2021'!Q434</f>
        <v>0</v>
      </c>
      <c r="Y434" s="529">
        <f>+'NF-KSF-TRIAL-BAL-2021'!R434+'RA-TRIAL-BAL-2021'!R434+'DES-TRIAL-BAL-2021'!R434+'DMP-TRIAL-BAL-2021'!R434</f>
        <v>0</v>
      </c>
      <c r="Z434" s="528">
        <f>+'NF-KSF-TRIAL-BAL-2021'!S434+'RA-TRIAL-BAL-2021'!S434+'DES-TRIAL-BAL-2021'!S434+'DMP-TRIAL-BAL-2021'!S434</f>
        <v>0</v>
      </c>
      <c r="AA434" s="347">
        <f>+'NF-KSF-TRIAL-BAL-2021'!T434+'RA-TRIAL-BAL-2021'!T434+'DES-TRIAL-BAL-2021'!T434+'DMP-TRIAL-BAL-2021'!T434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97">
        <f t="shared" si="226"/>
        <v>6072</v>
      </c>
      <c r="AK434" s="8">
        <v>0</v>
      </c>
      <c r="AL434" s="9">
        <v>0</v>
      </c>
      <c r="AM434" s="326">
        <f t="shared" si="233"/>
        <v>0</v>
      </c>
      <c r="AN434" s="970">
        <f t="shared" si="233"/>
        <v>0</v>
      </c>
      <c r="AO434" s="326">
        <f t="shared" si="236"/>
        <v>0</v>
      </c>
      <c r="AP434" s="327">
        <f t="shared" si="237"/>
        <v>0</v>
      </c>
      <c r="AQ434" s="43"/>
      <c r="AR434" s="358">
        <f t="shared" si="220"/>
        <v>0</v>
      </c>
      <c r="AS434" s="359">
        <f t="shared" si="221"/>
        <v>0</v>
      </c>
      <c r="AT434" s="360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25"/>
      <c r="R435" s="324"/>
      <c r="S435" s="27">
        <f t="shared" si="238"/>
        <v>0</v>
      </c>
      <c r="T435" s="28">
        <f t="shared" si="234"/>
        <v>0</v>
      </c>
      <c r="U435" s="51"/>
      <c r="V435" s="541">
        <f>+'NF-KSF-TRIAL-BAL-2021'!O435+'RA-TRIAL-BAL-2021'!O435+'DES-TRIAL-BAL-2021'!O435+'DMP-TRIAL-BAL-2021'!O435</f>
        <v>0</v>
      </c>
      <c r="W435" s="529">
        <f>+'NF-KSF-TRIAL-BAL-2021'!P435+'RA-TRIAL-BAL-2021'!P435+'DES-TRIAL-BAL-2021'!P435+'DMP-TRIAL-BAL-2021'!P435</f>
        <v>0</v>
      </c>
      <c r="X435" s="528">
        <f>+'NF-KSF-TRIAL-BAL-2021'!Q435+'RA-TRIAL-BAL-2021'!Q435+'DES-TRIAL-BAL-2021'!Q435+'DMP-TRIAL-BAL-2021'!Q435</f>
        <v>0</v>
      </c>
      <c r="Y435" s="529">
        <f>+'NF-KSF-TRIAL-BAL-2021'!R435+'RA-TRIAL-BAL-2021'!R435+'DES-TRIAL-BAL-2021'!R435+'DMP-TRIAL-BAL-2021'!R435</f>
        <v>0</v>
      </c>
      <c r="Z435" s="528">
        <f>+'NF-KSF-TRIAL-BAL-2021'!S435+'RA-TRIAL-BAL-2021'!S435+'DES-TRIAL-BAL-2021'!S435+'DMP-TRIAL-BAL-2021'!S435</f>
        <v>0</v>
      </c>
      <c r="AA435" s="347">
        <f>+'NF-KSF-TRIAL-BAL-2021'!T435+'RA-TRIAL-BAL-2021'!T435+'DES-TRIAL-BAL-2021'!T435+'DMP-TRIAL-BAL-2021'!T435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97">
        <f t="shared" si="226"/>
        <v>6073</v>
      </c>
      <c r="AK435" s="8">
        <v>0</v>
      </c>
      <c r="AL435" s="9">
        <v>0</v>
      </c>
      <c r="AM435" s="326">
        <f t="shared" si="233"/>
        <v>0</v>
      </c>
      <c r="AN435" s="970">
        <f t="shared" si="233"/>
        <v>0</v>
      </c>
      <c r="AO435" s="326">
        <f t="shared" si="236"/>
        <v>0</v>
      </c>
      <c r="AP435" s="327">
        <f t="shared" si="237"/>
        <v>0</v>
      </c>
      <c r="AQ435" s="43"/>
      <c r="AR435" s="358">
        <f t="shared" si="220"/>
        <v>0</v>
      </c>
      <c r="AS435" s="359">
        <f t="shared" si="221"/>
        <v>0</v>
      </c>
      <c r="AT435" s="360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25"/>
      <c r="R436" s="324"/>
      <c r="S436" s="27">
        <f t="shared" si="238"/>
        <v>0</v>
      </c>
      <c r="T436" s="28">
        <f t="shared" si="234"/>
        <v>0</v>
      </c>
      <c r="U436" s="51"/>
      <c r="V436" s="541">
        <f>+'NF-KSF-TRIAL-BAL-2021'!O436+'RA-TRIAL-BAL-2021'!O436+'DES-TRIAL-BAL-2021'!O436+'DMP-TRIAL-BAL-2021'!O436</f>
        <v>0</v>
      </c>
      <c r="W436" s="529">
        <f>+'NF-KSF-TRIAL-BAL-2021'!P436+'RA-TRIAL-BAL-2021'!P436+'DES-TRIAL-BAL-2021'!P436+'DMP-TRIAL-BAL-2021'!P436</f>
        <v>0</v>
      </c>
      <c r="X436" s="528">
        <f>+'NF-KSF-TRIAL-BAL-2021'!Q436+'RA-TRIAL-BAL-2021'!Q436+'DES-TRIAL-BAL-2021'!Q436+'DMP-TRIAL-BAL-2021'!Q436</f>
        <v>0</v>
      </c>
      <c r="Y436" s="529">
        <f>+'NF-KSF-TRIAL-BAL-2021'!R436+'RA-TRIAL-BAL-2021'!R436+'DES-TRIAL-BAL-2021'!R436+'DMP-TRIAL-BAL-2021'!R436</f>
        <v>0</v>
      </c>
      <c r="Z436" s="528">
        <f>+'NF-KSF-TRIAL-BAL-2021'!S436+'RA-TRIAL-BAL-2021'!S436+'DES-TRIAL-BAL-2021'!S436+'DMP-TRIAL-BAL-2021'!S436</f>
        <v>0</v>
      </c>
      <c r="AA436" s="347">
        <f>+'NF-KSF-TRIAL-BAL-2021'!T436+'RA-TRIAL-BAL-2021'!T436+'DES-TRIAL-BAL-2021'!T436+'DMP-TRIAL-BAL-2021'!T436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97">
        <f t="shared" si="226"/>
        <v>6074</v>
      </c>
      <c r="AK436" s="8">
        <v>0</v>
      </c>
      <c r="AL436" s="9">
        <v>0</v>
      </c>
      <c r="AM436" s="326">
        <f t="shared" si="233"/>
        <v>0</v>
      </c>
      <c r="AN436" s="970">
        <f t="shared" si="233"/>
        <v>0</v>
      </c>
      <c r="AO436" s="326">
        <f t="shared" si="236"/>
        <v>0</v>
      </c>
      <c r="AP436" s="327">
        <f t="shared" si="237"/>
        <v>0</v>
      </c>
      <c r="AQ436" s="43"/>
      <c r="AR436" s="358">
        <f t="shared" si="220"/>
        <v>0</v>
      </c>
      <c r="AS436" s="359">
        <f t="shared" si="221"/>
        <v>0</v>
      </c>
      <c r="AT436" s="360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25">
        <v>889162.3</v>
      </c>
      <c r="R437" s="324"/>
      <c r="S437" s="27">
        <f t="shared" si="238"/>
        <v>889162.3</v>
      </c>
      <c r="T437" s="28">
        <f t="shared" si="234"/>
        <v>0</v>
      </c>
      <c r="U437" s="51"/>
      <c r="V437" s="541">
        <f>+'NF-KSF-TRIAL-BAL-2021'!O437+'RA-TRIAL-BAL-2021'!O437+'DES-TRIAL-BAL-2021'!O437+'DMP-TRIAL-BAL-2021'!O437</f>
        <v>0</v>
      </c>
      <c r="W437" s="529">
        <f>+'NF-KSF-TRIAL-BAL-2021'!P437+'RA-TRIAL-BAL-2021'!P437+'DES-TRIAL-BAL-2021'!P437+'DMP-TRIAL-BAL-2021'!P437</f>
        <v>0</v>
      </c>
      <c r="X437" s="528">
        <f>+'NF-KSF-TRIAL-BAL-2021'!Q437+'RA-TRIAL-BAL-2021'!Q437+'DES-TRIAL-BAL-2021'!Q437+'DMP-TRIAL-BAL-2021'!Q437</f>
        <v>715940.37</v>
      </c>
      <c r="Y437" s="529">
        <f>+'NF-KSF-TRIAL-BAL-2021'!R437+'RA-TRIAL-BAL-2021'!R437+'DES-TRIAL-BAL-2021'!R437+'DMP-TRIAL-BAL-2021'!R437</f>
        <v>0</v>
      </c>
      <c r="Z437" s="528">
        <f>+'NF-KSF-TRIAL-BAL-2021'!S437+'RA-TRIAL-BAL-2021'!S437+'DES-TRIAL-BAL-2021'!S437+'DMP-TRIAL-BAL-2021'!S437</f>
        <v>715940.37</v>
      </c>
      <c r="AA437" s="347">
        <f>+'NF-KSF-TRIAL-BAL-2021'!T437+'RA-TRIAL-BAL-2021'!T437+'DES-TRIAL-BAL-2021'!T437+'DMP-TRIAL-BAL-2021'!T437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97">
        <f t="shared" si="226"/>
        <v>6075</v>
      </c>
      <c r="AK437" s="8">
        <v>0</v>
      </c>
      <c r="AL437" s="9">
        <v>0</v>
      </c>
      <c r="AM437" s="326">
        <f t="shared" si="233"/>
        <v>1605102.67</v>
      </c>
      <c r="AN437" s="970">
        <f t="shared" si="233"/>
        <v>0</v>
      </c>
      <c r="AO437" s="326">
        <f t="shared" si="236"/>
        <v>1605102.67</v>
      </c>
      <c r="AP437" s="327">
        <f t="shared" si="237"/>
        <v>0</v>
      </c>
      <c r="AQ437" s="43"/>
      <c r="AR437" s="358">
        <f t="shared" si="220"/>
        <v>0</v>
      </c>
      <c r="AS437" s="359">
        <f t="shared" si="221"/>
        <v>0</v>
      </c>
      <c r="AT437" s="360">
        <f t="shared" si="222"/>
        <v>0</v>
      </c>
      <c r="AU437" s="43"/>
      <c r="AV437" s="43"/>
      <c r="AW437" s="119"/>
      <c r="AX437" s="2125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25">
        <v>17200</v>
      </c>
      <c r="R438" s="324"/>
      <c r="S438" s="27">
        <f t="shared" si="238"/>
        <v>17200</v>
      </c>
      <c r="T438" s="28">
        <f t="shared" si="234"/>
        <v>0</v>
      </c>
      <c r="U438" s="51"/>
      <c r="V438" s="541">
        <f>+'NF-KSF-TRIAL-BAL-2021'!O438+'RA-TRIAL-BAL-2021'!O438+'DES-TRIAL-BAL-2021'!O438+'DMP-TRIAL-BAL-2021'!O438</f>
        <v>0</v>
      </c>
      <c r="W438" s="529">
        <f>+'NF-KSF-TRIAL-BAL-2021'!P438+'RA-TRIAL-BAL-2021'!P438+'DES-TRIAL-BAL-2021'!P438+'DMP-TRIAL-BAL-2021'!P438</f>
        <v>0</v>
      </c>
      <c r="X438" s="528">
        <f>+'NF-KSF-TRIAL-BAL-2021'!Q438+'RA-TRIAL-BAL-2021'!Q438+'DES-TRIAL-BAL-2021'!Q438+'DMP-TRIAL-BAL-2021'!Q438</f>
        <v>814264.02</v>
      </c>
      <c r="Y438" s="529">
        <f>+'NF-KSF-TRIAL-BAL-2021'!R438+'RA-TRIAL-BAL-2021'!R438+'DES-TRIAL-BAL-2021'!R438+'DMP-TRIAL-BAL-2021'!R438</f>
        <v>0</v>
      </c>
      <c r="Z438" s="528">
        <f>+'NF-KSF-TRIAL-BAL-2021'!S438+'RA-TRIAL-BAL-2021'!S438+'DES-TRIAL-BAL-2021'!S438+'DMP-TRIAL-BAL-2021'!S438</f>
        <v>814264.02</v>
      </c>
      <c r="AA438" s="347">
        <f>+'NF-KSF-TRIAL-BAL-2021'!T438+'RA-TRIAL-BAL-2021'!T438+'DES-TRIAL-BAL-2021'!T438+'DMP-TRIAL-BAL-2021'!T438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97">
        <f t="shared" si="226"/>
        <v>6076</v>
      </c>
      <c r="AK438" s="8">
        <v>0</v>
      </c>
      <c r="AL438" s="9">
        <v>0</v>
      </c>
      <c r="AM438" s="326">
        <f t="shared" si="233"/>
        <v>831464.02</v>
      </c>
      <c r="AN438" s="970">
        <f t="shared" si="233"/>
        <v>0</v>
      </c>
      <c r="AO438" s="326">
        <f t="shared" si="236"/>
        <v>831464.02</v>
      </c>
      <c r="AP438" s="327">
        <f t="shared" si="237"/>
        <v>0</v>
      </c>
      <c r="AQ438" s="43"/>
      <c r="AR438" s="358">
        <f t="shared" si="220"/>
        <v>0</v>
      </c>
      <c r="AS438" s="359">
        <f t="shared" si="221"/>
        <v>0</v>
      </c>
      <c r="AT438" s="360">
        <f t="shared" si="222"/>
        <v>0</v>
      </c>
      <c r="AU438" s="43"/>
      <c r="AV438" s="43"/>
      <c r="AW438" s="119"/>
      <c r="AX438" s="2125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25"/>
      <c r="R439" s="324"/>
      <c r="S439" s="27">
        <f t="shared" si="238"/>
        <v>0</v>
      </c>
      <c r="T439" s="28">
        <f t="shared" si="234"/>
        <v>0</v>
      </c>
      <c r="U439" s="51"/>
      <c r="V439" s="541">
        <f>+'NF-KSF-TRIAL-BAL-2021'!O439+'RA-TRIAL-BAL-2021'!O439+'DES-TRIAL-BAL-2021'!O439+'DMP-TRIAL-BAL-2021'!O439</f>
        <v>0</v>
      </c>
      <c r="W439" s="529">
        <f>+'NF-KSF-TRIAL-BAL-2021'!P439+'RA-TRIAL-BAL-2021'!P439+'DES-TRIAL-BAL-2021'!P439+'DMP-TRIAL-BAL-2021'!P439</f>
        <v>0</v>
      </c>
      <c r="X439" s="528">
        <f>+'NF-KSF-TRIAL-BAL-2021'!Q439+'RA-TRIAL-BAL-2021'!Q439+'DES-TRIAL-BAL-2021'!Q439+'DMP-TRIAL-BAL-2021'!Q439</f>
        <v>0</v>
      </c>
      <c r="Y439" s="529">
        <f>+'NF-KSF-TRIAL-BAL-2021'!R439+'RA-TRIAL-BAL-2021'!R439+'DES-TRIAL-BAL-2021'!R439+'DMP-TRIAL-BAL-2021'!R439</f>
        <v>0</v>
      </c>
      <c r="Z439" s="528">
        <f>+'NF-KSF-TRIAL-BAL-2021'!S439+'RA-TRIAL-BAL-2021'!S439+'DES-TRIAL-BAL-2021'!S439+'DMP-TRIAL-BAL-2021'!S439</f>
        <v>0</v>
      </c>
      <c r="AA439" s="347">
        <f>+'NF-KSF-TRIAL-BAL-2021'!T439+'RA-TRIAL-BAL-2021'!T439+'DES-TRIAL-BAL-2021'!T439+'DMP-TRIAL-BAL-2021'!T439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97">
        <f t="shared" si="226"/>
        <v>6077</v>
      </c>
      <c r="AK439" s="8">
        <v>0</v>
      </c>
      <c r="AL439" s="9">
        <v>0</v>
      </c>
      <c r="AM439" s="326">
        <f t="shared" si="233"/>
        <v>0</v>
      </c>
      <c r="AN439" s="970">
        <f t="shared" si="233"/>
        <v>0</v>
      </c>
      <c r="AO439" s="326">
        <f t="shared" si="236"/>
        <v>0</v>
      </c>
      <c r="AP439" s="327">
        <f t="shared" si="237"/>
        <v>0</v>
      </c>
      <c r="AQ439" s="43"/>
      <c r="AR439" s="358">
        <f t="shared" si="220"/>
        <v>0</v>
      </c>
      <c r="AS439" s="359">
        <f t="shared" si="221"/>
        <v>0</v>
      </c>
      <c r="AT439" s="360">
        <f t="shared" si="222"/>
        <v>0</v>
      </c>
      <c r="AU439" s="43"/>
      <c r="AV439" s="43"/>
      <c r="AW439" s="119"/>
      <c r="AX439" s="2125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25"/>
      <c r="R440" s="324"/>
      <c r="S440" s="27">
        <f t="shared" si="238"/>
        <v>0</v>
      </c>
      <c r="T440" s="28">
        <f t="shared" si="234"/>
        <v>0</v>
      </c>
      <c r="U440" s="51"/>
      <c r="V440" s="541">
        <f>+'NF-KSF-TRIAL-BAL-2021'!O440+'RA-TRIAL-BAL-2021'!O440+'DES-TRIAL-BAL-2021'!O440+'DMP-TRIAL-BAL-2021'!O440</f>
        <v>0</v>
      </c>
      <c r="W440" s="529">
        <f>+'NF-KSF-TRIAL-BAL-2021'!P440+'RA-TRIAL-BAL-2021'!P440+'DES-TRIAL-BAL-2021'!P440+'DMP-TRIAL-BAL-2021'!P440</f>
        <v>0</v>
      </c>
      <c r="X440" s="528">
        <f>+'NF-KSF-TRIAL-BAL-2021'!Q440+'RA-TRIAL-BAL-2021'!Q440+'DES-TRIAL-BAL-2021'!Q440+'DMP-TRIAL-BAL-2021'!Q440</f>
        <v>0</v>
      </c>
      <c r="Y440" s="529">
        <f>+'NF-KSF-TRIAL-BAL-2021'!R440+'RA-TRIAL-BAL-2021'!R440+'DES-TRIAL-BAL-2021'!R440+'DMP-TRIAL-BAL-2021'!R440</f>
        <v>0</v>
      </c>
      <c r="Z440" s="528">
        <f>+'NF-KSF-TRIAL-BAL-2021'!S440+'RA-TRIAL-BAL-2021'!S440+'DES-TRIAL-BAL-2021'!S440+'DMP-TRIAL-BAL-2021'!S440</f>
        <v>0</v>
      </c>
      <c r="AA440" s="347">
        <f>+'NF-KSF-TRIAL-BAL-2021'!T440+'RA-TRIAL-BAL-2021'!T440+'DES-TRIAL-BAL-2021'!T440+'DMP-TRIAL-BAL-2021'!T440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97">
        <f t="shared" si="226"/>
        <v>6078</v>
      </c>
      <c r="AK440" s="8">
        <v>0</v>
      </c>
      <c r="AL440" s="9">
        <v>0</v>
      </c>
      <c r="AM440" s="326">
        <f t="shared" si="233"/>
        <v>0</v>
      </c>
      <c r="AN440" s="970">
        <f t="shared" si="233"/>
        <v>0</v>
      </c>
      <c r="AO440" s="326">
        <f t="shared" si="236"/>
        <v>0</v>
      </c>
      <c r="AP440" s="327">
        <f t="shared" si="237"/>
        <v>0</v>
      </c>
      <c r="AQ440" s="43"/>
      <c r="AR440" s="358">
        <f t="shared" si="220"/>
        <v>0</v>
      </c>
      <c r="AS440" s="359">
        <f t="shared" si="221"/>
        <v>0</v>
      </c>
      <c r="AT440" s="360">
        <f t="shared" si="222"/>
        <v>0</v>
      </c>
      <c r="AU440" s="43"/>
      <c r="AV440" s="43"/>
      <c r="AW440" s="119"/>
      <c r="AX440" s="2125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25"/>
      <c r="R441" s="324"/>
      <c r="S441" s="27">
        <f t="shared" si="238"/>
        <v>0</v>
      </c>
      <c r="T441" s="28">
        <f t="shared" si="234"/>
        <v>0</v>
      </c>
      <c r="U441" s="51"/>
      <c r="V441" s="541">
        <f>+'NF-KSF-TRIAL-BAL-2021'!O441+'RA-TRIAL-BAL-2021'!O441+'DES-TRIAL-BAL-2021'!O441+'DMP-TRIAL-BAL-2021'!O441</f>
        <v>0</v>
      </c>
      <c r="W441" s="529">
        <f>+'NF-KSF-TRIAL-BAL-2021'!P441+'RA-TRIAL-BAL-2021'!P441+'DES-TRIAL-BAL-2021'!P441+'DMP-TRIAL-BAL-2021'!P441</f>
        <v>0</v>
      </c>
      <c r="X441" s="528">
        <f>+'NF-KSF-TRIAL-BAL-2021'!Q441+'RA-TRIAL-BAL-2021'!Q441+'DES-TRIAL-BAL-2021'!Q441+'DMP-TRIAL-BAL-2021'!Q441</f>
        <v>0</v>
      </c>
      <c r="Y441" s="529">
        <f>+'NF-KSF-TRIAL-BAL-2021'!R441+'RA-TRIAL-BAL-2021'!R441+'DES-TRIAL-BAL-2021'!R441+'DMP-TRIAL-BAL-2021'!R441</f>
        <v>0</v>
      </c>
      <c r="Z441" s="528">
        <f>+'NF-KSF-TRIAL-BAL-2021'!S441+'RA-TRIAL-BAL-2021'!S441+'DES-TRIAL-BAL-2021'!S441+'DMP-TRIAL-BAL-2021'!S441</f>
        <v>0</v>
      </c>
      <c r="AA441" s="347">
        <f>+'NF-KSF-TRIAL-BAL-2021'!T441+'RA-TRIAL-BAL-2021'!T441+'DES-TRIAL-BAL-2021'!T441+'DMP-TRIAL-BAL-2021'!T441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97">
        <f t="shared" si="226"/>
        <v>6079</v>
      </c>
      <c r="AK441" s="8">
        <v>0</v>
      </c>
      <c r="AL441" s="9">
        <v>0</v>
      </c>
      <c r="AM441" s="326">
        <f t="shared" si="233"/>
        <v>0</v>
      </c>
      <c r="AN441" s="970">
        <f t="shared" si="233"/>
        <v>0</v>
      </c>
      <c r="AO441" s="326">
        <f t="shared" si="236"/>
        <v>0</v>
      </c>
      <c r="AP441" s="327">
        <f t="shared" si="237"/>
        <v>0</v>
      </c>
      <c r="AQ441" s="43"/>
      <c r="AR441" s="358">
        <f t="shared" si="220"/>
        <v>0</v>
      </c>
      <c r="AS441" s="359">
        <f t="shared" si="221"/>
        <v>0</v>
      </c>
      <c r="AT441" s="360">
        <f t="shared" si="222"/>
        <v>0</v>
      </c>
      <c r="AU441" s="43"/>
      <c r="AV441" s="43"/>
      <c r="AW441" s="119"/>
      <c r="AX441" s="2125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25"/>
      <c r="R442" s="324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41">
        <f>+'NF-KSF-TRIAL-BAL-2021'!O442+'RA-TRIAL-BAL-2021'!O442+'DES-TRIAL-BAL-2021'!O442+'DMP-TRIAL-BAL-2021'!O442</f>
        <v>0</v>
      </c>
      <c r="W442" s="529">
        <f>+'NF-KSF-TRIAL-BAL-2021'!P442+'RA-TRIAL-BAL-2021'!P442+'DES-TRIAL-BAL-2021'!P442+'DMP-TRIAL-BAL-2021'!P442</f>
        <v>0</v>
      </c>
      <c r="X442" s="528">
        <f>+'NF-KSF-TRIAL-BAL-2021'!Q442+'RA-TRIAL-BAL-2021'!Q442+'DES-TRIAL-BAL-2021'!Q442+'DMP-TRIAL-BAL-2021'!Q442</f>
        <v>0</v>
      </c>
      <c r="Y442" s="529">
        <f>+'NF-KSF-TRIAL-BAL-2021'!R442+'RA-TRIAL-BAL-2021'!R442+'DES-TRIAL-BAL-2021'!R442+'DMP-TRIAL-BAL-2021'!R442</f>
        <v>0</v>
      </c>
      <c r="Z442" s="528">
        <f>+'NF-KSF-TRIAL-BAL-2021'!S442+'RA-TRIAL-BAL-2021'!S442+'DES-TRIAL-BAL-2021'!S442+'DMP-TRIAL-BAL-2021'!S442</f>
        <v>0</v>
      </c>
      <c r="AA442" s="347">
        <f>+'NF-KSF-TRIAL-BAL-2021'!T442+'RA-TRIAL-BAL-2021'!T442+'DES-TRIAL-BAL-2021'!T442+'DMP-TRIAL-BAL-2021'!T442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97">
        <f>+N442</f>
        <v>6080</v>
      </c>
      <c r="AK442" s="8">
        <v>0</v>
      </c>
      <c r="AL442" s="9">
        <v>0</v>
      </c>
      <c r="AM442" s="326">
        <f t="shared" si="233"/>
        <v>0</v>
      </c>
      <c r="AN442" s="970">
        <f t="shared" si="233"/>
        <v>0</v>
      </c>
      <c r="AO442" s="326">
        <f t="shared" si="236"/>
        <v>0</v>
      </c>
      <c r="AP442" s="327">
        <f t="shared" si="237"/>
        <v>0</v>
      </c>
      <c r="AQ442" s="43"/>
      <c r="AR442" s="358">
        <f>+ROUND(+SUM(AK442-AL442)-SUM(O442-P442)-SUM(V442-W442)-SUM(AC442-AD442),2)</f>
        <v>0</v>
      </c>
      <c r="AS442" s="359">
        <f>+ROUND(+SUM(AM442-AN442)-SUM(Q442-R442)-SUM(X442-Y442)-SUM(AE442-AF442),2)</f>
        <v>0</v>
      </c>
      <c r="AT442" s="360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25"/>
      <c r="R443" s="324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41">
        <f>+'NF-KSF-TRIAL-BAL-2021'!O443+'RA-TRIAL-BAL-2021'!O443+'DES-TRIAL-BAL-2021'!O443+'DMP-TRIAL-BAL-2021'!O443</f>
        <v>0</v>
      </c>
      <c r="W443" s="529">
        <f>+'NF-KSF-TRIAL-BAL-2021'!P443+'RA-TRIAL-BAL-2021'!P443+'DES-TRIAL-BAL-2021'!P443+'DMP-TRIAL-BAL-2021'!P443</f>
        <v>0</v>
      </c>
      <c r="X443" s="528">
        <f>+'NF-KSF-TRIAL-BAL-2021'!Q443+'RA-TRIAL-BAL-2021'!Q443+'DES-TRIAL-BAL-2021'!Q443+'DMP-TRIAL-BAL-2021'!Q443</f>
        <v>0</v>
      </c>
      <c r="Y443" s="529">
        <f>+'NF-KSF-TRIAL-BAL-2021'!R443+'RA-TRIAL-BAL-2021'!R443+'DES-TRIAL-BAL-2021'!R443+'DMP-TRIAL-BAL-2021'!R443</f>
        <v>0</v>
      </c>
      <c r="Z443" s="528">
        <f>+'NF-KSF-TRIAL-BAL-2021'!S443+'RA-TRIAL-BAL-2021'!S443+'DES-TRIAL-BAL-2021'!S443+'DMP-TRIAL-BAL-2021'!S443</f>
        <v>0</v>
      </c>
      <c r="AA443" s="347">
        <f>+'NF-KSF-TRIAL-BAL-2021'!T443+'RA-TRIAL-BAL-2021'!T443+'DES-TRIAL-BAL-2021'!T443+'DMP-TRIAL-BAL-2021'!T443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97">
        <f>+N443</f>
        <v>6081</v>
      </c>
      <c r="AK443" s="8">
        <v>0</v>
      </c>
      <c r="AL443" s="9">
        <v>0</v>
      </c>
      <c r="AM443" s="326">
        <f>+ROUND(+Q443+X443+AE443,2)</f>
        <v>0</v>
      </c>
      <c r="AN443" s="970">
        <f>+ROUND(+R443+Y443+AF443,2)</f>
        <v>0</v>
      </c>
      <c r="AO443" s="326">
        <f t="shared" si="236"/>
        <v>0</v>
      </c>
      <c r="AP443" s="327">
        <f t="shared" si="237"/>
        <v>0</v>
      </c>
      <c r="AQ443" s="43"/>
      <c r="AR443" s="358">
        <f>+ROUND(+SUM(AK443-AL443)-SUM(O443-P443)-SUM(V443-W443)-SUM(AC443-AD443),2)</f>
        <v>0</v>
      </c>
      <c r="AS443" s="359">
        <f>+ROUND(+SUM(AM443-AN443)-SUM(Q443-R443)-SUM(X443-Y443)-SUM(AE443-AF443),2)</f>
        <v>0</v>
      </c>
      <c r="AT443" s="360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25"/>
      <c r="R444" s="324"/>
      <c r="S444" s="27">
        <f t="shared" si="238"/>
        <v>0</v>
      </c>
      <c r="T444" s="28">
        <f t="shared" si="234"/>
        <v>0</v>
      </c>
      <c r="U444" s="51"/>
      <c r="V444" s="541">
        <f>+'NF-KSF-TRIAL-BAL-2021'!O444+'RA-TRIAL-BAL-2021'!O444+'DES-TRIAL-BAL-2021'!O444+'DMP-TRIAL-BAL-2021'!O444</f>
        <v>0</v>
      </c>
      <c r="W444" s="529">
        <f>+'NF-KSF-TRIAL-BAL-2021'!P444+'RA-TRIAL-BAL-2021'!P444+'DES-TRIAL-BAL-2021'!P444+'DMP-TRIAL-BAL-2021'!P444</f>
        <v>0</v>
      </c>
      <c r="X444" s="528">
        <f>+'NF-KSF-TRIAL-BAL-2021'!Q444+'RA-TRIAL-BAL-2021'!Q444+'DES-TRIAL-BAL-2021'!Q444+'DMP-TRIAL-BAL-2021'!Q444</f>
        <v>0</v>
      </c>
      <c r="Y444" s="529">
        <f>+'NF-KSF-TRIAL-BAL-2021'!R444+'RA-TRIAL-BAL-2021'!R444+'DES-TRIAL-BAL-2021'!R444+'DMP-TRIAL-BAL-2021'!R444</f>
        <v>0</v>
      </c>
      <c r="Z444" s="528">
        <f>+'NF-KSF-TRIAL-BAL-2021'!S444+'RA-TRIAL-BAL-2021'!S444+'DES-TRIAL-BAL-2021'!S444+'DMP-TRIAL-BAL-2021'!S444</f>
        <v>0</v>
      </c>
      <c r="AA444" s="347">
        <f>+'NF-KSF-TRIAL-BAL-2021'!T444+'RA-TRIAL-BAL-2021'!T444+'DES-TRIAL-BAL-2021'!T444+'DMP-TRIAL-BAL-2021'!T444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97">
        <f t="shared" si="226"/>
        <v>6082</v>
      </c>
      <c r="AK444" s="8">
        <v>0</v>
      </c>
      <c r="AL444" s="9">
        <v>0</v>
      </c>
      <c r="AM444" s="326">
        <f t="shared" si="233"/>
        <v>0</v>
      </c>
      <c r="AN444" s="970">
        <f t="shared" si="233"/>
        <v>0</v>
      </c>
      <c r="AO444" s="326">
        <f t="shared" si="236"/>
        <v>0</v>
      </c>
      <c r="AP444" s="327">
        <f t="shared" si="237"/>
        <v>0</v>
      </c>
      <c r="AQ444" s="43"/>
      <c r="AR444" s="358">
        <f t="shared" si="220"/>
        <v>0</v>
      </c>
      <c r="AS444" s="359">
        <f t="shared" si="221"/>
        <v>0</v>
      </c>
      <c r="AT444" s="360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25"/>
      <c r="R445" s="324"/>
      <c r="S445" s="27">
        <f t="shared" si="238"/>
        <v>0</v>
      </c>
      <c r="T445" s="28">
        <f t="shared" si="234"/>
        <v>0</v>
      </c>
      <c r="U445" s="51"/>
      <c r="V445" s="541">
        <f>+'NF-KSF-TRIAL-BAL-2021'!O445+'RA-TRIAL-BAL-2021'!O445+'DES-TRIAL-BAL-2021'!O445+'DMP-TRIAL-BAL-2021'!O445</f>
        <v>0</v>
      </c>
      <c r="W445" s="529">
        <f>+'NF-KSF-TRIAL-BAL-2021'!P445+'RA-TRIAL-BAL-2021'!P445+'DES-TRIAL-BAL-2021'!P445+'DMP-TRIAL-BAL-2021'!P445</f>
        <v>0</v>
      </c>
      <c r="X445" s="528">
        <f>+'NF-KSF-TRIAL-BAL-2021'!Q445+'RA-TRIAL-BAL-2021'!Q445+'DES-TRIAL-BAL-2021'!Q445+'DMP-TRIAL-BAL-2021'!Q445</f>
        <v>0</v>
      </c>
      <c r="Y445" s="529">
        <f>+'NF-KSF-TRIAL-BAL-2021'!R445+'RA-TRIAL-BAL-2021'!R445+'DES-TRIAL-BAL-2021'!R445+'DMP-TRIAL-BAL-2021'!R445</f>
        <v>0</v>
      </c>
      <c r="Z445" s="528">
        <f>+'NF-KSF-TRIAL-BAL-2021'!S445+'RA-TRIAL-BAL-2021'!S445+'DES-TRIAL-BAL-2021'!S445+'DMP-TRIAL-BAL-2021'!S445</f>
        <v>0</v>
      </c>
      <c r="AA445" s="347">
        <f>+'NF-KSF-TRIAL-BAL-2021'!T445+'RA-TRIAL-BAL-2021'!T445+'DES-TRIAL-BAL-2021'!T445+'DMP-TRIAL-BAL-2021'!T445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97">
        <f t="shared" si="226"/>
        <v>6087</v>
      </c>
      <c r="AK445" s="8">
        <v>0</v>
      </c>
      <c r="AL445" s="9">
        <v>0</v>
      </c>
      <c r="AM445" s="326">
        <f t="shared" si="233"/>
        <v>0</v>
      </c>
      <c r="AN445" s="970">
        <f t="shared" si="233"/>
        <v>0</v>
      </c>
      <c r="AO445" s="326">
        <f t="shared" si="236"/>
        <v>0</v>
      </c>
      <c r="AP445" s="327">
        <f t="shared" si="237"/>
        <v>0</v>
      </c>
      <c r="AQ445" s="43"/>
      <c r="AR445" s="358">
        <f t="shared" si="220"/>
        <v>0</v>
      </c>
      <c r="AS445" s="359">
        <f t="shared" si="221"/>
        <v>0</v>
      </c>
      <c r="AT445" s="360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25"/>
      <c r="R446" s="324"/>
      <c r="S446" s="27">
        <f t="shared" si="238"/>
        <v>0</v>
      </c>
      <c r="T446" s="28">
        <f t="shared" si="234"/>
        <v>0</v>
      </c>
      <c r="U446" s="51"/>
      <c r="V446" s="541">
        <f>+'NF-KSF-TRIAL-BAL-2021'!O446+'RA-TRIAL-BAL-2021'!O446+'DES-TRIAL-BAL-2021'!O446+'DMP-TRIAL-BAL-2021'!O446</f>
        <v>0</v>
      </c>
      <c r="W446" s="529">
        <f>+'NF-KSF-TRIAL-BAL-2021'!P446+'RA-TRIAL-BAL-2021'!P446+'DES-TRIAL-BAL-2021'!P446+'DMP-TRIAL-BAL-2021'!P446</f>
        <v>0</v>
      </c>
      <c r="X446" s="528">
        <f>+'NF-KSF-TRIAL-BAL-2021'!Q446+'RA-TRIAL-BAL-2021'!Q446+'DES-TRIAL-BAL-2021'!Q446+'DMP-TRIAL-BAL-2021'!Q446</f>
        <v>0</v>
      </c>
      <c r="Y446" s="529">
        <f>+'NF-KSF-TRIAL-BAL-2021'!R446+'RA-TRIAL-BAL-2021'!R446+'DES-TRIAL-BAL-2021'!R446+'DMP-TRIAL-BAL-2021'!R446</f>
        <v>0</v>
      </c>
      <c r="Z446" s="528">
        <f>+'NF-KSF-TRIAL-BAL-2021'!S446+'RA-TRIAL-BAL-2021'!S446+'DES-TRIAL-BAL-2021'!S446+'DMP-TRIAL-BAL-2021'!S446</f>
        <v>0</v>
      </c>
      <c r="AA446" s="347">
        <f>+'NF-KSF-TRIAL-BAL-2021'!T446+'RA-TRIAL-BAL-2021'!T446+'DES-TRIAL-BAL-2021'!T446+'DMP-TRIAL-BAL-2021'!T446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97">
        <f t="shared" si="226"/>
        <v>6089</v>
      </c>
      <c r="AK446" s="8">
        <v>0</v>
      </c>
      <c r="AL446" s="9">
        <v>0</v>
      </c>
      <c r="AM446" s="326">
        <f t="shared" si="233"/>
        <v>0</v>
      </c>
      <c r="AN446" s="970">
        <f t="shared" si="233"/>
        <v>0</v>
      </c>
      <c r="AO446" s="326">
        <f t="shared" si="236"/>
        <v>0</v>
      </c>
      <c r="AP446" s="327">
        <f t="shared" si="237"/>
        <v>0</v>
      </c>
      <c r="AQ446" s="43"/>
      <c r="AR446" s="358">
        <f t="shared" si="220"/>
        <v>0</v>
      </c>
      <c r="AS446" s="359">
        <f t="shared" si="221"/>
        <v>0</v>
      </c>
      <c r="AT446" s="360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25">
        <v>6804.06</v>
      </c>
      <c r="R447" s="324"/>
      <c r="S447" s="27">
        <f>+IF(ABS(+O447+Q447)&gt;=ABS(P447+R447),+O447-P447+Q447-R447,0)</f>
        <v>6804.06</v>
      </c>
      <c r="T447" s="28">
        <f>+IF(ABS(+O447+Q447)&lt;=ABS(P447+R447),-O447+P447-Q447+R447,0)</f>
        <v>0</v>
      </c>
      <c r="U447" s="51"/>
      <c r="V447" s="541">
        <f>+'NF-KSF-TRIAL-BAL-2021'!O447+'RA-TRIAL-BAL-2021'!O447+'DES-TRIAL-BAL-2021'!O447+'DMP-TRIAL-BAL-2021'!O447</f>
        <v>0</v>
      </c>
      <c r="W447" s="529">
        <f>+'NF-KSF-TRIAL-BAL-2021'!P447+'RA-TRIAL-BAL-2021'!P447+'DES-TRIAL-BAL-2021'!P447+'DMP-TRIAL-BAL-2021'!P447</f>
        <v>0</v>
      </c>
      <c r="X447" s="528">
        <f>+'NF-KSF-TRIAL-BAL-2021'!Q447+'RA-TRIAL-BAL-2021'!Q447+'DES-TRIAL-BAL-2021'!Q447+'DMP-TRIAL-BAL-2021'!Q447</f>
        <v>0</v>
      </c>
      <c r="Y447" s="529">
        <f>+'NF-KSF-TRIAL-BAL-2021'!R447+'RA-TRIAL-BAL-2021'!R447+'DES-TRIAL-BAL-2021'!R447+'DMP-TRIAL-BAL-2021'!R447</f>
        <v>0</v>
      </c>
      <c r="Z447" s="528">
        <f>+'NF-KSF-TRIAL-BAL-2021'!S447+'RA-TRIAL-BAL-2021'!S447+'DES-TRIAL-BAL-2021'!S447+'DMP-TRIAL-BAL-2021'!S447</f>
        <v>0</v>
      </c>
      <c r="AA447" s="347">
        <f>+'NF-KSF-TRIAL-BAL-2021'!T447+'RA-TRIAL-BAL-2021'!T447+'DES-TRIAL-BAL-2021'!T447+'DMP-TRIAL-BAL-2021'!T447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97">
        <f>+N447</f>
        <v>6090</v>
      </c>
      <c r="AK447" s="8">
        <v>0</v>
      </c>
      <c r="AL447" s="9">
        <v>0</v>
      </c>
      <c r="AM447" s="326">
        <f>+ROUND(+Q447+X447+AE447,2)</f>
        <v>6804.06</v>
      </c>
      <c r="AN447" s="970">
        <f>+ROUND(+R447+Y447+AF447,2)</f>
        <v>0</v>
      </c>
      <c r="AO447" s="326">
        <f t="shared" si="236"/>
        <v>6804.06</v>
      </c>
      <c r="AP447" s="327">
        <f t="shared" si="237"/>
        <v>0</v>
      </c>
      <c r="AQ447" s="43"/>
      <c r="AR447" s="358">
        <f>+ROUND(+SUM(AK447-AL447)-SUM(O447-P447)-SUM(V447-W447)-SUM(AC447-AD447),2)</f>
        <v>0</v>
      </c>
      <c r="AS447" s="359">
        <f>+ROUND(+SUM(AM447-AN447)-SUM(Q447-R447)-SUM(X447-Y447)-SUM(AE447-AF447),2)</f>
        <v>0</v>
      </c>
      <c r="AT447" s="360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25">
        <v>133580</v>
      </c>
      <c r="R448" s="324">
        <v>6714.15</v>
      </c>
      <c r="S448" s="27">
        <f t="shared" si="238"/>
        <v>126865.85</v>
      </c>
      <c r="T448" s="28">
        <f t="shared" si="234"/>
        <v>0</v>
      </c>
      <c r="U448" s="51"/>
      <c r="V448" s="541">
        <f>+'NF-KSF-TRIAL-BAL-2021'!O448+'RA-TRIAL-BAL-2021'!O448+'DES-TRIAL-BAL-2021'!O448+'DMP-TRIAL-BAL-2021'!O448</f>
        <v>0</v>
      </c>
      <c r="W448" s="529">
        <f>+'NF-KSF-TRIAL-BAL-2021'!P448+'RA-TRIAL-BAL-2021'!P448+'DES-TRIAL-BAL-2021'!P448+'DMP-TRIAL-BAL-2021'!P448</f>
        <v>0</v>
      </c>
      <c r="X448" s="528">
        <f>+'NF-KSF-TRIAL-BAL-2021'!Q448+'RA-TRIAL-BAL-2021'!Q448+'DES-TRIAL-BAL-2021'!Q448+'DMP-TRIAL-BAL-2021'!Q448</f>
        <v>0</v>
      </c>
      <c r="Y448" s="529">
        <f>+'NF-KSF-TRIAL-BAL-2021'!R448+'RA-TRIAL-BAL-2021'!R448+'DES-TRIAL-BAL-2021'!R448+'DMP-TRIAL-BAL-2021'!R448</f>
        <v>0</v>
      </c>
      <c r="Z448" s="528">
        <f>+'NF-KSF-TRIAL-BAL-2021'!S448+'RA-TRIAL-BAL-2021'!S448+'DES-TRIAL-BAL-2021'!S448+'DMP-TRIAL-BAL-2021'!S448</f>
        <v>0</v>
      </c>
      <c r="AA448" s="347">
        <f>+'NF-KSF-TRIAL-BAL-2021'!T448+'RA-TRIAL-BAL-2021'!T448+'DES-TRIAL-BAL-2021'!T448+'DMP-TRIAL-BAL-2021'!T448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97">
        <f t="shared" si="226"/>
        <v>6091</v>
      </c>
      <c r="AK448" s="8">
        <v>0</v>
      </c>
      <c r="AL448" s="9">
        <v>0</v>
      </c>
      <c r="AM448" s="326">
        <f t="shared" si="233"/>
        <v>133580</v>
      </c>
      <c r="AN448" s="970">
        <f t="shared" si="233"/>
        <v>6714.15</v>
      </c>
      <c r="AO448" s="326">
        <f t="shared" si="236"/>
        <v>126865.85</v>
      </c>
      <c r="AP448" s="327">
        <f t="shared" si="237"/>
        <v>0</v>
      </c>
      <c r="AQ448" s="43"/>
      <c r="AR448" s="358">
        <f t="shared" si="220"/>
        <v>0</v>
      </c>
      <c r="AS448" s="359">
        <f t="shared" si="221"/>
        <v>0</v>
      </c>
      <c r="AT448" s="360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25"/>
      <c r="R449" s="324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41">
        <f>+'NF-KSF-TRIAL-BAL-2021'!O449+'RA-TRIAL-BAL-2021'!O449+'DES-TRIAL-BAL-2021'!O449+'DMP-TRIAL-BAL-2021'!O449</f>
        <v>0</v>
      </c>
      <c r="W449" s="529">
        <f>+'NF-KSF-TRIAL-BAL-2021'!P449+'RA-TRIAL-BAL-2021'!P449+'DES-TRIAL-BAL-2021'!P449+'DMP-TRIAL-BAL-2021'!P449</f>
        <v>0</v>
      </c>
      <c r="X449" s="528">
        <f>+'NF-KSF-TRIAL-BAL-2021'!Q449+'RA-TRIAL-BAL-2021'!Q449+'DES-TRIAL-BAL-2021'!Q449+'DMP-TRIAL-BAL-2021'!Q449</f>
        <v>0</v>
      </c>
      <c r="Y449" s="529">
        <f>+'NF-KSF-TRIAL-BAL-2021'!R449+'RA-TRIAL-BAL-2021'!R449+'DES-TRIAL-BAL-2021'!R449+'DMP-TRIAL-BAL-2021'!R449</f>
        <v>0</v>
      </c>
      <c r="Z449" s="528">
        <f>+'NF-KSF-TRIAL-BAL-2021'!S449+'RA-TRIAL-BAL-2021'!S449+'DES-TRIAL-BAL-2021'!S449+'DMP-TRIAL-BAL-2021'!S449</f>
        <v>0</v>
      </c>
      <c r="AA449" s="347">
        <f>+'NF-KSF-TRIAL-BAL-2021'!T449+'RA-TRIAL-BAL-2021'!T449+'DES-TRIAL-BAL-2021'!T449+'DMP-TRIAL-BAL-2021'!T449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97">
        <f>+N449</f>
        <v>6092</v>
      </c>
      <c r="AK449" s="8">
        <v>0</v>
      </c>
      <c r="AL449" s="9">
        <v>0</v>
      </c>
      <c r="AM449" s="326">
        <f t="shared" si="233"/>
        <v>0</v>
      </c>
      <c r="AN449" s="970">
        <f t="shared" si="233"/>
        <v>0</v>
      </c>
      <c r="AO449" s="326">
        <f t="shared" si="236"/>
        <v>0</v>
      </c>
      <c r="AP449" s="327">
        <f t="shared" si="237"/>
        <v>0</v>
      </c>
      <c r="AQ449" s="43"/>
      <c r="AR449" s="358">
        <f>+ROUND(+SUM(AK449-AL449)-SUM(O449-P449)-SUM(V449-W449)-SUM(AC449-AD449),2)</f>
        <v>0</v>
      </c>
      <c r="AS449" s="359">
        <f>+ROUND(+SUM(AM449-AN449)-SUM(Q449-R449)-SUM(X449-Y449)-SUM(AE449-AF449),2)</f>
        <v>0</v>
      </c>
      <c r="AT449" s="360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25">
        <v>10350.14</v>
      </c>
      <c r="R450" s="324"/>
      <c r="S450" s="27">
        <f t="shared" si="238"/>
        <v>10350.14</v>
      </c>
      <c r="T450" s="28">
        <f t="shared" si="234"/>
        <v>0</v>
      </c>
      <c r="U450" s="51"/>
      <c r="V450" s="541">
        <f>+'NF-KSF-TRIAL-BAL-2021'!O450+'RA-TRIAL-BAL-2021'!O450+'DES-TRIAL-BAL-2021'!O450+'DMP-TRIAL-BAL-2021'!O450</f>
        <v>0</v>
      </c>
      <c r="W450" s="529">
        <f>+'NF-KSF-TRIAL-BAL-2021'!P450+'RA-TRIAL-BAL-2021'!P450+'DES-TRIAL-BAL-2021'!P450+'DMP-TRIAL-BAL-2021'!P450</f>
        <v>0</v>
      </c>
      <c r="X450" s="528">
        <f>+'NF-KSF-TRIAL-BAL-2021'!Q450+'RA-TRIAL-BAL-2021'!Q450+'DES-TRIAL-BAL-2021'!Q450+'DMP-TRIAL-BAL-2021'!Q450</f>
        <v>0</v>
      </c>
      <c r="Y450" s="529">
        <f>+'NF-KSF-TRIAL-BAL-2021'!R450+'RA-TRIAL-BAL-2021'!R450+'DES-TRIAL-BAL-2021'!R450+'DMP-TRIAL-BAL-2021'!R450</f>
        <v>0</v>
      </c>
      <c r="Z450" s="528">
        <f>+'NF-KSF-TRIAL-BAL-2021'!S450+'RA-TRIAL-BAL-2021'!S450+'DES-TRIAL-BAL-2021'!S450+'DMP-TRIAL-BAL-2021'!S450</f>
        <v>0</v>
      </c>
      <c r="AA450" s="347">
        <f>+'NF-KSF-TRIAL-BAL-2021'!T450+'RA-TRIAL-BAL-2021'!T450+'DES-TRIAL-BAL-2021'!T450+'DMP-TRIAL-BAL-2021'!T450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97">
        <f t="shared" si="226"/>
        <v>6093</v>
      </c>
      <c r="AK450" s="8">
        <v>0</v>
      </c>
      <c r="AL450" s="9">
        <v>0</v>
      </c>
      <c r="AM450" s="326">
        <f t="shared" si="233"/>
        <v>10350.14</v>
      </c>
      <c r="AN450" s="970">
        <f t="shared" si="233"/>
        <v>0</v>
      </c>
      <c r="AO450" s="326">
        <f t="shared" si="236"/>
        <v>10350.14</v>
      </c>
      <c r="AP450" s="327">
        <f t="shared" si="237"/>
        <v>0</v>
      </c>
      <c r="AQ450" s="43"/>
      <c r="AR450" s="358">
        <f t="shared" si="220"/>
        <v>0</v>
      </c>
      <c r="AS450" s="359">
        <f t="shared" si="221"/>
        <v>0</v>
      </c>
      <c r="AT450" s="360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25"/>
      <c r="R451" s="324"/>
      <c r="S451" s="27">
        <f t="shared" si="238"/>
        <v>0</v>
      </c>
      <c r="T451" s="28">
        <f t="shared" si="234"/>
        <v>0</v>
      </c>
      <c r="U451" s="51"/>
      <c r="V451" s="541">
        <f>+'NF-KSF-TRIAL-BAL-2021'!O451+'RA-TRIAL-BAL-2021'!O451+'DES-TRIAL-BAL-2021'!O451+'DMP-TRIAL-BAL-2021'!O451</f>
        <v>0</v>
      </c>
      <c r="W451" s="529">
        <f>+'NF-KSF-TRIAL-BAL-2021'!P451+'RA-TRIAL-BAL-2021'!P451+'DES-TRIAL-BAL-2021'!P451+'DMP-TRIAL-BAL-2021'!P451</f>
        <v>0</v>
      </c>
      <c r="X451" s="528">
        <f>+'NF-KSF-TRIAL-BAL-2021'!Q451+'RA-TRIAL-BAL-2021'!Q451+'DES-TRIAL-BAL-2021'!Q451+'DMP-TRIAL-BAL-2021'!Q451</f>
        <v>4026.58</v>
      </c>
      <c r="Y451" s="529">
        <f>+'NF-KSF-TRIAL-BAL-2021'!R451+'RA-TRIAL-BAL-2021'!R451+'DES-TRIAL-BAL-2021'!R451+'DMP-TRIAL-BAL-2021'!R451</f>
        <v>0</v>
      </c>
      <c r="Z451" s="528">
        <f>+'NF-KSF-TRIAL-BAL-2021'!S451+'RA-TRIAL-BAL-2021'!S451+'DES-TRIAL-BAL-2021'!S451+'DMP-TRIAL-BAL-2021'!S451</f>
        <v>4026.58</v>
      </c>
      <c r="AA451" s="347">
        <f>+'NF-KSF-TRIAL-BAL-2021'!T451+'RA-TRIAL-BAL-2021'!T451+'DES-TRIAL-BAL-2021'!T451+'DMP-TRIAL-BAL-2021'!T451</f>
        <v>0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97">
        <f t="shared" si="226"/>
        <v>6094</v>
      </c>
      <c r="AK451" s="8">
        <v>0</v>
      </c>
      <c r="AL451" s="9">
        <v>0</v>
      </c>
      <c r="AM451" s="326">
        <f t="shared" si="233"/>
        <v>4026.58</v>
      </c>
      <c r="AN451" s="970">
        <f t="shared" si="233"/>
        <v>0</v>
      </c>
      <c r="AO451" s="326">
        <f t="shared" si="236"/>
        <v>4026.58</v>
      </c>
      <c r="AP451" s="327">
        <f t="shared" si="237"/>
        <v>0</v>
      </c>
      <c r="AQ451" s="43"/>
      <c r="AR451" s="358">
        <f t="shared" si="220"/>
        <v>0</v>
      </c>
      <c r="AS451" s="359">
        <f t="shared" si="221"/>
        <v>0</v>
      </c>
      <c r="AT451" s="360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25">
        <v>116.86</v>
      </c>
      <c r="R452" s="324"/>
      <c r="S452" s="27">
        <f t="shared" si="238"/>
        <v>116.86</v>
      </c>
      <c r="T452" s="28">
        <f t="shared" si="234"/>
        <v>0</v>
      </c>
      <c r="U452" s="51"/>
      <c r="V452" s="541">
        <f>+'NF-KSF-TRIAL-BAL-2021'!O452+'RA-TRIAL-BAL-2021'!O452+'DES-TRIAL-BAL-2021'!O452+'DMP-TRIAL-BAL-2021'!O452</f>
        <v>0</v>
      </c>
      <c r="W452" s="529">
        <f>+'NF-KSF-TRIAL-BAL-2021'!P452+'RA-TRIAL-BAL-2021'!P452+'DES-TRIAL-BAL-2021'!P452+'DMP-TRIAL-BAL-2021'!P452</f>
        <v>0</v>
      </c>
      <c r="X452" s="528">
        <f>+'NF-KSF-TRIAL-BAL-2021'!Q452+'RA-TRIAL-BAL-2021'!Q452+'DES-TRIAL-BAL-2021'!Q452+'DMP-TRIAL-BAL-2021'!Q452</f>
        <v>0</v>
      </c>
      <c r="Y452" s="529">
        <f>+'NF-KSF-TRIAL-BAL-2021'!R452+'RA-TRIAL-BAL-2021'!R452+'DES-TRIAL-BAL-2021'!R452+'DMP-TRIAL-BAL-2021'!R452</f>
        <v>0</v>
      </c>
      <c r="Z452" s="528">
        <f>+'NF-KSF-TRIAL-BAL-2021'!S452+'RA-TRIAL-BAL-2021'!S452+'DES-TRIAL-BAL-2021'!S452+'DMP-TRIAL-BAL-2021'!S452</f>
        <v>0</v>
      </c>
      <c r="AA452" s="347">
        <f>+'NF-KSF-TRIAL-BAL-2021'!T452+'RA-TRIAL-BAL-2021'!T452+'DES-TRIAL-BAL-2021'!T452+'DMP-TRIAL-BAL-2021'!T452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97">
        <f t="shared" si="226"/>
        <v>6095</v>
      </c>
      <c r="AK452" s="8">
        <v>0</v>
      </c>
      <c r="AL452" s="9">
        <v>0</v>
      </c>
      <c r="AM452" s="326">
        <f t="shared" si="233"/>
        <v>116.86</v>
      </c>
      <c r="AN452" s="970">
        <f t="shared" si="233"/>
        <v>0</v>
      </c>
      <c r="AO452" s="326">
        <f t="shared" si="236"/>
        <v>116.86</v>
      </c>
      <c r="AP452" s="327">
        <f t="shared" si="237"/>
        <v>0</v>
      </c>
      <c r="AQ452" s="43"/>
      <c r="AR452" s="358">
        <f t="shared" si="220"/>
        <v>0</v>
      </c>
      <c r="AS452" s="359">
        <f t="shared" si="221"/>
        <v>0</v>
      </c>
      <c r="AT452" s="360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25"/>
      <c r="R453" s="324"/>
      <c r="S453" s="27">
        <f t="shared" si="238"/>
        <v>0</v>
      </c>
      <c r="T453" s="28">
        <f t="shared" si="234"/>
        <v>0</v>
      </c>
      <c r="U453" s="51"/>
      <c r="V453" s="541">
        <f>+'NF-KSF-TRIAL-BAL-2021'!O453+'RA-TRIAL-BAL-2021'!O453+'DES-TRIAL-BAL-2021'!O453+'DMP-TRIAL-BAL-2021'!O453</f>
        <v>0</v>
      </c>
      <c r="W453" s="529">
        <f>+'NF-KSF-TRIAL-BAL-2021'!P453+'RA-TRIAL-BAL-2021'!P453+'DES-TRIAL-BAL-2021'!P453+'DMP-TRIAL-BAL-2021'!P453</f>
        <v>0</v>
      </c>
      <c r="X453" s="528">
        <f>+'NF-KSF-TRIAL-BAL-2021'!Q453+'RA-TRIAL-BAL-2021'!Q453+'DES-TRIAL-BAL-2021'!Q453+'DMP-TRIAL-BAL-2021'!Q453</f>
        <v>0</v>
      </c>
      <c r="Y453" s="529">
        <f>+'NF-KSF-TRIAL-BAL-2021'!R453+'RA-TRIAL-BAL-2021'!R453+'DES-TRIAL-BAL-2021'!R453+'DMP-TRIAL-BAL-2021'!R453</f>
        <v>0</v>
      </c>
      <c r="Z453" s="528">
        <f>+'NF-KSF-TRIAL-BAL-2021'!S453+'RA-TRIAL-BAL-2021'!S453+'DES-TRIAL-BAL-2021'!S453+'DMP-TRIAL-BAL-2021'!S453</f>
        <v>0</v>
      </c>
      <c r="AA453" s="347">
        <f>+'NF-KSF-TRIAL-BAL-2021'!T453+'RA-TRIAL-BAL-2021'!T453+'DES-TRIAL-BAL-2021'!T453+'DMP-TRIAL-BAL-2021'!T453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97">
        <f t="shared" si="226"/>
        <v>6096</v>
      </c>
      <c r="AK453" s="8">
        <v>0</v>
      </c>
      <c r="AL453" s="9">
        <v>0</v>
      </c>
      <c r="AM453" s="326">
        <f t="shared" si="233"/>
        <v>0</v>
      </c>
      <c r="AN453" s="970">
        <f t="shared" si="233"/>
        <v>0</v>
      </c>
      <c r="AO453" s="326">
        <f t="shared" si="236"/>
        <v>0</v>
      </c>
      <c r="AP453" s="327">
        <f t="shared" si="237"/>
        <v>0</v>
      </c>
      <c r="AQ453" s="43"/>
      <c r="AR453" s="358">
        <f t="shared" si="220"/>
        <v>0</v>
      </c>
      <c r="AS453" s="359">
        <f t="shared" si="221"/>
        <v>0</v>
      </c>
      <c r="AT453" s="360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25">
        <v>12787.74</v>
      </c>
      <c r="R454" s="324"/>
      <c r="S454" s="27">
        <f t="shared" si="238"/>
        <v>12787.74</v>
      </c>
      <c r="T454" s="28">
        <f t="shared" si="234"/>
        <v>0</v>
      </c>
      <c r="U454" s="51"/>
      <c r="V454" s="541">
        <f>+'NF-KSF-TRIAL-BAL-2021'!O454+'RA-TRIAL-BAL-2021'!O454+'DES-TRIAL-BAL-2021'!O454+'DMP-TRIAL-BAL-2021'!O454</f>
        <v>0</v>
      </c>
      <c r="W454" s="529">
        <f>+'NF-KSF-TRIAL-BAL-2021'!P454+'RA-TRIAL-BAL-2021'!P454+'DES-TRIAL-BAL-2021'!P454+'DMP-TRIAL-BAL-2021'!P454</f>
        <v>0</v>
      </c>
      <c r="X454" s="528">
        <f>+'NF-KSF-TRIAL-BAL-2021'!Q454+'RA-TRIAL-BAL-2021'!Q454+'DES-TRIAL-BAL-2021'!Q454+'DMP-TRIAL-BAL-2021'!Q454</f>
        <v>214.75</v>
      </c>
      <c r="Y454" s="529">
        <f>+'NF-KSF-TRIAL-BAL-2021'!R454+'RA-TRIAL-BAL-2021'!R454+'DES-TRIAL-BAL-2021'!R454+'DMP-TRIAL-BAL-2021'!R454</f>
        <v>0</v>
      </c>
      <c r="Z454" s="528">
        <f>+'NF-KSF-TRIAL-BAL-2021'!S454+'RA-TRIAL-BAL-2021'!S454+'DES-TRIAL-BAL-2021'!S454+'DMP-TRIAL-BAL-2021'!S454</f>
        <v>214.75</v>
      </c>
      <c r="AA454" s="347">
        <f>+'NF-KSF-TRIAL-BAL-2021'!T454+'RA-TRIAL-BAL-2021'!T454+'DES-TRIAL-BAL-2021'!T454+'DMP-TRIAL-BAL-2021'!T454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97">
        <f t="shared" si="226"/>
        <v>6098</v>
      </c>
      <c r="AK454" s="8">
        <v>0</v>
      </c>
      <c r="AL454" s="9">
        <v>0</v>
      </c>
      <c r="AM454" s="326">
        <f t="shared" si="233"/>
        <v>13002.49</v>
      </c>
      <c r="AN454" s="970">
        <f t="shared" si="233"/>
        <v>0</v>
      </c>
      <c r="AO454" s="326">
        <f t="shared" si="236"/>
        <v>13002.49</v>
      </c>
      <c r="AP454" s="327">
        <f t="shared" si="237"/>
        <v>0</v>
      </c>
      <c r="AQ454" s="43"/>
      <c r="AR454" s="358">
        <f t="shared" ref="AR454:AR528" si="241">+ROUND(+SUM(AK454-AL454)-SUM(O454-P454)-SUM(V454-W454)-SUM(AC454-AD454),2)</f>
        <v>0</v>
      </c>
      <c r="AS454" s="359">
        <f t="shared" ref="AS454:AS528" si="242">+ROUND(+SUM(AM454-AN454)-SUM(Q454-R454)-SUM(X454-Y454)-SUM(AE454-AF454),2)</f>
        <v>0</v>
      </c>
      <c r="AT454" s="360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25"/>
      <c r="R455" s="324"/>
      <c r="S455" s="27">
        <f t="shared" si="238"/>
        <v>0</v>
      </c>
      <c r="T455" s="28">
        <f t="shared" si="234"/>
        <v>0</v>
      </c>
      <c r="U455" s="51"/>
      <c r="V455" s="541">
        <f>+'NF-KSF-TRIAL-BAL-2021'!O455+'RA-TRIAL-BAL-2021'!O455+'DES-TRIAL-BAL-2021'!O455+'DMP-TRIAL-BAL-2021'!O455</f>
        <v>0</v>
      </c>
      <c r="W455" s="529">
        <f>+'NF-KSF-TRIAL-BAL-2021'!P455+'RA-TRIAL-BAL-2021'!P455+'DES-TRIAL-BAL-2021'!P455+'DMP-TRIAL-BAL-2021'!P455</f>
        <v>0</v>
      </c>
      <c r="X455" s="528">
        <f>+'NF-KSF-TRIAL-BAL-2021'!Q455+'RA-TRIAL-BAL-2021'!Q455+'DES-TRIAL-BAL-2021'!Q455+'DMP-TRIAL-BAL-2021'!Q455</f>
        <v>0</v>
      </c>
      <c r="Y455" s="529">
        <f>+'NF-KSF-TRIAL-BAL-2021'!R455+'RA-TRIAL-BAL-2021'!R455+'DES-TRIAL-BAL-2021'!R455+'DMP-TRIAL-BAL-2021'!R455</f>
        <v>0</v>
      </c>
      <c r="Z455" s="528">
        <f>+'NF-KSF-TRIAL-BAL-2021'!S455+'RA-TRIAL-BAL-2021'!S455+'DES-TRIAL-BAL-2021'!S455+'DMP-TRIAL-BAL-2021'!S455</f>
        <v>0</v>
      </c>
      <c r="AA455" s="347">
        <f>+'NF-KSF-TRIAL-BAL-2021'!T455+'RA-TRIAL-BAL-2021'!T455+'DES-TRIAL-BAL-2021'!T455+'DMP-TRIAL-BAL-2021'!T455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97">
        <f t="shared" si="226"/>
        <v>6099</v>
      </c>
      <c r="AK455" s="8">
        <v>0</v>
      </c>
      <c r="AL455" s="9">
        <v>0</v>
      </c>
      <c r="AM455" s="326">
        <f t="shared" si="233"/>
        <v>0</v>
      </c>
      <c r="AN455" s="970">
        <f t="shared" si="233"/>
        <v>0</v>
      </c>
      <c r="AO455" s="326">
        <f t="shared" si="236"/>
        <v>0</v>
      </c>
      <c r="AP455" s="327">
        <f t="shared" si="237"/>
        <v>0</v>
      </c>
      <c r="AQ455" s="43"/>
      <c r="AR455" s="358">
        <f t="shared" si="241"/>
        <v>0</v>
      </c>
      <c r="AS455" s="359">
        <f t="shared" si="242"/>
        <v>0</v>
      </c>
      <c r="AT455" s="360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312" t="s">
        <v>2150</v>
      </c>
      <c r="C456" s="2313"/>
      <c r="D456" s="2313"/>
      <c r="E456" s="2313"/>
      <c r="F456" s="2313"/>
      <c r="G456" s="2313"/>
      <c r="H456" s="2313"/>
      <c r="I456" s="2313"/>
      <c r="J456" s="1033"/>
      <c r="K456" s="1033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25"/>
      <c r="R456" s="324"/>
      <c r="S456" s="27">
        <f t="shared" si="238"/>
        <v>0</v>
      </c>
      <c r="T456" s="28">
        <f t="shared" si="234"/>
        <v>0</v>
      </c>
      <c r="U456" s="51"/>
      <c r="V456" s="541">
        <f>+'NF-KSF-TRIAL-BAL-2021'!O456+'RA-TRIAL-BAL-2021'!O456+'DES-TRIAL-BAL-2021'!O456+'DMP-TRIAL-BAL-2021'!O456</f>
        <v>0</v>
      </c>
      <c r="W456" s="529">
        <f>+'NF-KSF-TRIAL-BAL-2021'!P456+'RA-TRIAL-BAL-2021'!P456+'DES-TRIAL-BAL-2021'!P456+'DMP-TRIAL-BAL-2021'!P456</f>
        <v>0</v>
      </c>
      <c r="X456" s="528">
        <f>+'NF-KSF-TRIAL-BAL-2021'!Q456+'RA-TRIAL-BAL-2021'!Q456+'DES-TRIAL-BAL-2021'!Q456+'DMP-TRIAL-BAL-2021'!Q456</f>
        <v>0</v>
      </c>
      <c r="Y456" s="529">
        <f>+'NF-KSF-TRIAL-BAL-2021'!R456+'RA-TRIAL-BAL-2021'!R456+'DES-TRIAL-BAL-2021'!R456+'DMP-TRIAL-BAL-2021'!R456</f>
        <v>0</v>
      </c>
      <c r="Z456" s="528">
        <f>+'NF-KSF-TRIAL-BAL-2021'!S456+'RA-TRIAL-BAL-2021'!S456+'DES-TRIAL-BAL-2021'!S456+'DMP-TRIAL-BAL-2021'!S456</f>
        <v>0</v>
      </c>
      <c r="AA456" s="347">
        <f>+'NF-KSF-TRIAL-BAL-2021'!T456+'RA-TRIAL-BAL-2021'!T456+'DES-TRIAL-BAL-2021'!T456+'DMP-TRIAL-BAL-2021'!T456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97">
        <f t="shared" si="226"/>
        <v>6111</v>
      </c>
      <c r="AK456" s="8">
        <v>0</v>
      </c>
      <c r="AL456" s="9">
        <v>0</v>
      </c>
      <c r="AM456" s="326">
        <f t="shared" si="233"/>
        <v>0</v>
      </c>
      <c r="AN456" s="970">
        <f t="shared" si="233"/>
        <v>0</v>
      </c>
      <c r="AO456" s="326">
        <f t="shared" si="236"/>
        <v>0</v>
      </c>
      <c r="AP456" s="327">
        <f t="shared" si="237"/>
        <v>0</v>
      </c>
      <c r="AQ456" s="43"/>
      <c r="AR456" s="358">
        <f t="shared" si="241"/>
        <v>0</v>
      </c>
      <c r="AS456" s="359">
        <f t="shared" si="242"/>
        <v>0</v>
      </c>
      <c r="AT456" s="360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25">
        <v>8032.02</v>
      </c>
      <c r="R457" s="324"/>
      <c r="S457" s="27">
        <f t="shared" si="238"/>
        <v>8032.02</v>
      </c>
      <c r="T457" s="28">
        <f t="shared" si="234"/>
        <v>0</v>
      </c>
      <c r="U457" s="51"/>
      <c r="V457" s="541">
        <f>+'NF-KSF-TRIAL-BAL-2021'!O457+'RA-TRIAL-BAL-2021'!O457+'DES-TRIAL-BAL-2021'!O457+'DMP-TRIAL-BAL-2021'!O457</f>
        <v>0</v>
      </c>
      <c r="W457" s="529">
        <f>+'NF-KSF-TRIAL-BAL-2021'!P457+'RA-TRIAL-BAL-2021'!P457+'DES-TRIAL-BAL-2021'!P457+'DMP-TRIAL-BAL-2021'!P457</f>
        <v>0</v>
      </c>
      <c r="X457" s="528">
        <f>+'NF-KSF-TRIAL-BAL-2021'!Q457+'RA-TRIAL-BAL-2021'!Q457+'DES-TRIAL-BAL-2021'!Q457+'DMP-TRIAL-BAL-2021'!Q457</f>
        <v>0</v>
      </c>
      <c r="Y457" s="529">
        <f>+'NF-KSF-TRIAL-BAL-2021'!R457+'RA-TRIAL-BAL-2021'!R457+'DES-TRIAL-BAL-2021'!R457+'DMP-TRIAL-BAL-2021'!R457</f>
        <v>0</v>
      </c>
      <c r="Z457" s="528">
        <f>+'NF-KSF-TRIAL-BAL-2021'!S457+'RA-TRIAL-BAL-2021'!S457+'DES-TRIAL-BAL-2021'!S457+'DMP-TRIAL-BAL-2021'!S457</f>
        <v>0</v>
      </c>
      <c r="AA457" s="347">
        <f>+'NF-KSF-TRIAL-BAL-2021'!T457+'RA-TRIAL-BAL-2021'!T457+'DES-TRIAL-BAL-2021'!T457+'DMP-TRIAL-BAL-2021'!T457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97">
        <f t="shared" si="226"/>
        <v>6112</v>
      </c>
      <c r="AK457" s="8">
        <v>0</v>
      </c>
      <c r="AL457" s="9">
        <v>0</v>
      </c>
      <c r="AM457" s="326">
        <f t="shared" si="233"/>
        <v>8032.02</v>
      </c>
      <c r="AN457" s="970">
        <f t="shared" si="233"/>
        <v>0</v>
      </c>
      <c r="AO457" s="326">
        <f t="shared" si="236"/>
        <v>8032.02</v>
      </c>
      <c r="AP457" s="327">
        <f t="shared" si="237"/>
        <v>0</v>
      </c>
      <c r="AQ457" s="43"/>
      <c r="AR457" s="358">
        <f t="shared" si="241"/>
        <v>0</v>
      </c>
      <c r="AS457" s="359">
        <f t="shared" si="242"/>
        <v>0</v>
      </c>
      <c r="AT457" s="360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25">
        <v>4919.8</v>
      </c>
      <c r="R458" s="324"/>
      <c r="S458" s="27">
        <f t="shared" si="238"/>
        <v>4919.8</v>
      </c>
      <c r="T458" s="28">
        <f t="shared" si="234"/>
        <v>0</v>
      </c>
      <c r="U458" s="51"/>
      <c r="V458" s="541">
        <f>+'NF-KSF-TRIAL-BAL-2021'!O458+'RA-TRIAL-BAL-2021'!O458+'DES-TRIAL-BAL-2021'!O458+'DMP-TRIAL-BAL-2021'!O458</f>
        <v>0</v>
      </c>
      <c r="W458" s="529">
        <f>+'NF-KSF-TRIAL-BAL-2021'!P458+'RA-TRIAL-BAL-2021'!P458+'DES-TRIAL-BAL-2021'!P458+'DMP-TRIAL-BAL-2021'!P458</f>
        <v>0</v>
      </c>
      <c r="X458" s="528">
        <f>+'NF-KSF-TRIAL-BAL-2021'!Q458+'RA-TRIAL-BAL-2021'!Q458+'DES-TRIAL-BAL-2021'!Q458+'DMP-TRIAL-BAL-2021'!Q458</f>
        <v>0</v>
      </c>
      <c r="Y458" s="529">
        <f>+'NF-KSF-TRIAL-BAL-2021'!R458+'RA-TRIAL-BAL-2021'!R458+'DES-TRIAL-BAL-2021'!R458+'DMP-TRIAL-BAL-2021'!R458</f>
        <v>0</v>
      </c>
      <c r="Z458" s="528">
        <f>+'NF-KSF-TRIAL-BAL-2021'!S458+'RA-TRIAL-BAL-2021'!S458+'DES-TRIAL-BAL-2021'!S458+'DMP-TRIAL-BAL-2021'!S458</f>
        <v>0</v>
      </c>
      <c r="AA458" s="347">
        <f>+'NF-KSF-TRIAL-BAL-2021'!T458+'RA-TRIAL-BAL-2021'!T458+'DES-TRIAL-BAL-2021'!T458+'DMP-TRIAL-BAL-2021'!T458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97">
        <f t="shared" si="226"/>
        <v>6113</v>
      </c>
      <c r="AK458" s="8">
        <v>0</v>
      </c>
      <c r="AL458" s="9">
        <v>0</v>
      </c>
      <c r="AM458" s="326">
        <f t="shared" si="233"/>
        <v>4919.8</v>
      </c>
      <c r="AN458" s="970">
        <f t="shared" si="233"/>
        <v>0</v>
      </c>
      <c r="AO458" s="326">
        <f t="shared" si="236"/>
        <v>4919.8</v>
      </c>
      <c r="AP458" s="327">
        <f t="shared" si="237"/>
        <v>0</v>
      </c>
      <c r="AQ458" s="43"/>
      <c r="AR458" s="358">
        <f t="shared" si="241"/>
        <v>0</v>
      </c>
      <c r="AS458" s="359">
        <f t="shared" si="242"/>
        <v>0</v>
      </c>
      <c r="AT458" s="360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25"/>
      <c r="R459" s="324"/>
      <c r="S459" s="27">
        <f t="shared" si="238"/>
        <v>0</v>
      </c>
      <c r="T459" s="28">
        <f t="shared" si="234"/>
        <v>0</v>
      </c>
      <c r="U459" s="51"/>
      <c r="V459" s="541">
        <f>+'NF-KSF-TRIAL-BAL-2021'!O459+'RA-TRIAL-BAL-2021'!O459+'DES-TRIAL-BAL-2021'!O459+'DMP-TRIAL-BAL-2021'!O459</f>
        <v>0</v>
      </c>
      <c r="W459" s="529">
        <f>+'NF-KSF-TRIAL-BAL-2021'!P459+'RA-TRIAL-BAL-2021'!P459+'DES-TRIAL-BAL-2021'!P459+'DMP-TRIAL-BAL-2021'!P459</f>
        <v>0</v>
      </c>
      <c r="X459" s="528">
        <f>+'NF-KSF-TRIAL-BAL-2021'!Q459+'RA-TRIAL-BAL-2021'!Q459+'DES-TRIAL-BAL-2021'!Q459+'DMP-TRIAL-BAL-2021'!Q459</f>
        <v>0</v>
      </c>
      <c r="Y459" s="529">
        <f>+'NF-KSF-TRIAL-BAL-2021'!R459+'RA-TRIAL-BAL-2021'!R459+'DES-TRIAL-BAL-2021'!R459+'DMP-TRIAL-BAL-2021'!R459</f>
        <v>0</v>
      </c>
      <c r="Z459" s="528">
        <f>+'NF-KSF-TRIAL-BAL-2021'!S459+'RA-TRIAL-BAL-2021'!S459+'DES-TRIAL-BAL-2021'!S459+'DMP-TRIAL-BAL-2021'!S459</f>
        <v>0</v>
      </c>
      <c r="AA459" s="347">
        <f>+'NF-KSF-TRIAL-BAL-2021'!T459+'RA-TRIAL-BAL-2021'!T459+'DES-TRIAL-BAL-2021'!T459+'DMP-TRIAL-BAL-2021'!T459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97">
        <f t="shared" si="226"/>
        <v>6114</v>
      </c>
      <c r="AK459" s="8">
        <v>0</v>
      </c>
      <c r="AL459" s="9">
        <v>0</v>
      </c>
      <c r="AM459" s="326">
        <f t="shared" si="233"/>
        <v>0</v>
      </c>
      <c r="AN459" s="970">
        <f t="shared" si="233"/>
        <v>0</v>
      </c>
      <c r="AO459" s="326">
        <f t="shared" si="236"/>
        <v>0</v>
      </c>
      <c r="AP459" s="327">
        <f t="shared" si="237"/>
        <v>0</v>
      </c>
      <c r="AQ459" s="43"/>
      <c r="AR459" s="358">
        <f t="shared" si="241"/>
        <v>0</v>
      </c>
      <c r="AS459" s="359">
        <f t="shared" si="242"/>
        <v>0</v>
      </c>
      <c r="AT459" s="360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25"/>
      <c r="R460" s="324"/>
      <c r="S460" s="27">
        <f t="shared" si="238"/>
        <v>0</v>
      </c>
      <c r="T460" s="28">
        <f t="shared" si="234"/>
        <v>0</v>
      </c>
      <c r="U460" s="51"/>
      <c r="V460" s="541">
        <f>+'NF-KSF-TRIAL-BAL-2021'!O460+'RA-TRIAL-BAL-2021'!O460+'DES-TRIAL-BAL-2021'!O460+'DMP-TRIAL-BAL-2021'!O460</f>
        <v>0</v>
      </c>
      <c r="W460" s="529">
        <f>+'NF-KSF-TRIAL-BAL-2021'!P460+'RA-TRIAL-BAL-2021'!P460+'DES-TRIAL-BAL-2021'!P460+'DMP-TRIAL-BAL-2021'!P460</f>
        <v>0</v>
      </c>
      <c r="X460" s="528">
        <f>+'NF-KSF-TRIAL-BAL-2021'!Q460+'RA-TRIAL-BAL-2021'!Q460+'DES-TRIAL-BAL-2021'!Q460+'DMP-TRIAL-BAL-2021'!Q460</f>
        <v>0</v>
      </c>
      <c r="Y460" s="529">
        <f>+'NF-KSF-TRIAL-BAL-2021'!R460+'RA-TRIAL-BAL-2021'!R460+'DES-TRIAL-BAL-2021'!R460+'DMP-TRIAL-BAL-2021'!R460</f>
        <v>0</v>
      </c>
      <c r="Z460" s="528">
        <f>+'NF-KSF-TRIAL-BAL-2021'!S460+'RA-TRIAL-BAL-2021'!S460+'DES-TRIAL-BAL-2021'!S460+'DMP-TRIAL-BAL-2021'!S460</f>
        <v>0</v>
      </c>
      <c r="AA460" s="347">
        <f>+'NF-KSF-TRIAL-BAL-2021'!T460+'RA-TRIAL-BAL-2021'!T460+'DES-TRIAL-BAL-2021'!T460+'DMP-TRIAL-BAL-2021'!T460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97">
        <f t="shared" si="226"/>
        <v>6115</v>
      </c>
      <c r="AK460" s="8">
        <v>0</v>
      </c>
      <c r="AL460" s="9">
        <v>0</v>
      </c>
      <c r="AM460" s="326">
        <f t="shared" si="233"/>
        <v>0</v>
      </c>
      <c r="AN460" s="970">
        <f t="shared" si="233"/>
        <v>0</v>
      </c>
      <c r="AO460" s="326">
        <f t="shared" si="236"/>
        <v>0</v>
      </c>
      <c r="AP460" s="327">
        <f t="shared" si="237"/>
        <v>0</v>
      </c>
      <c r="AQ460" s="43"/>
      <c r="AR460" s="358">
        <f t="shared" si="241"/>
        <v>0</v>
      </c>
      <c r="AS460" s="359">
        <f t="shared" si="242"/>
        <v>0</v>
      </c>
      <c r="AT460" s="360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45" t="s">
        <v>2155</v>
      </c>
      <c r="C461" s="2314"/>
      <c r="D461" s="2314"/>
      <c r="E461" s="2314"/>
      <c r="F461" s="2314"/>
      <c r="G461" s="2314"/>
      <c r="H461" s="2314"/>
      <c r="I461" s="2314"/>
      <c r="J461" s="1033"/>
      <c r="K461" s="1033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25"/>
      <c r="R461" s="324"/>
      <c r="S461" s="27">
        <f>+IF(ABS(+O461+Q461)&gt;=ABS(P461+R461),+O461-P461+Q461-R461,0)</f>
        <v>0</v>
      </c>
      <c r="T461" s="28">
        <f>+IF(ABS(+O461+Q461)&lt;=ABS(P461+R461),-O461+P461-Q461+R461,0)</f>
        <v>0</v>
      </c>
      <c r="U461" s="51"/>
      <c r="V461" s="541">
        <f>+'NF-KSF-TRIAL-BAL-2021'!O461+'RA-TRIAL-BAL-2021'!O461+'DES-TRIAL-BAL-2021'!O461+'DMP-TRIAL-BAL-2021'!O461</f>
        <v>0</v>
      </c>
      <c r="W461" s="529">
        <f>+'NF-KSF-TRIAL-BAL-2021'!P461+'RA-TRIAL-BAL-2021'!P461+'DES-TRIAL-BAL-2021'!P461+'DMP-TRIAL-BAL-2021'!P461</f>
        <v>0</v>
      </c>
      <c r="X461" s="528">
        <f>+'NF-KSF-TRIAL-BAL-2021'!Q461+'RA-TRIAL-BAL-2021'!Q461+'DES-TRIAL-BAL-2021'!Q461+'DMP-TRIAL-BAL-2021'!Q461</f>
        <v>0</v>
      </c>
      <c r="Y461" s="529">
        <f>+'NF-KSF-TRIAL-BAL-2021'!R461+'RA-TRIAL-BAL-2021'!R461+'DES-TRIAL-BAL-2021'!R461+'DMP-TRIAL-BAL-2021'!R461</f>
        <v>0</v>
      </c>
      <c r="Z461" s="528">
        <f>+'NF-KSF-TRIAL-BAL-2021'!S461+'RA-TRIAL-BAL-2021'!S461+'DES-TRIAL-BAL-2021'!S461+'DMP-TRIAL-BAL-2021'!S461</f>
        <v>0</v>
      </c>
      <c r="AA461" s="347">
        <f>+'NF-KSF-TRIAL-BAL-2021'!T461+'RA-TRIAL-BAL-2021'!T461+'DES-TRIAL-BAL-2021'!T461+'DMP-TRIAL-BAL-2021'!T461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97">
        <f>+N461</f>
        <v>6131</v>
      </c>
      <c r="AK461" s="8">
        <v>0</v>
      </c>
      <c r="AL461" s="9">
        <v>0</v>
      </c>
      <c r="AM461" s="326">
        <f t="shared" si="233"/>
        <v>0</v>
      </c>
      <c r="AN461" s="970">
        <f t="shared" si="233"/>
        <v>0</v>
      </c>
      <c r="AO461" s="326">
        <f t="shared" si="236"/>
        <v>0</v>
      </c>
      <c r="AP461" s="327">
        <f t="shared" si="237"/>
        <v>0</v>
      </c>
      <c r="AQ461" s="43"/>
      <c r="AR461" s="358">
        <f>+ROUND(+SUM(AK461-AL461)-SUM(O461-P461)-SUM(V461-W461)-SUM(AC461-AD461),2)</f>
        <v>0</v>
      </c>
      <c r="AS461" s="359">
        <f>+ROUND(+SUM(AM461-AN461)-SUM(Q461-R461)-SUM(X461-Y461)-SUM(AE461-AF461),2)</f>
        <v>0</v>
      </c>
      <c r="AT461" s="360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45" t="s">
        <v>2156</v>
      </c>
      <c r="C462" s="2314"/>
      <c r="D462" s="2314"/>
      <c r="E462" s="2314"/>
      <c r="F462" s="2314"/>
      <c r="G462" s="2314"/>
      <c r="H462" s="2314"/>
      <c r="I462" s="2314"/>
      <c r="J462" s="1033"/>
      <c r="K462" s="1033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25"/>
      <c r="R462" s="324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41">
        <f>+'NF-KSF-TRIAL-BAL-2021'!O462+'RA-TRIAL-BAL-2021'!O462+'DES-TRIAL-BAL-2021'!O462+'DMP-TRIAL-BAL-2021'!O462</f>
        <v>0</v>
      </c>
      <c r="W462" s="529">
        <f>+'NF-KSF-TRIAL-BAL-2021'!P462+'RA-TRIAL-BAL-2021'!P462+'DES-TRIAL-BAL-2021'!P462+'DMP-TRIAL-BAL-2021'!P462</f>
        <v>0</v>
      </c>
      <c r="X462" s="528">
        <f>+'NF-KSF-TRIAL-BAL-2021'!Q462+'RA-TRIAL-BAL-2021'!Q462+'DES-TRIAL-BAL-2021'!Q462+'DMP-TRIAL-BAL-2021'!Q462</f>
        <v>0</v>
      </c>
      <c r="Y462" s="529">
        <f>+'NF-KSF-TRIAL-BAL-2021'!R462+'RA-TRIAL-BAL-2021'!R462+'DES-TRIAL-BAL-2021'!R462+'DMP-TRIAL-BAL-2021'!R462</f>
        <v>0</v>
      </c>
      <c r="Z462" s="528">
        <f>+'NF-KSF-TRIAL-BAL-2021'!S462+'RA-TRIAL-BAL-2021'!S462+'DES-TRIAL-BAL-2021'!S462+'DMP-TRIAL-BAL-2021'!S462</f>
        <v>0</v>
      </c>
      <c r="AA462" s="347">
        <f>+'NF-KSF-TRIAL-BAL-2021'!T462+'RA-TRIAL-BAL-2021'!T462+'DES-TRIAL-BAL-2021'!T462+'DMP-TRIAL-BAL-2021'!T462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97">
        <f>+N462</f>
        <v>6132</v>
      </c>
      <c r="AK462" s="8">
        <v>0</v>
      </c>
      <c r="AL462" s="9">
        <v>0</v>
      </c>
      <c r="AM462" s="326">
        <f>+ROUND(+Q462+X462+AE462,2)</f>
        <v>0</v>
      </c>
      <c r="AN462" s="970">
        <f>+ROUND(+R462+Y462+AF462,2)</f>
        <v>0</v>
      </c>
      <c r="AO462" s="326">
        <f t="shared" si="236"/>
        <v>0</v>
      </c>
      <c r="AP462" s="327">
        <f t="shared" si="237"/>
        <v>0</v>
      </c>
      <c r="AQ462" s="43"/>
      <c r="AR462" s="358">
        <f>+ROUND(+SUM(AK462-AL462)-SUM(O462-P462)-SUM(V462-W462)-SUM(AC462-AD462),2)</f>
        <v>0</v>
      </c>
      <c r="AS462" s="359">
        <f>+ROUND(+SUM(AM462-AN462)-SUM(Q462-R462)-SUM(X462-Y462)-SUM(AE462-AF462),2)</f>
        <v>0</v>
      </c>
      <c r="AT462" s="360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316" t="s">
        <v>2157</v>
      </c>
      <c r="C463" s="2315"/>
      <c r="D463" s="2315"/>
      <c r="E463" s="2315"/>
      <c r="F463" s="2315"/>
      <c r="G463" s="2315"/>
      <c r="H463" s="2315"/>
      <c r="I463" s="2315"/>
      <c r="J463" s="1033"/>
      <c r="K463" s="1033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25"/>
      <c r="R463" s="324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41">
        <f>+'NF-KSF-TRIAL-BAL-2021'!O463+'RA-TRIAL-BAL-2021'!O463+'DES-TRIAL-BAL-2021'!O463+'DMP-TRIAL-BAL-2021'!O463</f>
        <v>0</v>
      </c>
      <c r="W463" s="529">
        <f>+'NF-KSF-TRIAL-BAL-2021'!P463+'RA-TRIAL-BAL-2021'!P463+'DES-TRIAL-BAL-2021'!P463+'DMP-TRIAL-BAL-2021'!P463</f>
        <v>0</v>
      </c>
      <c r="X463" s="528">
        <f>+'NF-KSF-TRIAL-BAL-2021'!Q463+'RA-TRIAL-BAL-2021'!Q463+'DES-TRIAL-BAL-2021'!Q463+'DMP-TRIAL-BAL-2021'!Q463</f>
        <v>0</v>
      </c>
      <c r="Y463" s="529">
        <f>+'NF-KSF-TRIAL-BAL-2021'!R463+'RA-TRIAL-BAL-2021'!R463+'DES-TRIAL-BAL-2021'!R463+'DMP-TRIAL-BAL-2021'!R463</f>
        <v>0</v>
      </c>
      <c r="Z463" s="528">
        <f>+'NF-KSF-TRIAL-BAL-2021'!S463+'RA-TRIAL-BAL-2021'!S463+'DES-TRIAL-BAL-2021'!S463+'DMP-TRIAL-BAL-2021'!S463</f>
        <v>0</v>
      </c>
      <c r="AA463" s="347">
        <f>+'NF-KSF-TRIAL-BAL-2021'!T463+'RA-TRIAL-BAL-2021'!T463+'DES-TRIAL-BAL-2021'!T463+'DMP-TRIAL-BAL-2021'!T463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97">
        <f>+N463</f>
        <v>6133</v>
      </c>
      <c r="AK463" s="8">
        <v>0</v>
      </c>
      <c r="AL463" s="9">
        <v>0</v>
      </c>
      <c r="AM463" s="326">
        <f>+ROUND(+Q463+X463+AE463,2)</f>
        <v>0</v>
      </c>
      <c r="AN463" s="970">
        <f>+ROUND(+R463+Y463+AF463,2)</f>
        <v>0</v>
      </c>
      <c r="AO463" s="326">
        <f t="shared" si="236"/>
        <v>0</v>
      </c>
      <c r="AP463" s="327">
        <f t="shared" si="237"/>
        <v>0</v>
      </c>
      <c r="AQ463" s="43"/>
      <c r="AR463" s="358">
        <f>+ROUND(+SUM(AK463-AL463)-SUM(O463-P463)-SUM(V463-W463)-SUM(AC463-AD463),2)</f>
        <v>0</v>
      </c>
      <c r="AS463" s="359">
        <f>+ROUND(+SUM(AM463-AN463)-SUM(Q463-R463)-SUM(X463-Y463)-SUM(AE463-AF463),2)</f>
        <v>0</v>
      </c>
      <c r="AT463" s="360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25"/>
      <c r="R464" s="324"/>
      <c r="S464" s="27">
        <f t="shared" si="238"/>
        <v>0</v>
      </c>
      <c r="T464" s="28">
        <f t="shared" si="234"/>
        <v>0</v>
      </c>
      <c r="U464" s="51"/>
      <c r="V464" s="541">
        <f>+'NF-KSF-TRIAL-BAL-2021'!O464+'RA-TRIAL-BAL-2021'!O464+'DES-TRIAL-BAL-2021'!O464+'DMP-TRIAL-BAL-2021'!O464</f>
        <v>0</v>
      </c>
      <c r="W464" s="529">
        <f>+'NF-KSF-TRIAL-BAL-2021'!P464+'RA-TRIAL-BAL-2021'!P464+'DES-TRIAL-BAL-2021'!P464+'DMP-TRIAL-BAL-2021'!P464</f>
        <v>0</v>
      </c>
      <c r="X464" s="528">
        <f>+'NF-KSF-TRIAL-BAL-2021'!Q464+'RA-TRIAL-BAL-2021'!Q464+'DES-TRIAL-BAL-2021'!Q464+'DMP-TRIAL-BAL-2021'!Q464</f>
        <v>0</v>
      </c>
      <c r="Y464" s="529">
        <f>+'NF-KSF-TRIAL-BAL-2021'!R464+'RA-TRIAL-BAL-2021'!R464+'DES-TRIAL-BAL-2021'!R464+'DMP-TRIAL-BAL-2021'!R464</f>
        <v>0</v>
      </c>
      <c r="Z464" s="528">
        <f>+'NF-KSF-TRIAL-BAL-2021'!S464+'RA-TRIAL-BAL-2021'!S464+'DES-TRIAL-BAL-2021'!S464+'DMP-TRIAL-BAL-2021'!S464</f>
        <v>0</v>
      </c>
      <c r="AA464" s="347">
        <f>+'NF-KSF-TRIAL-BAL-2021'!T464+'RA-TRIAL-BAL-2021'!T464+'DES-TRIAL-BAL-2021'!T464+'DMP-TRIAL-BAL-2021'!T464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97">
        <f t="shared" si="226"/>
        <v>6140</v>
      </c>
      <c r="AK464" s="8">
        <v>0</v>
      </c>
      <c r="AL464" s="9">
        <v>0</v>
      </c>
      <c r="AM464" s="326">
        <f t="shared" si="233"/>
        <v>0</v>
      </c>
      <c r="AN464" s="970">
        <f t="shared" si="233"/>
        <v>0</v>
      </c>
      <c r="AO464" s="326">
        <f t="shared" si="236"/>
        <v>0</v>
      </c>
      <c r="AP464" s="327">
        <f t="shared" si="237"/>
        <v>0</v>
      </c>
      <c r="AQ464" s="43"/>
      <c r="AR464" s="358">
        <f t="shared" si="241"/>
        <v>0</v>
      </c>
      <c r="AS464" s="359">
        <f t="shared" si="242"/>
        <v>0</v>
      </c>
      <c r="AT464" s="360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25"/>
      <c r="R465" s="324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41">
        <f>+'NF-KSF-TRIAL-BAL-2021'!O465+'RA-TRIAL-BAL-2021'!O465+'DES-TRIAL-BAL-2021'!O465+'DMP-TRIAL-BAL-2021'!O465</f>
        <v>0</v>
      </c>
      <c r="W465" s="529">
        <f>+'NF-KSF-TRIAL-BAL-2021'!P465+'RA-TRIAL-BAL-2021'!P465+'DES-TRIAL-BAL-2021'!P465+'DMP-TRIAL-BAL-2021'!P465</f>
        <v>0</v>
      </c>
      <c r="X465" s="528">
        <f>+'NF-KSF-TRIAL-BAL-2021'!Q465+'RA-TRIAL-BAL-2021'!Q465+'DES-TRIAL-BAL-2021'!Q465+'DMP-TRIAL-BAL-2021'!Q465</f>
        <v>0</v>
      </c>
      <c r="Y465" s="529">
        <f>+'NF-KSF-TRIAL-BAL-2021'!R465+'RA-TRIAL-BAL-2021'!R465+'DES-TRIAL-BAL-2021'!R465+'DMP-TRIAL-BAL-2021'!R465</f>
        <v>0</v>
      </c>
      <c r="Z465" s="528">
        <f>+'NF-KSF-TRIAL-BAL-2021'!S465+'RA-TRIAL-BAL-2021'!S465+'DES-TRIAL-BAL-2021'!S465+'DMP-TRIAL-BAL-2021'!S465</f>
        <v>0</v>
      </c>
      <c r="AA465" s="347">
        <f>+'NF-KSF-TRIAL-BAL-2021'!T465+'RA-TRIAL-BAL-2021'!T465+'DES-TRIAL-BAL-2021'!T465+'DMP-TRIAL-BAL-2021'!T465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97">
        <f>+N465</f>
        <v>6141</v>
      </c>
      <c r="AK465" s="8">
        <v>0</v>
      </c>
      <c r="AL465" s="9">
        <v>0</v>
      </c>
      <c r="AM465" s="326">
        <f>+ROUND(+Q465+X465+AE465,2)</f>
        <v>0</v>
      </c>
      <c r="AN465" s="970">
        <f>+ROUND(+R465+Y465+AF465,2)</f>
        <v>0</v>
      </c>
      <c r="AO465" s="326">
        <f t="shared" si="236"/>
        <v>0</v>
      </c>
      <c r="AP465" s="327">
        <f t="shared" si="237"/>
        <v>0</v>
      </c>
      <c r="AQ465" s="43"/>
      <c r="AR465" s="358">
        <f>+ROUND(+SUM(AK465-AL465)-SUM(O465-P465)-SUM(V465-W465)-SUM(AC465-AD465),2)</f>
        <v>0</v>
      </c>
      <c r="AS465" s="359">
        <f>+ROUND(+SUM(AM465-AN465)-SUM(Q465-R465)-SUM(X465-Y465)-SUM(AE465-AF465),2)</f>
        <v>0</v>
      </c>
      <c r="AT465" s="360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25"/>
      <c r="R466" s="324"/>
      <c r="S466" s="27">
        <f t="shared" si="238"/>
        <v>0</v>
      </c>
      <c r="T466" s="28">
        <f t="shared" si="234"/>
        <v>0</v>
      </c>
      <c r="U466" s="51"/>
      <c r="V466" s="541">
        <f>+'NF-KSF-TRIAL-BAL-2021'!O466+'RA-TRIAL-BAL-2021'!O466+'DES-TRIAL-BAL-2021'!O466+'DMP-TRIAL-BAL-2021'!O466</f>
        <v>0</v>
      </c>
      <c r="W466" s="529">
        <f>+'NF-KSF-TRIAL-BAL-2021'!P466+'RA-TRIAL-BAL-2021'!P466+'DES-TRIAL-BAL-2021'!P466+'DMP-TRIAL-BAL-2021'!P466</f>
        <v>0</v>
      </c>
      <c r="X466" s="528">
        <f>+'NF-KSF-TRIAL-BAL-2021'!Q466+'RA-TRIAL-BAL-2021'!Q466+'DES-TRIAL-BAL-2021'!Q466+'DMP-TRIAL-BAL-2021'!Q466</f>
        <v>0</v>
      </c>
      <c r="Y466" s="529">
        <f>+'NF-KSF-TRIAL-BAL-2021'!R466+'RA-TRIAL-BAL-2021'!R466+'DES-TRIAL-BAL-2021'!R466+'DMP-TRIAL-BAL-2021'!R466</f>
        <v>0</v>
      </c>
      <c r="Z466" s="528">
        <f>+'NF-KSF-TRIAL-BAL-2021'!S466+'RA-TRIAL-BAL-2021'!S466+'DES-TRIAL-BAL-2021'!S466+'DMP-TRIAL-BAL-2021'!S466</f>
        <v>0</v>
      </c>
      <c r="AA466" s="347">
        <f>+'NF-KSF-TRIAL-BAL-2021'!T466+'RA-TRIAL-BAL-2021'!T466+'DES-TRIAL-BAL-2021'!T466+'DMP-TRIAL-BAL-2021'!T466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97">
        <f t="shared" si="226"/>
        <v>6142</v>
      </c>
      <c r="AK466" s="8">
        <v>0</v>
      </c>
      <c r="AL466" s="9">
        <v>0</v>
      </c>
      <c r="AM466" s="326">
        <f t="shared" si="233"/>
        <v>0</v>
      </c>
      <c r="AN466" s="970">
        <f t="shared" si="233"/>
        <v>0</v>
      </c>
      <c r="AO466" s="326">
        <f t="shared" si="236"/>
        <v>0</v>
      </c>
      <c r="AP466" s="327">
        <f t="shared" si="237"/>
        <v>0</v>
      </c>
      <c r="AQ466" s="43"/>
      <c r="AR466" s="358">
        <f t="shared" si="241"/>
        <v>0</v>
      </c>
      <c r="AS466" s="359">
        <f t="shared" si="242"/>
        <v>0</v>
      </c>
      <c r="AT466" s="360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25"/>
      <c r="R467" s="324"/>
      <c r="S467" s="27">
        <f t="shared" si="238"/>
        <v>0</v>
      </c>
      <c r="T467" s="28">
        <f t="shared" si="234"/>
        <v>0</v>
      </c>
      <c r="U467" s="51"/>
      <c r="V467" s="541">
        <f>+'NF-KSF-TRIAL-BAL-2021'!O467+'RA-TRIAL-BAL-2021'!O467+'DES-TRIAL-BAL-2021'!O467+'DMP-TRIAL-BAL-2021'!O467</f>
        <v>0</v>
      </c>
      <c r="W467" s="529">
        <f>+'NF-KSF-TRIAL-BAL-2021'!P467+'RA-TRIAL-BAL-2021'!P467+'DES-TRIAL-BAL-2021'!P467+'DMP-TRIAL-BAL-2021'!P467</f>
        <v>0</v>
      </c>
      <c r="X467" s="528">
        <f>+'NF-KSF-TRIAL-BAL-2021'!Q467+'RA-TRIAL-BAL-2021'!Q467+'DES-TRIAL-BAL-2021'!Q467+'DMP-TRIAL-BAL-2021'!Q467</f>
        <v>0</v>
      </c>
      <c r="Y467" s="529">
        <f>+'NF-KSF-TRIAL-BAL-2021'!R467+'RA-TRIAL-BAL-2021'!R467+'DES-TRIAL-BAL-2021'!R467+'DMP-TRIAL-BAL-2021'!R467</f>
        <v>0</v>
      </c>
      <c r="Z467" s="528">
        <f>+'NF-KSF-TRIAL-BAL-2021'!S467+'RA-TRIAL-BAL-2021'!S467+'DES-TRIAL-BAL-2021'!S467+'DMP-TRIAL-BAL-2021'!S467</f>
        <v>0</v>
      </c>
      <c r="AA467" s="347">
        <f>+'NF-KSF-TRIAL-BAL-2021'!T467+'RA-TRIAL-BAL-2021'!T467+'DES-TRIAL-BAL-2021'!T467+'DMP-TRIAL-BAL-2021'!T467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97">
        <f t="shared" si="226"/>
        <v>6143</v>
      </c>
      <c r="AK467" s="8">
        <v>0</v>
      </c>
      <c r="AL467" s="9">
        <v>0</v>
      </c>
      <c r="AM467" s="326">
        <f t="shared" si="233"/>
        <v>0</v>
      </c>
      <c r="AN467" s="970">
        <f t="shared" si="233"/>
        <v>0</v>
      </c>
      <c r="AO467" s="326">
        <f t="shared" si="236"/>
        <v>0</v>
      </c>
      <c r="AP467" s="327">
        <f t="shared" si="237"/>
        <v>0</v>
      </c>
      <c r="AQ467" s="43"/>
      <c r="AR467" s="358">
        <f t="shared" si="241"/>
        <v>0</v>
      </c>
      <c r="AS467" s="359">
        <f t="shared" si="242"/>
        <v>0</v>
      </c>
      <c r="AT467" s="360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25"/>
      <c r="R468" s="324"/>
      <c r="S468" s="27">
        <f t="shared" si="238"/>
        <v>0</v>
      </c>
      <c r="T468" s="28">
        <f t="shared" si="234"/>
        <v>0</v>
      </c>
      <c r="U468" s="51"/>
      <c r="V468" s="541">
        <f>+'NF-KSF-TRIAL-BAL-2021'!O468+'RA-TRIAL-BAL-2021'!O468+'DES-TRIAL-BAL-2021'!O468+'DMP-TRIAL-BAL-2021'!O468</f>
        <v>0</v>
      </c>
      <c r="W468" s="529">
        <f>+'NF-KSF-TRIAL-BAL-2021'!P468+'RA-TRIAL-BAL-2021'!P468+'DES-TRIAL-BAL-2021'!P468+'DMP-TRIAL-BAL-2021'!P468</f>
        <v>0</v>
      </c>
      <c r="X468" s="528">
        <f>+'NF-KSF-TRIAL-BAL-2021'!Q468+'RA-TRIAL-BAL-2021'!Q468+'DES-TRIAL-BAL-2021'!Q468+'DMP-TRIAL-BAL-2021'!Q468</f>
        <v>0</v>
      </c>
      <c r="Y468" s="529">
        <f>+'NF-KSF-TRIAL-BAL-2021'!R468+'RA-TRIAL-BAL-2021'!R468+'DES-TRIAL-BAL-2021'!R468+'DMP-TRIAL-BAL-2021'!R468</f>
        <v>0</v>
      </c>
      <c r="Z468" s="528">
        <f>+'NF-KSF-TRIAL-BAL-2021'!S468+'RA-TRIAL-BAL-2021'!S468+'DES-TRIAL-BAL-2021'!S468+'DMP-TRIAL-BAL-2021'!S468</f>
        <v>0</v>
      </c>
      <c r="AA468" s="347">
        <f>+'NF-KSF-TRIAL-BAL-2021'!T468+'RA-TRIAL-BAL-2021'!T468+'DES-TRIAL-BAL-2021'!T468+'DMP-TRIAL-BAL-2021'!T468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97">
        <f t="shared" si="226"/>
        <v>6144</v>
      </c>
      <c r="AK468" s="8">
        <v>0</v>
      </c>
      <c r="AL468" s="9">
        <v>0</v>
      </c>
      <c r="AM468" s="326">
        <f t="shared" si="233"/>
        <v>0</v>
      </c>
      <c r="AN468" s="970">
        <f t="shared" si="233"/>
        <v>0</v>
      </c>
      <c r="AO468" s="326">
        <f t="shared" si="236"/>
        <v>0</v>
      </c>
      <c r="AP468" s="327">
        <f t="shared" si="237"/>
        <v>0</v>
      </c>
      <c r="AQ468" s="43"/>
      <c r="AR468" s="358">
        <f t="shared" si="241"/>
        <v>0</v>
      </c>
      <c r="AS468" s="359">
        <f t="shared" si="242"/>
        <v>0</v>
      </c>
      <c r="AT468" s="360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25"/>
      <c r="R469" s="324"/>
      <c r="S469" s="27">
        <f t="shared" si="238"/>
        <v>0</v>
      </c>
      <c r="T469" s="28">
        <f t="shared" si="234"/>
        <v>0</v>
      </c>
      <c r="U469" s="51"/>
      <c r="V469" s="541">
        <f>+'NF-KSF-TRIAL-BAL-2021'!O469+'RA-TRIAL-BAL-2021'!O469+'DES-TRIAL-BAL-2021'!O469+'DMP-TRIAL-BAL-2021'!O469</f>
        <v>0</v>
      </c>
      <c r="W469" s="529">
        <f>+'NF-KSF-TRIAL-BAL-2021'!P469+'RA-TRIAL-BAL-2021'!P469+'DES-TRIAL-BAL-2021'!P469+'DMP-TRIAL-BAL-2021'!P469</f>
        <v>0</v>
      </c>
      <c r="X469" s="528">
        <f>+'NF-KSF-TRIAL-BAL-2021'!Q469+'RA-TRIAL-BAL-2021'!Q469+'DES-TRIAL-BAL-2021'!Q469+'DMP-TRIAL-BAL-2021'!Q469</f>
        <v>0</v>
      </c>
      <c r="Y469" s="529">
        <f>+'NF-KSF-TRIAL-BAL-2021'!R469+'RA-TRIAL-BAL-2021'!R469+'DES-TRIAL-BAL-2021'!R469+'DMP-TRIAL-BAL-2021'!R469</f>
        <v>0</v>
      </c>
      <c r="Z469" s="528">
        <f>+'NF-KSF-TRIAL-BAL-2021'!S469+'RA-TRIAL-BAL-2021'!S469+'DES-TRIAL-BAL-2021'!S469+'DMP-TRIAL-BAL-2021'!S469</f>
        <v>0</v>
      </c>
      <c r="AA469" s="347">
        <f>+'NF-KSF-TRIAL-BAL-2021'!T469+'RA-TRIAL-BAL-2021'!T469+'DES-TRIAL-BAL-2021'!T469+'DMP-TRIAL-BAL-2021'!T469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97">
        <f t="shared" si="226"/>
        <v>6145</v>
      </c>
      <c r="AK469" s="8">
        <v>0</v>
      </c>
      <c r="AL469" s="9">
        <v>0</v>
      </c>
      <c r="AM469" s="326">
        <f t="shared" si="233"/>
        <v>0</v>
      </c>
      <c r="AN469" s="970">
        <f t="shared" si="233"/>
        <v>0</v>
      </c>
      <c r="AO469" s="326">
        <f t="shared" si="236"/>
        <v>0</v>
      </c>
      <c r="AP469" s="327">
        <f t="shared" si="237"/>
        <v>0</v>
      </c>
      <c r="AQ469" s="43"/>
      <c r="AR469" s="358">
        <f t="shared" si="241"/>
        <v>0</v>
      </c>
      <c r="AS469" s="359">
        <f t="shared" si="242"/>
        <v>0</v>
      </c>
      <c r="AT469" s="360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25"/>
      <c r="R470" s="324"/>
      <c r="S470" s="27">
        <f t="shared" si="238"/>
        <v>0</v>
      </c>
      <c r="T470" s="28">
        <f t="shared" si="234"/>
        <v>0</v>
      </c>
      <c r="U470" s="51"/>
      <c r="V470" s="541">
        <f>+'NF-KSF-TRIAL-BAL-2021'!O470+'RA-TRIAL-BAL-2021'!O470+'DES-TRIAL-BAL-2021'!O470+'DMP-TRIAL-BAL-2021'!O470</f>
        <v>0</v>
      </c>
      <c r="W470" s="529">
        <f>+'NF-KSF-TRIAL-BAL-2021'!P470+'RA-TRIAL-BAL-2021'!P470+'DES-TRIAL-BAL-2021'!P470+'DMP-TRIAL-BAL-2021'!P470</f>
        <v>0</v>
      </c>
      <c r="X470" s="528">
        <f>+'NF-KSF-TRIAL-BAL-2021'!Q470+'RA-TRIAL-BAL-2021'!Q470+'DES-TRIAL-BAL-2021'!Q470+'DMP-TRIAL-BAL-2021'!Q470</f>
        <v>0</v>
      </c>
      <c r="Y470" s="529">
        <f>+'NF-KSF-TRIAL-BAL-2021'!R470+'RA-TRIAL-BAL-2021'!R470+'DES-TRIAL-BAL-2021'!R470+'DMP-TRIAL-BAL-2021'!R470</f>
        <v>0</v>
      </c>
      <c r="Z470" s="528">
        <f>+'NF-KSF-TRIAL-BAL-2021'!S470+'RA-TRIAL-BAL-2021'!S470+'DES-TRIAL-BAL-2021'!S470+'DMP-TRIAL-BAL-2021'!S470</f>
        <v>0</v>
      </c>
      <c r="AA470" s="347">
        <f>+'NF-KSF-TRIAL-BAL-2021'!T470+'RA-TRIAL-BAL-2021'!T470+'DES-TRIAL-BAL-2021'!T470+'DMP-TRIAL-BAL-2021'!T470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97">
        <f t="shared" si="226"/>
        <v>6146</v>
      </c>
      <c r="AK470" s="8">
        <v>0</v>
      </c>
      <c r="AL470" s="9">
        <v>0</v>
      </c>
      <c r="AM470" s="326">
        <f t="shared" si="233"/>
        <v>0</v>
      </c>
      <c r="AN470" s="970">
        <f t="shared" si="233"/>
        <v>0</v>
      </c>
      <c r="AO470" s="326">
        <f t="shared" si="236"/>
        <v>0</v>
      </c>
      <c r="AP470" s="327">
        <f t="shared" si="237"/>
        <v>0</v>
      </c>
      <c r="AQ470" s="43"/>
      <c r="AR470" s="358">
        <f t="shared" si="241"/>
        <v>0</v>
      </c>
      <c r="AS470" s="359">
        <f t="shared" si="242"/>
        <v>0</v>
      </c>
      <c r="AT470" s="360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25"/>
      <c r="R471" s="324"/>
      <c r="S471" s="27">
        <f t="shared" si="238"/>
        <v>0</v>
      </c>
      <c r="T471" s="28">
        <f t="shared" si="234"/>
        <v>0</v>
      </c>
      <c r="U471" s="51"/>
      <c r="V471" s="541">
        <f>+'NF-KSF-TRIAL-BAL-2021'!O471+'RA-TRIAL-BAL-2021'!O471+'DES-TRIAL-BAL-2021'!O471+'DMP-TRIAL-BAL-2021'!O471</f>
        <v>0</v>
      </c>
      <c r="W471" s="529">
        <f>+'NF-KSF-TRIAL-BAL-2021'!P471+'RA-TRIAL-BAL-2021'!P471+'DES-TRIAL-BAL-2021'!P471+'DMP-TRIAL-BAL-2021'!P471</f>
        <v>0</v>
      </c>
      <c r="X471" s="528">
        <f>+'NF-KSF-TRIAL-BAL-2021'!Q471+'RA-TRIAL-BAL-2021'!Q471+'DES-TRIAL-BAL-2021'!Q471+'DMP-TRIAL-BAL-2021'!Q471</f>
        <v>0</v>
      </c>
      <c r="Y471" s="529">
        <f>+'NF-KSF-TRIAL-BAL-2021'!R471+'RA-TRIAL-BAL-2021'!R471+'DES-TRIAL-BAL-2021'!R471+'DMP-TRIAL-BAL-2021'!R471</f>
        <v>0</v>
      </c>
      <c r="Z471" s="528">
        <f>+'NF-KSF-TRIAL-BAL-2021'!S471+'RA-TRIAL-BAL-2021'!S471+'DES-TRIAL-BAL-2021'!S471+'DMP-TRIAL-BAL-2021'!S471</f>
        <v>0</v>
      </c>
      <c r="AA471" s="347">
        <f>+'NF-KSF-TRIAL-BAL-2021'!T471+'RA-TRIAL-BAL-2021'!T471+'DES-TRIAL-BAL-2021'!T471+'DMP-TRIAL-BAL-2021'!T471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97">
        <f t="shared" si="226"/>
        <v>6147</v>
      </c>
      <c r="AK471" s="8">
        <v>0</v>
      </c>
      <c r="AL471" s="9">
        <v>0</v>
      </c>
      <c r="AM471" s="326">
        <f t="shared" si="233"/>
        <v>0</v>
      </c>
      <c r="AN471" s="970">
        <f t="shared" si="233"/>
        <v>0</v>
      </c>
      <c r="AO471" s="326">
        <f t="shared" si="236"/>
        <v>0</v>
      </c>
      <c r="AP471" s="327">
        <f t="shared" si="237"/>
        <v>0</v>
      </c>
      <c r="AQ471" s="43"/>
      <c r="AR471" s="358">
        <f t="shared" si="241"/>
        <v>0</v>
      </c>
      <c r="AS471" s="359">
        <f t="shared" si="242"/>
        <v>0</v>
      </c>
      <c r="AT471" s="360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25"/>
      <c r="R472" s="324"/>
      <c r="S472" s="27">
        <f t="shared" si="238"/>
        <v>0</v>
      </c>
      <c r="T472" s="28">
        <f t="shared" si="234"/>
        <v>0</v>
      </c>
      <c r="U472" s="51"/>
      <c r="V472" s="541">
        <f>+'NF-KSF-TRIAL-BAL-2021'!O472+'RA-TRIAL-BAL-2021'!O472+'DES-TRIAL-BAL-2021'!O472+'DMP-TRIAL-BAL-2021'!O472</f>
        <v>0</v>
      </c>
      <c r="W472" s="529">
        <f>+'NF-KSF-TRIAL-BAL-2021'!P472+'RA-TRIAL-BAL-2021'!P472+'DES-TRIAL-BAL-2021'!P472+'DMP-TRIAL-BAL-2021'!P472</f>
        <v>0</v>
      </c>
      <c r="X472" s="528">
        <f>+'NF-KSF-TRIAL-BAL-2021'!Q472+'RA-TRIAL-BAL-2021'!Q472+'DES-TRIAL-BAL-2021'!Q472+'DMP-TRIAL-BAL-2021'!Q472</f>
        <v>0</v>
      </c>
      <c r="Y472" s="529">
        <f>+'NF-KSF-TRIAL-BAL-2021'!R472+'RA-TRIAL-BAL-2021'!R472+'DES-TRIAL-BAL-2021'!R472+'DMP-TRIAL-BAL-2021'!R472</f>
        <v>0</v>
      </c>
      <c r="Z472" s="528">
        <f>+'NF-KSF-TRIAL-BAL-2021'!S472+'RA-TRIAL-BAL-2021'!S472+'DES-TRIAL-BAL-2021'!S472+'DMP-TRIAL-BAL-2021'!S472</f>
        <v>0</v>
      </c>
      <c r="AA472" s="347">
        <f>+'NF-KSF-TRIAL-BAL-2021'!T472+'RA-TRIAL-BAL-2021'!T472+'DES-TRIAL-BAL-2021'!T472+'DMP-TRIAL-BAL-2021'!T472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97">
        <f t="shared" si="226"/>
        <v>6149</v>
      </c>
      <c r="AK472" s="8">
        <v>0</v>
      </c>
      <c r="AL472" s="9">
        <v>0</v>
      </c>
      <c r="AM472" s="326">
        <f t="shared" si="233"/>
        <v>0</v>
      </c>
      <c r="AN472" s="970">
        <f t="shared" si="233"/>
        <v>0</v>
      </c>
      <c r="AO472" s="326">
        <f t="shared" si="236"/>
        <v>0</v>
      </c>
      <c r="AP472" s="327">
        <f t="shared" si="237"/>
        <v>0</v>
      </c>
      <c r="AQ472" s="43"/>
      <c r="AR472" s="358">
        <f t="shared" si="241"/>
        <v>0</v>
      </c>
      <c r="AS472" s="359">
        <f t="shared" si="242"/>
        <v>0</v>
      </c>
      <c r="AT472" s="360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25"/>
      <c r="R473" s="324"/>
      <c r="S473" s="27">
        <f t="shared" si="238"/>
        <v>0</v>
      </c>
      <c r="T473" s="28">
        <f t="shared" si="234"/>
        <v>0</v>
      </c>
      <c r="U473" s="51"/>
      <c r="V473" s="541">
        <f>+'NF-KSF-TRIAL-BAL-2021'!O473+'RA-TRIAL-BAL-2021'!O473+'DES-TRIAL-BAL-2021'!O473+'DMP-TRIAL-BAL-2021'!O473</f>
        <v>0</v>
      </c>
      <c r="W473" s="529">
        <f>+'NF-KSF-TRIAL-BAL-2021'!P473+'RA-TRIAL-BAL-2021'!P473+'DES-TRIAL-BAL-2021'!P473+'DMP-TRIAL-BAL-2021'!P473</f>
        <v>0</v>
      </c>
      <c r="X473" s="528">
        <f>+'NF-KSF-TRIAL-BAL-2021'!Q473+'RA-TRIAL-BAL-2021'!Q473+'DES-TRIAL-BAL-2021'!Q473+'DMP-TRIAL-BAL-2021'!Q473</f>
        <v>0</v>
      </c>
      <c r="Y473" s="529">
        <f>+'NF-KSF-TRIAL-BAL-2021'!R473+'RA-TRIAL-BAL-2021'!R473+'DES-TRIAL-BAL-2021'!R473+'DMP-TRIAL-BAL-2021'!R473</f>
        <v>0</v>
      </c>
      <c r="Z473" s="528">
        <f>+'NF-KSF-TRIAL-BAL-2021'!S473+'RA-TRIAL-BAL-2021'!S473+'DES-TRIAL-BAL-2021'!S473+'DMP-TRIAL-BAL-2021'!S473</f>
        <v>0</v>
      </c>
      <c r="AA473" s="347">
        <f>+'NF-KSF-TRIAL-BAL-2021'!T473+'RA-TRIAL-BAL-2021'!T473+'DES-TRIAL-BAL-2021'!T473+'DMP-TRIAL-BAL-2021'!T473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97">
        <f t="shared" si="226"/>
        <v>6151</v>
      </c>
      <c r="AK473" s="8">
        <v>0</v>
      </c>
      <c r="AL473" s="9">
        <v>0</v>
      </c>
      <c r="AM473" s="326">
        <f t="shared" si="233"/>
        <v>0</v>
      </c>
      <c r="AN473" s="970">
        <f t="shared" si="233"/>
        <v>0</v>
      </c>
      <c r="AO473" s="326">
        <f t="shared" si="236"/>
        <v>0</v>
      </c>
      <c r="AP473" s="327">
        <f t="shared" si="237"/>
        <v>0</v>
      </c>
      <c r="AQ473" s="43"/>
      <c r="AR473" s="358">
        <f t="shared" si="241"/>
        <v>0</v>
      </c>
      <c r="AS473" s="359">
        <f t="shared" si="242"/>
        <v>0</v>
      </c>
      <c r="AT473" s="360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25"/>
      <c r="R474" s="324"/>
      <c r="S474" s="27">
        <f t="shared" si="238"/>
        <v>0</v>
      </c>
      <c r="T474" s="28">
        <f t="shared" si="234"/>
        <v>0</v>
      </c>
      <c r="U474" s="51"/>
      <c r="V474" s="541">
        <f>+'NF-KSF-TRIAL-BAL-2021'!O474+'RA-TRIAL-BAL-2021'!O474+'DES-TRIAL-BAL-2021'!O474+'DMP-TRIAL-BAL-2021'!O474</f>
        <v>0</v>
      </c>
      <c r="W474" s="529">
        <f>+'NF-KSF-TRIAL-BAL-2021'!P474+'RA-TRIAL-BAL-2021'!P474+'DES-TRIAL-BAL-2021'!P474+'DMP-TRIAL-BAL-2021'!P474</f>
        <v>0</v>
      </c>
      <c r="X474" s="528">
        <f>+'NF-KSF-TRIAL-BAL-2021'!Q474+'RA-TRIAL-BAL-2021'!Q474+'DES-TRIAL-BAL-2021'!Q474+'DMP-TRIAL-BAL-2021'!Q474</f>
        <v>0</v>
      </c>
      <c r="Y474" s="529">
        <f>+'NF-KSF-TRIAL-BAL-2021'!R474+'RA-TRIAL-BAL-2021'!R474+'DES-TRIAL-BAL-2021'!R474+'DMP-TRIAL-BAL-2021'!R474</f>
        <v>0</v>
      </c>
      <c r="Z474" s="528">
        <f>+'NF-KSF-TRIAL-BAL-2021'!S474+'RA-TRIAL-BAL-2021'!S474+'DES-TRIAL-BAL-2021'!S474+'DMP-TRIAL-BAL-2021'!S474</f>
        <v>0</v>
      </c>
      <c r="AA474" s="347">
        <f>+'NF-KSF-TRIAL-BAL-2021'!T474+'RA-TRIAL-BAL-2021'!T474+'DES-TRIAL-BAL-2021'!T474+'DMP-TRIAL-BAL-2021'!T474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97">
        <f t="shared" si="226"/>
        <v>6159</v>
      </c>
      <c r="AK474" s="8">
        <v>0</v>
      </c>
      <c r="AL474" s="9">
        <v>0</v>
      </c>
      <c r="AM474" s="326">
        <f t="shared" si="233"/>
        <v>0</v>
      </c>
      <c r="AN474" s="970">
        <f t="shared" si="233"/>
        <v>0</v>
      </c>
      <c r="AO474" s="326">
        <f t="shared" si="236"/>
        <v>0</v>
      </c>
      <c r="AP474" s="327">
        <f t="shared" si="237"/>
        <v>0</v>
      </c>
      <c r="AQ474" s="43"/>
      <c r="AR474" s="358">
        <f t="shared" si="241"/>
        <v>0</v>
      </c>
      <c r="AS474" s="359">
        <f t="shared" si="242"/>
        <v>0</v>
      </c>
      <c r="AT474" s="360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25"/>
      <c r="R475" s="324"/>
      <c r="S475" s="27">
        <f t="shared" si="238"/>
        <v>0</v>
      </c>
      <c r="T475" s="28">
        <f t="shared" si="234"/>
        <v>0</v>
      </c>
      <c r="U475" s="51"/>
      <c r="V475" s="541">
        <f>+'NF-KSF-TRIAL-BAL-2021'!O475+'RA-TRIAL-BAL-2021'!O475+'DES-TRIAL-BAL-2021'!O475+'DMP-TRIAL-BAL-2021'!O475</f>
        <v>0</v>
      </c>
      <c r="W475" s="529">
        <f>+'NF-KSF-TRIAL-BAL-2021'!P475+'RA-TRIAL-BAL-2021'!P475+'DES-TRIAL-BAL-2021'!P475+'DMP-TRIAL-BAL-2021'!P475</f>
        <v>0</v>
      </c>
      <c r="X475" s="528">
        <f>+'NF-KSF-TRIAL-BAL-2021'!Q475+'RA-TRIAL-BAL-2021'!Q475+'DES-TRIAL-BAL-2021'!Q475+'DMP-TRIAL-BAL-2021'!Q475</f>
        <v>0</v>
      </c>
      <c r="Y475" s="529">
        <f>+'NF-KSF-TRIAL-BAL-2021'!R475+'RA-TRIAL-BAL-2021'!R475+'DES-TRIAL-BAL-2021'!R475+'DMP-TRIAL-BAL-2021'!R475</f>
        <v>0</v>
      </c>
      <c r="Z475" s="528">
        <f>+'NF-KSF-TRIAL-BAL-2021'!S475+'RA-TRIAL-BAL-2021'!S475+'DES-TRIAL-BAL-2021'!S475+'DMP-TRIAL-BAL-2021'!S475</f>
        <v>0</v>
      </c>
      <c r="AA475" s="347">
        <f>+'NF-KSF-TRIAL-BAL-2021'!T475+'RA-TRIAL-BAL-2021'!T475+'DES-TRIAL-BAL-2021'!T475+'DMP-TRIAL-BAL-2021'!T475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97">
        <f t="shared" si="226"/>
        <v>6161</v>
      </c>
      <c r="AK475" s="8">
        <v>0</v>
      </c>
      <c r="AL475" s="9">
        <v>0</v>
      </c>
      <c r="AM475" s="326">
        <f t="shared" si="233"/>
        <v>0</v>
      </c>
      <c r="AN475" s="970">
        <f t="shared" si="233"/>
        <v>0</v>
      </c>
      <c r="AO475" s="326">
        <f t="shared" si="236"/>
        <v>0</v>
      </c>
      <c r="AP475" s="327">
        <f t="shared" si="237"/>
        <v>0</v>
      </c>
      <c r="AQ475" s="43"/>
      <c r="AR475" s="358">
        <f t="shared" si="241"/>
        <v>0</v>
      </c>
      <c r="AS475" s="359">
        <f t="shared" si="242"/>
        <v>0</v>
      </c>
      <c r="AT475" s="360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25"/>
      <c r="R476" s="324"/>
      <c r="S476" s="27">
        <f t="shared" si="238"/>
        <v>0</v>
      </c>
      <c r="T476" s="28">
        <f t="shared" si="234"/>
        <v>0</v>
      </c>
      <c r="U476" s="51"/>
      <c r="V476" s="541">
        <f>+'NF-KSF-TRIAL-BAL-2021'!O476+'RA-TRIAL-BAL-2021'!O476+'DES-TRIAL-BAL-2021'!O476+'DMP-TRIAL-BAL-2021'!O476</f>
        <v>0</v>
      </c>
      <c r="W476" s="529">
        <f>+'NF-KSF-TRIAL-BAL-2021'!P476+'RA-TRIAL-BAL-2021'!P476+'DES-TRIAL-BAL-2021'!P476+'DMP-TRIAL-BAL-2021'!P476</f>
        <v>0</v>
      </c>
      <c r="X476" s="528">
        <f>+'NF-KSF-TRIAL-BAL-2021'!Q476+'RA-TRIAL-BAL-2021'!Q476+'DES-TRIAL-BAL-2021'!Q476+'DMP-TRIAL-BAL-2021'!Q476</f>
        <v>0</v>
      </c>
      <c r="Y476" s="529">
        <f>+'NF-KSF-TRIAL-BAL-2021'!R476+'RA-TRIAL-BAL-2021'!R476+'DES-TRIAL-BAL-2021'!R476+'DMP-TRIAL-BAL-2021'!R476</f>
        <v>0</v>
      </c>
      <c r="Z476" s="528">
        <f>+'NF-KSF-TRIAL-BAL-2021'!S476+'RA-TRIAL-BAL-2021'!S476+'DES-TRIAL-BAL-2021'!S476+'DMP-TRIAL-BAL-2021'!S476</f>
        <v>0</v>
      </c>
      <c r="AA476" s="347">
        <f>+'NF-KSF-TRIAL-BAL-2021'!T476+'RA-TRIAL-BAL-2021'!T476+'DES-TRIAL-BAL-2021'!T476+'DMP-TRIAL-BAL-2021'!T476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97">
        <f t="shared" ref="AJ476:AJ557" si="244">+N476</f>
        <v>6162</v>
      </c>
      <c r="AK476" s="8">
        <v>0</v>
      </c>
      <c r="AL476" s="9">
        <v>0</v>
      </c>
      <c r="AM476" s="326">
        <f t="shared" si="233"/>
        <v>0</v>
      </c>
      <c r="AN476" s="970">
        <f t="shared" si="233"/>
        <v>0</v>
      </c>
      <c r="AO476" s="326">
        <f t="shared" si="236"/>
        <v>0</v>
      </c>
      <c r="AP476" s="327">
        <f t="shared" si="237"/>
        <v>0</v>
      </c>
      <c r="AQ476" s="43"/>
      <c r="AR476" s="358">
        <f t="shared" si="241"/>
        <v>0</v>
      </c>
      <c r="AS476" s="359">
        <f t="shared" si="242"/>
        <v>0</v>
      </c>
      <c r="AT476" s="360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25"/>
      <c r="R477" s="324"/>
      <c r="S477" s="27">
        <f t="shared" si="238"/>
        <v>0</v>
      </c>
      <c r="T477" s="28">
        <f t="shared" si="234"/>
        <v>0</v>
      </c>
      <c r="U477" s="51"/>
      <c r="V477" s="541">
        <f>+'NF-KSF-TRIAL-BAL-2021'!O477+'RA-TRIAL-BAL-2021'!O477+'DES-TRIAL-BAL-2021'!O477+'DMP-TRIAL-BAL-2021'!O477</f>
        <v>0</v>
      </c>
      <c r="W477" s="529">
        <f>+'NF-KSF-TRIAL-BAL-2021'!P477+'RA-TRIAL-BAL-2021'!P477+'DES-TRIAL-BAL-2021'!P477+'DMP-TRIAL-BAL-2021'!P477</f>
        <v>0</v>
      </c>
      <c r="X477" s="528">
        <f>+'NF-KSF-TRIAL-BAL-2021'!Q477+'RA-TRIAL-BAL-2021'!Q477+'DES-TRIAL-BAL-2021'!Q477+'DMP-TRIAL-BAL-2021'!Q477</f>
        <v>0</v>
      </c>
      <c r="Y477" s="529">
        <f>+'NF-KSF-TRIAL-BAL-2021'!R477+'RA-TRIAL-BAL-2021'!R477+'DES-TRIAL-BAL-2021'!R477+'DMP-TRIAL-BAL-2021'!R477</f>
        <v>0</v>
      </c>
      <c r="Z477" s="528">
        <f>+'NF-KSF-TRIAL-BAL-2021'!S477+'RA-TRIAL-BAL-2021'!S477+'DES-TRIAL-BAL-2021'!S477+'DMP-TRIAL-BAL-2021'!S477</f>
        <v>0</v>
      </c>
      <c r="AA477" s="347">
        <f>+'NF-KSF-TRIAL-BAL-2021'!T477+'RA-TRIAL-BAL-2021'!T477+'DES-TRIAL-BAL-2021'!T477+'DMP-TRIAL-BAL-2021'!T477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97">
        <f t="shared" si="244"/>
        <v>6163</v>
      </c>
      <c r="AK477" s="8">
        <v>0</v>
      </c>
      <c r="AL477" s="9">
        <v>0</v>
      </c>
      <c r="AM477" s="326">
        <f t="shared" si="233"/>
        <v>0</v>
      </c>
      <c r="AN477" s="970">
        <f t="shared" si="233"/>
        <v>0</v>
      </c>
      <c r="AO477" s="326">
        <f t="shared" si="236"/>
        <v>0</v>
      </c>
      <c r="AP477" s="327">
        <f t="shared" si="237"/>
        <v>0</v>
      </c>
      <c r="AQ477" s="43"/>
      <c r="AR477" s="358">
        <f t="shared" si="241"/>
        <v>0</v>
      </c>
      <c r="AS477" s="359">
        <f t="shared" si="242"/>
        <v>0</v>
      </c>
      <c r="AT477" s="360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25">
        <v>509.97</v>
      </c>
      <c r="R478" s="324"/>
      <c r="S478" s="27">
        <f t="shared" si="238"/>
        <v>509.97</v>
      </c>
      <c r="T478" s="28">
        <f t="shared" si="234"/>
        <v>0</v>
      </c>
      <c r="U478" s="51"/>
      <c r="V478" s="541">
        <f>+'NF-KSF-TRIAL-BAL-2021'!O478+'RA-TRIAL-BAL-2021'!O478+'DES-TRIAL-BAL-2021'!O478+'DMP-TRIAL-BAL-2021'!O478</f>
        <v>0</v>
      </c>
      <c r="W478" s="529">
        <f>+'NF-KSF-TRIAL-BAL-2021'!P478+'RA-TRIAL-BAL-2021'!P478+'DES-TRIAL-BAL-2021'!P478+'DMP-TRIAL-BAL-2021'!P478</f>
        <v>0</v>
      </c>
      <c r="X478" s="528">
        <f>+'NF-KSF-TRIAL-BAL-2021'!Q478+'RA-TRIAL-BAL-2021'!Q478+'DES-TRIAL-BAL-2021'!Q478+'DMP-TRIAL-BAL-2021'!Q478</f>
        <v>0</v>
      </c>
      <c r="Y478" s="529">
        <f>+'NF-KSF-TRIAL-BAL-2021'!R478+'RA-TRIAL-BAL-2021'!R478+'DES-TRIAL-BAL-2021'!R478+'DMP-TRIAL-BAL-2021'!R478</f>
        <v>0</v>
      </c>
      <c r="Z478" s="528">
        <f>+'NF-KSF-TRIAL-BAL-2021'!S478+'RA-TRIAL-BAL-2021'!S478+'DES-TRIAL-BAL-2021'!S478+'DMP-TRIAL-BAL-2021'!S478</f>
        <v>0</v>
      </c>
      <c r="AA478" s="347">
        <f>+'NF-KSF-TRIAL-BAL-2021'!T478+'RA-TRIAL-BAL-2021'!T478+'DES-TRIAL-BAL-2021'!T478+'DMP-TRIAL-BAL-2021'!T478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97">
        <f t="shared" si="244"/>
        <v>6201</v>
      </c>
      <c r="AK478" s="8">
        <v>0</v>
      </c>
      <c r="AL478" s="9">
        <v>0</v>
      </c>
      <c r="AM478" s="326">
        <f t="shared" si="233"/>
        <v>509.97</v>
      </c>
      <c r="AN478" s="970">
        <f t="shared" si="233"/>
        <v>0</v>
      </c>
      <c r="AO478" s="326">
        <f t="shared" si="236"/>
        <v>509.97</v>
      </c>
      <c r="AP478" s="327">
        <f t="shared" si="237"/>
        <v>0</v>
      </c>
      <c r="AQ478" s="43"/>
      <c r="AR478" s="358">
        <f t="shared" si="241"/>
        <v>0</v>
      </c>
      <c r="AS478" s="359">
        <f t="shared" si="242"/>
        <v>0</v>
      </c>
      <c r="AT478" s="360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25"/>
      <c r="R479" s="324"/>
      <c r="S479" s="27">
        <f t="shared" si="238"/>
        <v>0</v>
      </c>
      <c r="T479" s="28">
        <f t="shared" si="234"/>
        <v>0</v>
      </c>
      <c r="U479" s="51"/>
      <c r="V479" s="541">
        <f>+'NF-KSF-TRIAL-BAL-2021'!O479+'RA-TRIAL-BAL-2021'!O479+'DES-TRIAL-BAL-2021'!O479+'DMP-TRIAL-BAL-2021'!O479</f>
        <v>0</v>
      </c>
      <c r="W479" s="529">
        <f>+'NF-KSF-TRIAL-BAL-2021'!P479+'RA-TRIAL-BAL-2021'!P479+'DES-TRIAL-BAL-2021'!P479+'DMP-TRIAL-BAL-2021'!P479</f>
        <v>0</v>
      </c>
      <c r="X479" s="528">
        <f>+'NF-KSF-TRIAL-BAL-2021'!Q479+'RA-TRIAL-BAL-2021'!Q479+'DES-TRIAL-BAL-2021'!Q479+'DMP-TRIAL-BAL-2021'!Q479</f>
        <v>0</v>
      </c>
      <c r="Y479" s="529">
        <f>+'NF-KSF-TRIAL-BAL-2021'!R479+'RA-TRIAL-BAL-2021'!R479+'DES-TRIAL-BAL-2021'!R479+'DMP-TRIAL-BAL-2021'!R479</f>
        <v>0</v>
      </c>
      <c r="Z479" s="528">
        <f>+'NF-KSF-TRIAL-BAL-2021'!S479+'RA-TRIAL-BAL-2021'!S479+'DES-TRIAL-BAL-2021'!S479+'DMP-TRIAL-BAL-2021'!S479</f>
        <v>0</v>
      </c>
      <c r="AA479" s="347">
        <f>+'NF-KSF-TRIAL-BAL-2021'!T479+'RA-TRIAL-BAL-2021'!T479+'DES-TRIAL-BAL-2021'!T479+'DMP-TRIAL-BAL-2021'!T479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97">
        <f t="shared" si="244"/>
        <v>6202</v>
      </c>
      <c r="AK479" s="8">
        <v>0</v>
      </c>
      <c r="AL479" s="9">
        <v>0</v>
      </c>
      <c r="AM479" s="326">
        <f t="shared" si="233"/>
        <v>0</v>
      </c>
      <c r="AN479" s="970">
        <f t="shared" si="233"/>
        <v>0</v>
      </c>
      <c r="AO479" s="326">
        <f t="shared" si="236"/>
        <v>0</v>
      </c>
      <c r="AP479" s="327">
        <f t="shared" si="237"/>
        <v>0</v>
      </c>
      <c r="AQ479" s="43"/>
      <c r="AR479" s="358">
        <f t="shared" si="241"/>
        <v>0</v>
      </c>
      <c r="AS479" s="359">
        <f t="shared" si="242"/>
        <v>0</v>
      </c>
      <c r="AT479" s="360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25">
        <v>21471.98</v>
      </c>
      <c r="R480" s="324"/>
      <c r="S480" s="27">
        <f t="shared" si="238"/>
        <v>21471.98</v>
      </c>
      <c r="T480" s="28">
        <f t="shared" si="234"/>
        <v>0</v>
      </c>
      <c r="U480" s="51"/>
      <c r="V480" s="541">
        <f>+'NF-KSF-TRIAL-BAL-2021'!O480+'RA-TRIAL-BAL-2021'!O480+'DES-TRIAL-BAL-2021'!O480+'DMP-TRIAL-BAL-2021'!O480</f>
        <v>0</v>
      </c>
      <c r="W480" s="529">
        <f>+'NF-KSF-TRIAL-BAL-2021'!P480+'RA-TRIAL-BAL-2021'!P480+'DES-TRIAL-BAL-2021'!P480+'DMP-TRIAL-BAL-2021'!P480</f>
        <v>0</v>
      </c>
      <c r="X480" s="528">
        <f>+'NF-KSF-TRIAL-BAL-2021'!Q480+'RA-TRIAL-BAL-2021'!Q480+'DES-TRIAL-BAL-2021'!Q480+'DMP-TRIAL-BAL-2021'!Q480</f>
        <v>61.44</v>
      </c>
      <c r="Y480" s="529">
        <f>+'NF-KSF-TRIAL-BAL-2021'!R480+'RA-TRIAL-BAL-2021'!R480+'DES-TRIAL-BAL-2021'!R480+'DMP-TRIAL-BAL-2021'!R480</f>
        <v>0</v>
      </c>
      <c r="Z480" s="528">
        <f>+'NF-KSF-TRIAL-BAL-2021'!S480+'RA-TRIAL-BAL-2021'!S480+'DES-TRIAL-BAL-2021'!S480+'DMP-TRIAL-BAL-2021'!S480</f>
        <v>61.44</v>
      </c>
      <c r="AA480" s="347">
        <f>+'NF-KSF-TRIAL-BAL-2021'!T480+'RA-TRIAL-BAL-2021'!T480+'DES-TRIAL-BAL-2021'!T480+'DMP-TRIAL-BAL-2021'!T480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97">
        <f t="shared" si="244"/>
        <v>6203</v>
      </c>
      <c r="AK480" s="8">
        <v>0</v>
      </c>
      <c r="AL480" s="9">
        <v>0</v>
      </c>
      <c r="AM480" s="326">
        <f t="shared" si="233"/>
        <v>21533.42</v>
      </c>
      <c r="AN480" s="970">
        <f t="shared" si="233"/>
        <v>0</v>
      </c>
      <c r="AO480" s="326">
        <f t="shared" si="236"/>
        <v>21533.42</v>
      </c>
      <c r="AP480" s="327">
        <f t="shared" si="237"/>
        <v>0</v>
      </c>
      <c r="AQ480" s="43"/>
      <c r="AR480" s="358">
        <f t="shared" si="241"/>
        <v>0</v>
      </c>
      <c r="AS480" s="359">
        <f t="shared" si="242"/>
        <v>0</v>
      </c>
      <c r="AT480" s="360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25"/>
      <c r="R481" s="324"/>
      <c r="S481" s="27">
        <f t="shared" si="238"/>
        <v>0</v>
      </c>
      <c r="T481" s="28">
        <f t="shared" si="234"/>
        <v>0</v>
      </c>
      <c r="U481" s="51"/>
      <c r="V481" s="541">
        <f>+'NF-KSF-TRIAL-BAL-2021'!O481+'RA-TRIAL-BAL-2021'!O481+'DES-TRIAL-BAL-2021'!O481+'DMP-TRIAL-BAL-2021'!O481</f>
        <v>0</v>
      </c>
      <c r="W481" s="529">
        <f>+'NF-KSF-TRIAL-BAL-2021'!P481+'RA-TRIAL-BAL-2021'!P481+'DES-TRIAL-BAL-2021'!P481+'DMP-TRIAL-BAL-2021'!P481</f>
        <v>0</v>
      </c>
      <c r="X481" s="528">
        <f>+'NF-KSF-TRIAL-BAL-2021'!Q481+'RA-TRIAL-BAL-2021'!Q481+'DES-TRIAL-BAL-2021'!Q481+'DMP-TRIAL-BAL-2021'!Q481</f>
        <v>0</v>
      </c>
      <c r="Y481" s="529">
        <f>+'NF-KSF-TRIAL-BAL-2021'!R481+'RA-TRIAL-BAL-2021'!R481+'DES-TRIAL-BAL-2021'!R481+'DMP-TRIAL-BAL-2021'!R481</f>
        <v>0</v>
      </c>
      <c r="Z481" s="528">
        <f>+'NF-KSF-TRIAL-BAL-2021'!S481+'RA-TRIAL-BAL-2021'!S481+'DES-TRIAL-BAL-2021'!S481+'DMP-TRIAL-BAL-2021'!S481</f>
        <v>0</v>
      </c>
      <c r="AA481" s="347">
        <f>+'NF-KSF-TRIAL-BAL-2021'!T481+'RA-TRIAL-BAL-2021'!T481+'DES-TRIAL-BAL-2021'!T481+'DMP-TRIAL-BAL-2021'!T481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97">
        <f t="shared" si="244"/>
        <v>6209</v>
      </c>
      <c r="AK481" s="8">
        <v>0</v>
      </c>
      <c r="AL481" s="9">
        <v>0</v>
      </c>
      <c r="AM481" s="326">
        <f t="shared" si="233"/>
        <v>0</v>
      </c>
      <c r="AN481" s="970">
        <f t="shared" si="233"/>
        <v>0</v>
      </c>
      <c r="AO481" s="326">
        <f t="shared" ref="AO481:AO544" si="245">+S481+Z481+AG481</f>
        <v>0</v>
      </c>
      <c r="AP481" s="327">
        <f t="shared" ref="AP481:AP544" si="246">+T481+AA481+AH481</f>
        <v>0</v>
      </c>
      <c r="AQ481" s="43"/>
      <c r="AR481" s="358">
        <f t="shared" si="241"/>
        <v>0</v>
      </c>
      <c r="AS481" s="359">
        <f t="shared" si="242"/>
        <v>0</v>
      </c>
      <c r="AT481" s="360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25"/>
      <c r="R482" s="324"/>
      <c r="S482" s="27">
        <f t="shared" si="238"/>
        <v>0</v>
      </c>
      <c r="T482" s="28">
        <f t="shared" si="234"/>
        <v>0</v>
      </c>
      <c r="U482" s="51"/>
      <c r="V482" s="541">
        <f>+'NF-KSF-TRIAL-BAL-2021'!O482+'RA-TRIAL-BAL-2021'!O482+'DES-TRIAL-BAL-2021'!O482+'DMP-TRIAL-BAL-2021'!O482</f>
        <v>0</v>
      </c>
      <c r="W482" s="529">
        <f>+'NF-KSF-TRIAL-BAL-2021'!P482+'RA-TRIAL-BAL-2021'!P482+'DES-TRIAL-BAL-2021'!P482+'DMP-TRIAL-BAL-2021'!P482</f>
        <v>0</v>
      </c>
      <c r="X482" s="528">
        <f>+'NF-KSF-TRIAL-BAL-2021'!Q482+'RA-TRIAL-BAL-2021'!Q482+'DES-TRIAL-BAL-2021'!Q482+'DMP-TRIAL-BAL-2021'!Q482</f>
        <v>0</v>
      </c>
      <c r="Y482" s="529">
        <f>+'NF-KSF-TRIAL-BAL-2021'!R482+'RA-TRIAL-BAL-2021'!R482+'DES-TRIAL-BAL-2021'!R482+'DMP-TRIAL-BAL-2021'!R482</f>
        <v>0</v>
      </c>
      <c r="Z482" s="528">
        <f>+'NF-KSF-TRIAL-BAL-2021'!S482+'RA-TRIAL-BAL-2021'!S482+'DES-TRIAL-BAL-2021'!S482+'DMP-TRIAL-BAL-2021'!S482</f>
        <v>0</v>
      </c>
      <c r="AA482" s="347">
        <f>+'NF-KSF-TRIAL-BAL-2021'!T482+'RA-TRIAL-BAL-2021'!T482+'DES-TRIAL-BAL-2021'!T482+'DMP-TRIAL-BAL-2021'!T482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97">
        <f t="shared" si="244"/>
        <v>6211</v>
      </c>
      <c r="AK482" s="8">
        <v>0</v>
      </c>
      <c r="AL482" s="9">
        <v>0</v>
      </c>
      <c r="AM482" s="326">
        <f t="shared" si="233"/>
        <v>0</v>
      </c>
      <c r="AN482" s="970">
        <f t="shared" si="233"/>
        <v>0</v>
      </c>
      <c r="AO482" s="326">
        <f t="shared" si="245"/>
        <v>0</v>
      </c>
      <c r="AP482" s="327">
        <f t="shared" si="246"/>
        <v>0</v>
      </c>
      <c r="AQ482" s="43"/>
      <c r="AR482" s="358">
        <f t="shared" si="241"/>
        <v>0</v>
      </c>
      <c r="AS482" s="359">
        <f t="shared" si="242"/>
        <v>0</v>
      </c>
      <c r="AT482" s="360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25"/>
      <c r="R483" s="324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41">
        <f>+'NF-KSF-TRIAL-BAL-2021'!O483+'RA-TRIAL-BAL-2021'!O483+'DES-TRIAL-BAL-2021'!O483+'DMP-TRIAL-BAL-2021'!O483</f>
        <v>0</v>
      </c>
      <c r="W483" s="529">
        <f>+'NF-KSF-TRIAL-BAL-2021'!P483+'RA-TRIAL-BAL-2021'!P483+'DES-TRIAL-BAL-2021'!P483+'DMP-TRIAL-BAL-2021'!P483</f>
        <v>0</v>
      </c>
      <c r="X483" s="528">
        <f>+'NF-KSF-TRIAL-BAL-2021'!Q483+'RA-TRIAL-BAL-2021'!Q483+'DES-TRIAL-BAL-2021'!Q483+'DMP-TRIAL-BAL-2021'!Q483</f>
        <v>0</v>
      </c>
      <c r="Y483" s="529">
        <f>+'NF-KSF-TRIAL-BAL-2021'!R483+'RA-TRIAL-BAL-2021'!R483+'DES-TRIAL-BAL-2021'!R483+'DMP-TRIAL-BAL-2021'!R483</f>
        <v>0</v>
      </c>
      <c r="Z483" s="528">
        <f>+'NF-KSF-TRIAL-BAL-2021'!S483+'RA-TRIAL-BAL-2021'!S483+'DES-TRIAL-BAL-2021'!S483+'DMP-TRIAL-BAL-2021'!S483</f>
        <v>0</v>
      </c>
      <c r="AA483" s="347">
        <f>+'NF-KSF-TRIAL-BAL-2021'!T483+'RA-TRIAL-BAL-2021'!T483+'DES-TRIAL-BAL-2021'!T483+'DMP-TRIAL-BAL-2021'!T483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97">
        <f>+N483</f>
        <v>6218</v>
      </c>
      <c r="AK483" s="8">
        <v>0</v>
      </c>
      <c r="AL483" s="9">
        <v>0</v>
      </c>
      <c r="AM483" s="326">
        <f>+ROUND(+Q483+X483+AE483,2)</f>
        <v>0</v>
      </c>
      <c r="AN483" s="970">
        <f>+ROUND(+R483+Y483+AF483,2)</f>
        <v>0</v>
      </c>
      <c r="AO483" s="326">
        <f t="shared" si="245"/>
        <v>0</v>
      </c>
      <c r="AP483" s="327">
        <f t="shared" si="246"/>
        <v>0</v>
      </c>
      <c r="AQ483" s="43"/>
      <c r="AR483" s="358">
        <f>+ROUND(+SUM(AK483-AL483)-SUM(O483-P483)-SUM(V483-W483)-SUM(AC483-AD483),2)</f>
        <v>0</v>
      </c>
      <c r="AS483" s="359">
        <f>+ROUND(+SUM(AM483-AN483)-SUM(Q483-R483)-SUM(X483-Y483)-SUM(AE483-AF483),2)</f>
        <v>0</v>
      </c>
      <c r="AT483" s="360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25"/>
      <c r="R484" s="324"/>
      <c r="S484" s="27">
        <f t="shared" ref="S484:S564" si="247">+IF(ABS(+O484+Q484)&gt;=ABS(P484+R484),+O484-P484+Q484-R484,0)</f>
        <v>0</v>
      </c>
      <c r="T484" s="28">
        <f t="shared" ref="T484:T568" si="248">+IF(ABS(+O484+Q484)&lt;=ABS(P484+R484),-O484+P484-Q484+R484,0)</f>
        <v>0</v>
      </c>
      <c r="U484" s="51"/>
      <c r="V484" s="541">
        <f>+'NF-KSF-TRIAL-BAL-2021'!O484+'RA-TRIAL-BAL-2021'!O484+'DES-TRIAL-BAL-2021'!O484+'DMP-TRIAL-BAL-2021'!O484</f>
        <v>0</v>
      </c>
      <c r="W484" s="529">
        <f>+'NF-KSF-TRIAL-BAL-2021'!P484+'RA-TRIAL-BAL-2021'!P484+'DES-TRIAL-BAL-2021'!P484+'DMP-TRIAL-BAL-2021'!P484</f>
        <v>0</v>
      </c>
      <c r="X484" s="528">
        <f>+'NF-KSF-TRIAL-BAL-2021'!Q484+'RA-TRIAL-BAL-2021'!Q484+'DES-TRIAL-BAL-2021'!Q484+'DMP-TRIAL-BAL-2021'!Q484</f>
        <v>0</v>
      </c>
      <c r="Y484" s="529">
        <f>+'NF-KSF-TRIAL-BAL-2021'!R484+'RA-TRIAL-BAL-2021'!R484+'DES-TRIAL-BAL-2021'!R484+'DMP-TRIAL-BAL-2021'!R484</f>
        <v>0</v>
      </c>
      <c r="Z484" s="528">
        <f>+'NF-KSF-TRIAL-BAL-2021'!S484+'RA-TRIAL-BAL-2021'!S484+'DES-TRIAL-BAL-2021'!S484+'DMP-TRIAL-BAL-2021'!S484</f>
        <v>0</v>
      </c>
      <c r="AA484" s="347">
        <f>+'NF-KSF-TRIAL-BAL-2021'!T484+'RA-TRIAL-BAL-2021'!T484+'DES-TRIAL-BAL-2021'!T484+'DMP-TRIAL-BAL-2021'!T484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97">
        <f t="shared" si="244"/>
        <v>6221</v>
      </c>
      <c r="AK484" s="8">
        <v>0</v>
      </c>
      <c r="AL484" s="9">
        <v>0</v>
      </c>
      <c r="AM484" s="326">
        <f t="shared" ref="AM484:AN568" si="251">+ROUND(+Q484+X484+AE484,2)</f>
        <v>0</v>
      </c>
      <c r="AN484" s="970">
        <f t="shared" si="251"/>
        <v>0</v>
      </c>
      <c r="AO484" s="27">
        <f t="shared" si="245"/>
        <v>0</v>
      </c>
      <c r="AP484" s="28">
        <f t="shared" si="246"/>
        <v>0</v>
      </c>
      <c r="AQ484" s="43"/>
      <c r="AR484" s="358">
        <f t="shared" si="241"/>
        <v>0</v>
      </c>
      <c r="AS484" s="359">
        <f t="shared" si="242"/>
        <v>0</v>
      </c>
      <c r="AT484" s="360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25"/>
      <c r="R485" s="324"/>
      <c r="S485" s="27">
        <f t="shared" si="247"/>
        <v>0</v>
      </c>
      <c r="T485" s="28">
        <f t="shared" si="248"/>
        <v>0</v>
      </c>
      <c r="U485" s="51"/>
      <c r="V485" s="541">
        <f>+'NF-KSF-TRIAL-BAL-2021'!O485+'RA-TRIAL-BAL-2021'!O485+'DES-TRIAL-BAL-2021'!O485+'DMP-TRIAL-BAL-2021'!O485</f>
        <v>0</v>
      </c>
      <c r="W485" s="529">
        <f>+'NF-KSF-TRIAL-BAL-2021'!P485+'RA-TRIAL-BAL-2021'!P485+'DES-TRIAL-BAL-2021'!P485+'DMP-TRIAL-BAL-2021'!P485</f>
        <v>0</v>
      </c>
      <c r="X485" s="528">
        <f>+'NF-KSF-TRIAL-BAL-2021'!Q485+'RA-TRIAL-BAL-2021'!Q485+'DES-TRIAL-BAL-2021'!Q485+'DMP-TRIAL-BAL-2021'!Q485</f>
        <v>0</v>
      </c>
      <c r="Y485" s="529">
        <f>+'NF-KSF-TRIAL-BAL-2021'!R485+'RA-TRIAL-BAL-2021'!R485+'DES-TRIAL-BAL-2021'!R485+'DMP-TRIAL-BAL-2021'!R485</f>
        <v>0</v>
      </c>
      <c r="Z485" s="528">
        <f>+'NF-KSF-TRIAL-BAL-2021'!S485+'RA-TRIAL-BAL-2021'!S485+'DES-TRIAL-BAL-2021'!S485+'DMP-TRIAL-BAL-2021'!S485</f>
        <v>0</v>
      </c>
      <c r="AA485" s="347">
        <f>+'NF-KSF-TRIAL-BAL-2021'!T485+'RA-TRIAL-BAL-2021'!T485+'DES-TRIAL-BAL-2021'!T485+'DMP-TRIAL-BAL-2021'!T485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97">
        <f t="shared" si="244"/>
        <v>6224</v>
      </c>
      <c r="AK485" s="8">
        <v>0</v>
      </c>
      <c r="AL485" s="9">
        <v>0</v>
      </c>
      <c r="AM485" s="326">
        <f t="shared" si="251"/>
        <v>0</v>
      </c>
      <c r="AN485" s="970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58">
        <f t="shared" si="241"/>
        <v>0</v>
      </c>
      <c r="AS485" s="359">
        <f t="shared" si="242"/>
        <v>0</v>
      </c>
      <c r="AT485" s="360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25"/>
      <c r="R486" s="324"/>
      <c r="S486" s="27">
        <f t="shared" si="247"/>
        <v>0</v>
      </c>
      <c r="T486" s="28">
        <f t="shared" si="248"/>
        <v>0</v>
      </c>
      <c r="U486" s="51"/>
      <c r="V486" s="541">
        <f>+'NF-KSF-TRIAL-BAL-2021'!O486+'RA-TRIAL-BAL-2021'!O486+'DES-TRIAL-BAL-2021'!O486+'DMP-TRIAL-BAL-2021'!O486</f>
        <v>0</v>
      </c>
      <c r="W486" s="529">
        <f>+'NF-KSF-TRIAL-BAL-2021'!P486+'RA-TRIAL-BAL-2021'!P486+'DES-TRIAL-BAL-2021'!P486+'DMP-TRIAL-BAL-2021'!P486</f>
        <v>0</v>
      </c>
      <c r="X486" s="528">
        <f>+'NF-KSF-TRIAL-BAL-2021'!Q486+'RA-TRIAL-BAL-2021'!Q486+'DES-TRIAL-BAL-2021'!Q486+'DMP-TRIAL-BAL-2021'!Q486</f>
        <v>0</v>
      </c>
      <c r="Y486" s="529">
        <f>+'NF-KSF-TRIAL-BAL-2021'!R486+'RA-TRIAL-BAL-2021'!R486+'DES-TRIAL-BAL-2021'!R486+'DMP-TRIAL-BAL-2021'!R486</f>
        <v>0</v>
      </c>
      <c r="Z486" s="528">
        <f>+'NF-KSF-TRIAL-BAL-2021'!S486+'RA-TRIAL-BAL-2021'!S486+'DES-TRIAL-BAL-2021'!S486+'DMP-TRIAL-BAL-2021'!S486</f>
        <v>0</v>
      </c>
      <c r="AA486" s="347">
        <f>+'NF-KSF-TRIAL-BAL-2021'!T486+'RA-TRIAL-BAL-2021'!T486+'DES-TRIAL-BAL-2021'!T486+'DMP-TRIAL-BAL-2021'!T486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97">
        <f t="shared" si="244"/>
        <v>6225</v>
      </c>
      <c r="AK486" s="8">
        <v>0</v>
      </c>
      <c r="AL486" s="9">
        <v>0</v>
      </c>
      <c r="AM486" s="326">
        <f t="shared" si="251"/>
        <v>0</v>
      </c>
      <c r="AN486" s="970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58">
        <f t="shared" si="241"/>
        <v>0</v>
      </c>
      <c r="AS486" s="359">
        <f t="shared" si="242"/>
        <v>0</v>
      </c>
      <c r="AT486" s="360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25"/>
      <c r="R487" s="324"/>
      <c r="S487" s="27">
        <f t="shared" si="247"/>
        <v>0</v>
      </c>
      <c r="T487" s="28">
        <f t="shared" si="248"/>
        <v>0</v>
      </c>
      <c r="U487" s="51"/>
      <c r="V487" s="541">
        <f>+'NF-KSF-TRIAL-BAL-2021'!O487+'RA-TRIAL-BAL-2021'!O487+'DES-TRIAL-BAL-2021'!O487+'DMP-TRIAL-BAL-2021'!O487</f>
        <v>0</v>
      </c>
      <c r="W487" s="529">
        <f>+'NF-KSF-TRIAL-BAL-2021'!P487+'RA-TRIAL-BAL-2021'!P487+'DES-TRIAL-BAL-2021'!P487+'DMP-TRIAL-BAL-2021'!P487</f>
        <v>0</v>
      </c>
      <c r="X487" s="528">
        <f>+'NF-KSF-TRIAL-BAL-2021'!Q487+'RA-TRIAL-BAL-2021'!Q487+'DES-TRIAL-BAL-2021'!Q487+'DMP-TRIAL-BAL-2021'!Q487</f>
        <v>0</v>
      </c>
      <c r="Y487" s="529">
        <f>+'NF-KSF-TRIAL-BAL-2021'!R487+'RA-TRIAL-BAL-2021'!R487+'DES-TRIAL-BAL-2021'!R487+'DMP-TRIAL-BAL-2021'!R487</f>
        <v>0</v>
      </c>
      <c r="Z487" s="528">
        <f>+'NF-KSF-TRIAL-BAL-2021'!S487+'RA-TRIAL-BAL-2021'!S487+'DES-TRIAL-BAL-2021'!S487+'DMP-TRIAL-BAL-2021'!S487</f>
        <v>0</v>
      </c>
      <c r="AA487" s="347">
        <f>+'NF-KSF-TRIAL-BAL-2021'!T487+'RA-TRIAL-BAL-2021'!T487+'DES-TRIAL-BAL-2021'!T487+'DMP-TRIAL-BAL-2021'!T487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97">
        <f t="shared" si="244"/>
        <v>6226</v>
      </c>
      <c r="AK487" s="8">
        <v>0</v>
      </c>
      <c r="AL487" s="9">
        <v>0</v>
      </c>
      <c r="AM487" s="326">
        <f t="shared" si="251"/>
        <v>0</v>
      </c>
      <c r="AN487" s="970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58">
        <f t="shared" si="241"/>
        <v>0</v>
      </c>
      <c r="AS487" s="359">
        <f t="shared" si="242"/>
        <v>0</v>
      </c>
      <c r="AT487" s="360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25"/>
      <c r="R488" s="324"/>
      <c r="S488" s="27">
        <f t="shared" si="247"/>
        <v>0</v>
      </c>
      <c r="T488" s="28">
        <f t="shared" si="248"/>
        <v>0</v>
      </c>
      <c r="U488" s="51"/>
      <c r="V488" s="541">
        <f>+'NF-KSF-TRIAL-BAL-2021'!O488+'RA-TRIAL-BAL-2021'!O488+'DES-TRIAL-BAL-2021'!O488+'DMP-TRIAL-BAL-2021'!O488</f>
        <v>0</v>
      </c>
      <c r="W488" s="529">
        <f>+'NF-KSF-TRIAL-BAL-2021'!P488+'RA-TRIAL-BAL-2021'!P488+'DES-TRIAL-BAL-2021'!P488+'DMP-TRIAL-BAL-2021'!P488</f>
        <v>0</v>
      </c>
      <c r="X488" s="528">
        <f>+'NF-KSF-TRIAL-BAL-2021'!Q488+'RA-TRIAL-BAL-2021'!Q488+'DES-TRIAL-BAL-2021'!Q488+'DMP-TRIAL-BAL-2021'!Q488</f>
        <v>0</v>
      </c>
      <c r="Y488" s="529">
        <f>+'NF-KSF-TRIAL-BAL-2021'!R488+'RA-TRIAL-BAL-2021'!R488+'DES-TRIAL-BAL-2021'!R488+'DMP-TRIAL-BAL-2021'!R488</f>
        <v>0</v>
      </c>
      <c r="Z488" s="528">
        <f>+'NF-KSF-TRIAL-BAL-2021'!S488+'RA-TRIAL-BAL-2021'!S488+'DES-TRIAL-BAL-2021'!S488+'DMP-TRIAL-BAL-2021'!S488</f>
        <v>0</v>
      </c>
      <c r="AA488" s="347">
        <f>+'NF-KSF-TRIAL-BAL-2021'!T488+'RA-TRIAL-BAL-2021'!T488+'DES-TRIAL-BAL-2021'!T488+'DMP-TRIAL-BAL-2021'!T488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97">
        <f t="shared" si="244"/>
        <v>6227</v>
      </c>
      <c r="AK488" s="8">
        <v>0</v>
      </c>
      <c r="AL488" s="9">
        <v>0</v>
      </c>
      <c r="AM488" s="326">
        <f t="shared" si="251"/>
        <v>0</v>
      </c>
      <c r="AN488" s="970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58">
        <f t="shared" si="241"/>
        <v>0</v>
      </c>
      <c r="AS488" s="359">
        <f t="shared" si="242"/>
        <v>0</v>
      </c>
      <c r="AT488" s="360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25"/>
      <c r="R489" s="324"/>
      <c r="S489" s="27">
        <f t="shared" si="247"/>
        <v>0</v>
      </c>
      <c r="T489" s="28">
        <f t="shared" si="248"/>
        <v>0</v>
      </c>
      <c r="U489" s="51"/>
      <c r="V489" s="541">
        <f>+'NF-KSF-TRIAL-BAL-2021'!O489+'RA-TRIAL-BAL-2021'!O489+'DES-TRIAL-BAL-2021'!O489+'DMP-TRIAL-BAL-2021'!O489</f>
        <v>0</v>
      </c>
      <c r="W489" s="529">
        <f>+'NF-KSF-TRIAL-BAL-2021'!P489+'RA-TRIAL-BAL-2021'!P489+'DES-TRIAL-BAL-2021'!P489+'DMP-TRIAL-BAL-2021'!P489</f>
        <v>0</v>
      </c>
      <c r="X489" s="528">
        <f>+'NF-KSF-TRIAL-BAL-2021'!Q489+'RA-TRIAL-BAL-2021'!Q489+'DES-TRIAL-BAL-2021'!Q489+'DMP-TRIAL-BAL-2021'!Q489</f>
        <v>0</v>
      </c>
      <c r="Y489" s="529">
        <f>+'NF-KSF-TRIAL-BAL-2021'!R489+'RA-TRIAL-BAL-2021'!R489+'DES-TRIAL-BAL-2021'!R489+'DMP-TRIAL-BAL-2021'!R489</f>
        <v>0</v>
      </c>
      <c r="Z489" s="528">
        <f>+'NF-KSF-TRIAL-BAL-2021'!S489+'RA-TRIAL-BAL-2021'!S489+'DES-TRIAL-BAL-2021'!S489+'DMP-TRIAL-BAL-2021'!S489</f>
        <v>0</v>
      </c>
      <c r="AA489" s="347">
        <f>+'NF-KSF-TRIAL-BAL-2021'!T489+'RA-TRIAL-BAL-2021'!T489+'DES-TRIAL-BAL-2021'!T489+'DMP-TRIAL-BAL-2021'!T489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97">
        <f t="shared" si="244"/>
        <v>6229</v>
      </c>
      <c r="AK489" s="8">
        <v>0</v>
      </c>
      <c r="AL489" s="9">
        <v>0</v>
      </c>
      <c r="AM489" s="326">
        <f t="shared" si="251"/>
        <v>0</v>
      </c>
      <c r="AN489" s="970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58">
        <f t="shared" si="241"/>
        <v>0</v>
      </c>
      <c r="AS489" s="359">
        <f t="shared" si="242"/>
        <v>0</v>
      </c>
      <c r="AT489" s="360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25"/>
      <c r="R490" s="324"/>
      <c r="S490" s="27">
        <f t="shared" si="247"/>
        <v>0</v>
      </c>
      <c r="T490" s="28">
        <f t="shared" si="248"/>
        <v>0</v>
      </c>
      <c r="U490" s="51"/>
      <c r="V490" s="541">
        <f>+'NF-KSF-TRIAL-BAL-2021'!O490+'RA-TRIAL-BAL-2021'!O490+'DES-TRIAL-BAL-2021'!O490+'DMP-TRIAL-BAL-2021'!O490</f>
        <v>0</v>
      </c>
      <c r="W490" s="529">
        <f>+'NF-KSF-TRIAL-BAL-2021'!P490+'RA-TRIAL-BAL-2021'!P490+'DES-TRIAL-BAL-2021'!P490+'DMP-TRIAL-BAL-2021'!P490</f>
        <v>0</v>
      </c>
      <c r="X490" s="528">
        <f>+'NF-KSF-TRIAL-BAL-2021'!Q490+'RA-TRIAL-BAL-2021'!Q490+'DES-TRIAL-BAL-2021'!Q490+'DMP-TRIAL-BAL-2021'!Q490</f>
        <v>0</v>
      </c>
      <c r="Y490" s="529">
        <f>+'NF-KSF-TRIAL-BAL-2021'!R490+'RA-TRIAL-BAL-2021'!R490+'DES-TRIAL-BAL-2021'!R490+'DMP-TRIAL-BAL-2021'!R490</f>
        <v>0</v>
      </c>
      <c r="Z490" s="528">
        <f>+'NF-KSF-TRIAL-BAL-2021'!S490+'RA-TRIAL-BAL-2021'!S490+'DES-TRIAL-BAL-2021'!S490+'DMP-TRIAL-BAL-2021'!S490</f>
        <v>0</v>
      </c>
      <c r="AA490" s="347">
        <f>+'NF-KSF-TRIAL-BAL-2021'!T490+'RA-TRIAL-BAL-2021'!T490+'DES-TRIAL-BAL-2021'!T490+'DMP-TRIAL-BAL-2021'!T490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97">
        <f t="shared" si="244"/>
        <v>6231</v>
      </c>
      <c r="AK490" s="8">
        <v>0</v>
      </c>
      <c r="AL490" s="9">
        <v>0</v>
      </c>
      <c r="AM490" s="326">
        <f t="shared" si="251"/>
        <v>0</v>
      </c>
      <c r="AN490" s="970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58">
        <f t="shared" si="241"/>
        <v>0</v>
      </c>
      <c r="AS490" s="359">
        <f t="shared" si="242"/>
        <v>0</v>
      </c>
      <c r="AT490" s="360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25"/>
      <c r="R491" s="324"/>
      <c r="S491" s="27">
        <f t="shared" si="247"/>
        <v>0</v>
      </c>
      <c r="T491" s="28">
        <f t="shared" si="248"/>
        <v>0</v>
      </c>
      <c r="U491" s="51"/>
      <c r="V491" s="541">
        <f>+'NF-KSF-TRIAL-BAL-2021'!O491+'RA-TRIAL-BAL-2021'!O491+'DES-TRIAL-BAL-2021'!O491+'DMP-TRIAL-BAL-2021'!O491</f>
        <v>0</v>
      </c>
      <c r="W491" s="529">
        <f>+'NF-KSF-TRIAL-BAL-2021'!P491+'RA-TRIAL-BAL-2021'!P491+'DES-TRIAL-BAL-2021'!P491+'DMP-TRIAL-BAL-2021'!P491</f>
        <v>0</v>
      </c>
      <c r="X491" s="528">
        <f>+'NF-KSF-TRIAL-BAL-2021'!Q491+'RA-TRIAL-BAL-2021'!Q491+'DES-TRIAL-BAL-2021'!Q491+'DMP-TRIAL-BAL-2021'!Q491</f>
        <v>0</v>
      </c>
      <c r="Y491" s="529">
        <f>+'NF-KSF-TRIAL-BAL-2021'!R491+'RA-TRIAL-BAL-2021'!R491+'DES-TRIAL-BAL-2021'!R491+'DMP-TRIAL-BAL-2021'!R491</f>
        <v>0</v>
      </c>
      <c r="Z491" s="528">
        <f>+'NF-KSF-TRIAL-BAL-2021'!S491+'RA-TRIAL-BAL-2021'!S491+'DES-TRIAL-BAL-2021'!S491+'DMP-TRIAL-BAL-2021'!S491</f>
        <v>0</v>
      </c>
      <c r="AA491" s="347">
        <f>+'NF-KSF-TRIAL-BAL-2021'!T491+'RA-TRIAL-BAL-2021'!T491+'DES-TRIAL-BAL-2021'!T491+'DMP-TRIAL-BAL-2021'!T491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97">
        <f t="shared" si="244"/>
        <v>6232</v>
      </c>
      <c r="AK491" s="8">
        <v>0</v>
      </c>
      <c r="AL491" s="9">
        <v>0</v>
      </c>
      <c r="AM491" s="326">
        <f t="shared" si="251"/>
        <v>0</v>
      </c>
      <c r="AN491" s="970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58">
        <f t="shared" si="241"/>
        <v>0</v>
      </c>
      <c r="AS491" s="359">
        <f t="shared" si="242"/>
        <v>0</v>
      </c>
      <c r="AT491" s="360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25"/>
      <c r="R492" s="324"/>
      <c r="S492" s="27">
        <f t="shared" si="247"/>
        <v>0</v>
      </c>
      <c r="T492" s="28">
        <f t="shared" si="248"/>
        <v>0</v>
      </c>
      <c r="U492" s="51"/>
      <c r="V492" s="541">
        <f>+'NF-KSF-TRIAL-BAL-2021'!O492+'RA-TRIAL-BAL-2021'!O492+'DES-TRIAL-BAL-2021'!O492+'DMP-TRIAL-BAL-2021'!O492</f>
        <v>0</v>
      </c>
      <c r="W492" s="529">
        <f>+'NF-KSF-TRIAL-BAL-2021'!P492+'RA-TRIAL-BAL-2021'!P492+'DES-TRIAL-BAL-2021'!P492+'DMP-TRIAL-BAL-2021'!P492</f>
        <v>0</v>
      </c>
      <c r="X492" s="528">
        <f>+'NF-KSF-TRIAL-BAL-2021'!Q492+'RA-TRIAL-BAL-2021'!Q492+'DES-TRIAL-BAL-2021'!Q492+'DMP-TRIAL-BAL-2021'!Q492</f>
        <v>0</v>
      </c>
      <c r="Y492" s="529">
        <f>+'NF-KSF-TRIAL-BAL-2021'!R492+'RA-TRIAL-BAL-2021'!R492+'DES-TRIAL-BAL-2021'!R492+'DMP-TRIAL-BAL-2021'!R492</f>
        <v>0</v>
      </c>
      <c r="Z492" s="528">
        <f>+'NF-KSF-TRIAL-BAL-2021'!S492+'RA-TRIAL-BAL-2021'!S492+'DES-TRIAL-BAL-2021'!S492+'DMP-TRIAL-BAL-2021'!S492</f>
        <v>0</v>
      </c>
      <c r="AA492" s="347">
        <f>+'NF-KSF-TRIAL-BAL-2021'!T492+'RA-TRIAL-BAL-2021'!T492+'DES-TRIAL-BAL-2021'!T492+'DMP-TRIAL-BAL-2021'!T492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97">
        <f t="shared" si="244"/>
        <v>6241</v>
      </c>
      <c r="AK492" s="8">
        <v>0</v>
      </c>
      <c r="AL492" s="9">
        <v>0</v>
      </c>
      <c r="AM492" s="326">
        <f t="shared" si="251"/>
        <v>0</v>
      </c>
      <c r="AN492" s="970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58">
        <f t="shared" si="241"/>
        <v>0</v>
      </c>
      <c r="AS492" s="359">
        <f t="shared" si="242"/>
        <v>0</v>
      </c>
      <c r="AT492" s="360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25"/>
      <c r="R493" s="324"/>
      <c r="S493" s="27">
        <f t="shared" si="247"/>
        <v>0</v>
      </c>
      <c r="T493" s="28">
        <f t="shared" si="248"/>
        <v>0</v>
      </c>
      <c r="U493" s="51"/>
      <c r="V493" s="541">
        <f>+'NF-KSF-TRIAL-BAL-2021'!O493+'RA-TRIAL-BAL-2021'!O493+'DES-TRIAL-BAL-2021'!O493+'DMP-TRIAL-BAL-2021'!O493</f>
        <v>0</v>
      </c>
      <c r="W493" s="529">
        <f>+'NF-KSF-TRIAL-BAL-2021'!P493+'RA-TRIAL-BAL-2021'!P493+'DES-TRIAL-BAL-2021'!P493+'DMP-TRIAL-BAL-2021'!P493</f>
        <v>0</v>
      </c>
      <c r="X493" s="528">
        <f>+'NF-KSF-TRIAL-BAL-2021'!Q493+'RA-TRIAL-BAL-2021'!Q493+'DES-TRIAL-BAL-2021'!Q493+'DMP-TRIAL-BAL-2021'!Q493</f>
        <v>0</v>
      </c>
      <c r="Y493" s="529">
        <f>+'NF-KSF-TRIAL-BAL-2021'!R493+'RA-TRIAL-BAL-2021'!R493+'DES-TRIAL-BAL-2021'!R493+'DMP-TRIAL-BAL-2021'!R493</f>
        <v>0</v>
      </c>
      <c r="Z493" s="528">
        <f>+'NF-KSF-TRIAL-BAL-2021'!S493+'RA-TRIAL-BAL-2021'!S493+'DES-TRIAL-BAL-2021'!S493+'DMP-TRIAL-BAL-2021'!S493</f>
        <v>0</v>
      </c>
      <c r="AA493" s="347">
        <f>+'NF-KSF-TRIAL-BAL-2021'!T493+'RA-TRIAL-BAL-2021'!T493+'DES-TRIAL-BAL-2021'!T493+'DMP-TRIAL-BAL-2021'!T493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97">
        <f t="shared" si="244"/>
        <v>6242</v>
      </c>
      <c r="AK493" s="8">
        <v>0</v>
      </c>
      <c r="AL493" s="9">
        <v>0</v>
      </c>
      <c r="AM493" s="326">
        <f t="shared" si="251"/>
        <v>0</v>
      </c>
      <c r="AN493" s="970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58">
        <f t="shared" si="241"/>
        <v>0</v>
      </c>
      <c r="AS493" s="359">
        <f t="shared" si="242"/>
        <v>0</v>
      </c>
      <c r="AT493" s="360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25"/>
      <c r="R494" s="324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41">
        <f>+'NF-KSF-TRIAL-BAL-2021'!O494+'RA-TRIAL-BAL-2021'!O494+'DES-TRIAL-BAL-2021'!O494+'DMP-TRIAL-BAL-2021'!O494</f>
        <v>0</v>
      </c>
      <c r="W494" s="529">
        <f>+'NF-KSF-TRIAL-BAL-2021'!P494+'RA-TRIAL-BAL-2021'!P494+'DES-TRIAL-BAL-2021'!P494+'DMP-TRIAL-BAL-2021'!P494</f>
        <v>0</v>
      </c>
      <c r="X494" s="528">
        <f>+'NF-KSF-TRIAL-BAL-2021'!Q494+'RA-TRIAL-BAL-2021'!Q494+'DES-TRIAL-BAL-2021'!Q494+'DMP-TRIAL-BAL-2021'!Q494</f>
        <v>0</v>
      </c>
      <c r="Y494" s="529">
        <f>+'NF-KSF-TRIAL-BAL-2021'!R494+'RA-TRIAL-BAL-2021'!R494+'DES-TRIAL-BAL-2021'!R494+'DMP-TRIAL-BAL-2021'!R494</f>
        <v>0</v>
      </c>
      <c r="Z494" s="528">
        <f>+'NF-KSF-TRIAL-BAL-2021'!S494+'RA-TRIAL-BAL-2021'!S494+'DES-TRIAL-BAL-2021'!S494+'DMP-TRIAL-BAL-2021'!S494</f>
        <v>0</v>
      </c>
      <c r="AA494" s="347">
        <f>+'NF-KSF-TRIAL-BAL-2021'!T494+'RA-TRIAL-BAL-2021'!T494+'DES-TRIAL-BAL-2021'!T494+'DMP-TRIAL-BAL-2021'!T494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97">
        <f>+N494</f>
        <v>6270</v>
      </c>
      <c r="AK494" s="8">
        <v>0</v>
      </c>
      <c r="AL494" s="9">
        <v>0</v>
      </c>
      <c r="AM494" s="326">
        <f t="shared" si="251"/>
        <v>0</v>
      </c>
      <c r="AN494" s="970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58">
        <f>+ROUND(+SUM(AK494-AL494)-SUM(O494-P494)-SUM(V494-W494)-SUM(AC494-AD494),2)</f>
        <v>0</v>
      </c>
      <c r="AS494" s="359">
        <f>+ROUND(+SUM(AM494-AN494)-SUM(Q494-R494)-SUM(X494-Y494)-SUM(AE494-AF494),2)</f>
        <v>0</v>
      </c>
      <c r="AT494" s="360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25"/>
      <c r="R495" s="324"/>
      <c r="S495" s="27">
        <f t="shared" si="247"/>
        <v>0</v>
      </c>
      <c r="T495" s="28">
        <f t="shared" si="248"/>
        <v>0</v>
      </c>
      <c r="U495" s="51"/>
      <c r="V495" s="541">
        <f>+'NF-KSF-TRIAL-BAL-2021'!O495+'RA-TRIAL-BAL-2021'!O495+'DES-TRIAL-BAL-2021'!O495+'DMP-TRIAL-BAL-2021'!O495</f>
        <v>0</v>
      </c>
      <c r="W495" s="529">
        <f>+'NF-KSF-TRIAL-BAL-2021'!P495+'RA-TRIAL-BAL-2021'!P495+'DES-TRIAL-BAL-2021'!P495+'DMP-TRIAL-BAL-2021'!P495</f>
        <v>0</v>
      </c>
      <c r="X495" s="528">
        <f>+'NF-KSF-TRIAL-BAL-2021'!Q495+'RA-TRIAL-BAL-2021'!Q495+'DES-TRIAL-BAL-2021'!Q495+'DMP-TRIAL-BAL-2021'!Q495</f>
        <v>0</v>
      </c>
      <c r="Y495" s="529">
        <f>+'NF-KSF-TRIAL-BAL-2021'!R495+'RA-TRIAL-BAL-2021'!R495+'DES-TRIAL-BAL-2021'!R495+'DMP-TRIAL-BAL-2021'!R495</f>
        <v>0</v>
      </c>
      <c r="Z495" s="528">
        <f>+'NF-KSF-TRIAL-BAL-2021'!S495+'RA-TRIAL-BAL-2021'!S495+'DES-TRIAL-BAL-2021'!S495+'DMP-TRIAL-BAL-2021'!S495</f>
        <v>0</v>
      </c>
      <c r="AA495" s="347">
        <f>+'NF-KSF-TRIAL-BAL-2021'!T495+'RA-TRIAL-BAL-2021'!T495+'DES-TRIAL-BAL-2021'!T495+'DMP-TRIAL-BAL-2021'!T495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97">
        <f t="shared" si="244"/>
        <v>6271</v>
      </c>
      <c r="AK495" s="8">
        <v>0</v>
      </c>
      <c r="AL495" s="9">
        <v>0</v>
      </c>
      <c r="AM495" s="326">
        <f t="shared" si="251"/>
        <v>0</v>
      </c>
      <c r="AN495" s="970">
        <f t="shared" si="251"/>
        <v>0</v>
      </c>
      <c r="AO495" s="27">
        <f t="shared" si="245"/>
        <v>0</v>
      </c>
      <c r="AP495" s="28">
        <f t="shared" si="246"/>
        <v>0</v>
      </c>
      <c r="AQ495" s="43"/>
      <c r="AR495" s="358">
        <f t="shared" si="241"/>
        <v>0</v>
      </c>
      <c r="AS495" s="359">
        <f t="shared" si="242"/>
        <v>0</v>
      </c>
      <c r="AT495" s="360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25"/>
      <c r="R496" s="324"/>
      <c r="S496" s="27">
        <f t="shared" si="247"/>
        <v>0</v>
      </c>
      <c r="T496" s="28">
        <f t="shared" si="248"/>
        <v>0</v>
      </c>
      <c r="U496" s="51"/>
      <c r="V496" s="541">
        <f>+'NF-KSF-TRIAL-BAL-2021'!O496+'RA-TRIAL-BAL-2021'!O496+'DES-TRIAL-BAL-2021'!O496+'DMP-TRIAL-BAL-2021'!O496</f>
        <v>0</v>
      </c>
      <c r="W496" s="529">
        <f>+'NF-KSF-TRIAL-BAL-2021'!P496+'RA-TRIAL-BAL-2021'!P496+'DES-TRIAL-BAL-2021'!P496+'DMP-TRIAL-BAL-2021'!P496</f>
        <v>0</v>
      </c>
      <c r="X496" s="528">
        <f>+'NF-KSF-TRIAL-BAL-2021'!Q496+'RA-TRIAL-BAL-2021'!Q496+'DES-TRIAL-BAL-2021'!Q496+'DMP-TRIAL-BAL-2021'!Q496</f>
        <v>0</v>
      </c>
      <c r="Y496" s="529">
        <f>+'NF-KSF-TRIAL-BAL-2021'!R496+'RA-TRIAL-BAL-2021'!R496+'DES-TRIAL-BAL-2021'!R496+'DMP-TRIAL-BAL-2021'!R496</f>
        <v>0</v>
      </c>
      <c r="Z496" s="528">
        <f>+'NF-KSF-TRIAL-BAL-2021'!S496+'RA-TRIAL-BAL-2021'!S496+'DES-TRIAL-BAL-2021'!S496+'DMP-TRIAL-BAL-2021'!S496</f>
        <v>0</v>
      </c>
      <c r="AA496" s="347">
        <f>+'NF-KSF-TRIAL-BAL-2021'!T496+'RA-TRIAL-BAL-2021'!T496+'DES-TRIAL-BAL-2021'!T496+'DMP-TRIAL-BAL-2021'!T496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97">
        <f t="shared" si="244"/>
        <v>6272</v>
      </c>
      <c r="AK496" s="8">
        <v>0</v>
      </c>
      <c r="AL496" s="9">
        <v>0</v>
      </c>
      <c r="AM496" s="326">
        <f t="shared" si="251"/>
        <v>0</v>
      </c>
      <c r="AN496" s="970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58">
        <f t="shared" si="241"/>
        <v>0</v>
      </c>
      <c r="AS496" s="359">
        <f t="shared" si="242"/>
        <v>0</v>
      </c>
      <c r="AT496" s="360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25"/>
      <c r="R497" s="324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41">
        <f>+'NF-KSF-TRIAL-BAL-2021'!O497+'RA-TRIAL-BAL-2021'!O497+'DES-TRIAL-BAL-2021'!O497+'DMP-TRIAL-BAL-2021'!O497</f>
        <v>0</v>
      </c>
      <c r="W497" s="529">
        <f>+'NF-KSF-TRIAL-BAL-2021'!P497+'RA-TRIAL-BAL-2021'!P497+'DES-TRIAL-BAL-2021'!P497+'DMP-TRIAL-BAL-2021'!P497</f>
        <v>0</v>
      </c>
      <c r="X497" s="528">
        <f>+'NF-KSF-TRIAL-BAL-2021'!Q497+'RA-TRIAL-BAL-2021'!Q497+'DES-TRIAL-BAL-2021'!Q497+'DMP-TRIAL-BAL-2021'!Q497</f>
        <v>0</v>
      </c>
      <c r="Y497" s="529">
        <f>+'NF-KSF-TRIAL-BAL-2021'!R497+'RA-TRIAL-BAL-2021'!R497+'DES-TRIAL-BAL-2021'!R497+'DMP-TRIAL-BAL-2021'!R497</f>
        <v>0</v>
      </c>
      <c r="Z497" s="528">
        <f>+'NF-KSF-TRIAL-BAL-2021'!S497+'RA-TRIAL-BAL-2021'!S497+'DES-TRIAL-BAL-2021'!S497+'DMP-TRIAL-BAL-2021'!S497</f>
        <v>0</v>
      </c>
      <c r="AA497" s="347">
        <f>+'NF-KSF-TRIAL-BAL-2021'!T497+'RA-TRIAL-BAL-2021'!T497+'DES-TRIAL-BAL-2021'!T497+'DMP-TRIAL-BAL-2021'!T497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97">
        <f t="shared" ref="AJ497:AJ502" si="257">+N497</f>
        <v>6273</v>
      </c>
      <c r="AK497" s="8">
        <v>0</v>
      </c>
      <c r="AL497" s="9">
        <v>0</v>
      </c>
      <c r="AM497" s="326">
        <f t="shared" ref="AM497:AN502" si="258">+ROUND(+Q497+X497+AE497,2)</f>
        <v>0</v>
      </c>
      <c r="AN497" s="970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58">
        <f t="shared" ref="AR497:AR502" si="259">+ROUND(+SUM(AK497-AL497)-SUM(O497-P497)-SUM(V497-W497)-SUM(AC497-AD497),2)</f>
        <v>0</v>
      </c>
      <c r="AS497" s="359">
        <f t="shared" ref="AS497:AS502" si="260">+ROUND(+SUM(AM497-AN497)-SUM(Q497-R497)-SUM(X497-Y497)-SUM(AE497-AF497),2)</f>
        <v>0</v>
      </c>
      <c r="AT497" s="360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25"/>
      <c r="R498" s="324"/>
      <c r="S498" s="27">
        <f t="shared" si="253"/>
        <v>0</v>
      </c>
      <c r="T498" s="28">
        <f t="shared" si="254"/>
        <v>0</v>
      </c>
      <c r="U498" s="51"/>
      <c r="V498" s="541">
        <f>+'NF-KSF-TRIAL-BAL-2021'!O498+'RA-TRIAL-BAL-2021'!O498+'DES-TRIAL-BAL-2021'!O498+'DMP-TRIAL-BAL-2021'!O498</f>
        <v>0</v>
      </c>
      <c r="W498" s="529">
        <f>+'NF-KSF-TRIAL-BAL-2021'!P498+'RA-TRIAL-BAL-2021'!P498+'DES-TRIAL-BAL-2021'!P498+'DMP-TRIAL-BAL-2021'!P498</f>
        <v>0</v>
      </c>
      <c r="X498" s="528">
        <f>+'NF-KSF-TRIAL-BAL-2021'!Q498+'RA-TRIAL-BAL-2021'!Q498+'DES-TRIAL-BAL-2021'!Q498+'DMP-TRIAL-BAL-2021'!Q498</f>
        <v>0</v>
      </c>
      <c r="Y498" s="529">
        <f>+'NF-KSF-TRIAL-BAL-2021'!R498+'RA-TRIAL-BAL-2021'!R498+'DES-TRIAL-BAL-2021'!R498+'DMP-TRIAL-BAL-2021'!R498</f>
        <v>0</v>
      </c>
      <c r="Z498" s="528">
        <f>+'NF-KSF-TRIAL-BAL-2021'!S498+'RA-TRIAL-BAL-2021'!S498+'DES-TRIAL-BAL-2021'!S498+'DMP-TRIAL-BAL-2021'!S498</f>
        <v>0</v>
      </c>
      <c r="AA498" s="347">
        <f>+'NF-KSF-TRIAL-BAL-2021'!T498+'RA-TRIAL-BAL-2021'!T498+'DES-TRIAL-BAL-2021'!T498+'DMP-TRIAL-BAL-2021'!T498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97">
        <f t="shared" si="257"/>
        <v>6274</v>
      </c>
      <c r="AK498" s="8">
        <v>0</v>
      </c>
      <c r="AL498" s="9">
        <v>0</v>
      </c>
      <c r="AM498" s="326">
        <f t="shared" si="258"/>
        <v>0</v>
      </c>
      <c r="AN498" s="970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58">
        <f t="shared" si="259"/>
        <v>0</v>
      </c>
      <c r="AS498" s="359">
        <f t="shared" si="260"/>
        <v>0</v>
      </c>
      <c r="AT498" s="360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25"/>
      <c r="R499" s="324"/>
      <c r="S499" s="27">
        <f t="shared" si="253"/>
        <v>0</v>
      </c>
      <c r="T499" s="28">
        <f t="shared" si="254"/>
        <v>0</v>
      </c>
      <c r="U499" s="51"/>
      <c r="V499" s="541">
        <f>+'NF-KSF-TRIAL-BAL-2021'!O499+'RA-TRIAL-BAL-2021'!O499+'DES-TRIAL-BAL-2021'!O499+'DMP-TRIAL-BAL-2021'!O499</f>
        <v>0</v>
      </c>
      <c r="W499" s="529">
        <f>+'NF-KSF-TRIAL-BAL-2021'!P499+'RA-TRIAL-BAL-2021'!P499+'DES-TRIAL-BAL-2021'!P499+'DMP-TRIAL-BAL-2021'!P499</f>
        <v>0</v>
      </c>
      <c r="X499" s="528">
        <f>+'NF-KSF-TRIAL-BAL-2021'!Q499+'RA-TRIAL-BAL-2021'!Q499+'DES-TRIAL-BAL-2021'!Q499+'DMP-TRIAL-BAL-2021'!Q499</f>
        <v>0</v>
      </c>
      <c r="Y499" s="529">
        <f>+'NF-KSF-TRIAL-BAL-2021'!R499+'RA-TRIAL-BAL-2021'!R499+'DES-TRIAL-BAL-2021'!R499+'DMP-TRIAL-BAL-2021'!R499</f>
        <v>0</v>
      </c>
      <c r="Z499" s="528">
        <f>+'NF-KSF-TRIAL-BAL-2021'!S499+'RA-TRIAL-BAL-2021'!S499+'DES-TRIAL-BAL-2021'!S499+'DMP-TRIAL-BAL-2021'!S499</f>
        <v>0</v>
      </c>
      <c r="AA499" s="347">
        <f>+'NF-KSF-TRIAL-BAL-2021'!T499+'RA-TRIAL-BAL-2021'!T499+'DES-TRIAL-BAL-2021'!T499+'DMP-TRIAL-BAL-2021'!T499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97">
        <f t="shared" si="257"/>
        <v>6275</v>
      </c>
      <c r="AK499" s="8">
        <v>0</v>
      </c>
      <c r="AL499" s="9">
        <v>0</v>
      </c>
      <c r="AM499" s="326">
        <f t="shared" si="258"/>
        <v>0</v>
      </c>
      <c r="AN499" s="970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58">
        <f t="shared" si="259"/>
        <v>0</v>
      </c>
      <c r="AS499" s="359">
        <f t="shared" si="260"/>
        <v>0</v>
      </c>
      <c r="AT499" s="360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25"/>
      <c r="R500" s="324"/>
      <c r="S500" s="27">
        <f t="shared" si="253"/>
        <v>0</v>
      </c>
      <c r="T500" s="28">
        <f t="shared" si="254"/>
        <v>0</v>
      </c>
      <c r="U500" s="51"/>
      <c r="V500" s="541">
        <f>+'NF-KSF-TRIAL-BAL-2021'!O500+'RA-TRIAL-BAL-2021'!O500+'DES-TRIAL-BAL-2021'!O500+'DMP-TRIAL-BAL-2021'!O500</f>
        <v>0</v>
      </c>
      <c r="W500" s="529">
        <f>+'NF-KSF-TRIAL-BAL-2021'!P500+'RA-TRIAL-BAL-2021'!P500+'DES-TRIAL-BAL-2021'!P500+'DMP-TRIAL-BAL-2021'!P500</f>
        <v>0</v>
      </c>
      <c r="X500" s="528">
        <f>+'NF-KSF-TRIAL-BAL-2021'!Q500+'RA-TRIAL-BAL-2021'!Q500+'DES-TRIAL-BAL-2021'!Q500+'DMP-TRIAL-BAL-2021'!Q500</f>
        <v>0</v>
      </c>
      <c r="Y500" s="529">
        <f>+'NF-KSF-TRIAL-BAL-2021'!R500+'RA-TRIAL-BAL-2021'!R500+'DES-TRIAL-BAL-2021'!R500+'DMP-TRIAL-BAL-2021'!R500</f>
        <v>0</v>
      </c>
      <c r="Z500" s="528">
        <f>+'NF-KSF-TRIAL-BAL-2021'!S500+'RA-TRIAL-BAL-2021'!S500+'DES-TRIAL-BAL-2021'!S500+'DMP-TRIAL-BAL-2021'!S500</f>
        <v>0</v>
      </c>
      <c r="AA500" s="347">
        <f>+'NF-KSF-TRIAL-BAL-2021'!T500+'RA-TRIAL-BAL-2021'!T500+'DES-TRIAL-BAL-2021'!T500+'DMP-TRIAL-BAL-2021'!T500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97">
        <f t="shared" si="257"/>
        <v>6276</v>
      </c>
      <c r="AK500" s="8">
        <v>0</v>
      </c>
      <c r="AL500" s="9">
        <v>0</v>
      </c>
      <c r="AM500" s="326">
        <f t="shared" si="258"/>
        <v>0</v>
      </c>
      <c r="AN500" s="970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58">
        <f t="shared" si="259"/>
        <v>0</v>
      </c>
      <c r="AS500" s="359">
        <f t="shared" si="260"/>
        <v>0</v>
      </c>
      <c r="AT500" s="360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25"/>
      <c r="R501" s="324"/>
      <c r="S501" s="27">
        <f t="shared" si="253"/>
        <v>0</v>
      </c>
      <c r="T501" s="28">
        <f t="shared" si="254"/>
        <v>0</v>
      </c>
      <c r="U501" s="51"/>
      <c r="V501" s="541">
        <f>+'NF-KSF-TRIAL-BAL-2021'!O501+'RA-TRIAL-BAL-2021'!O501+'DES-TRIAL-BAL-2021'!O501+'DMP-TRIAL-BAL-2021'!O501</f>
        <v>0</v>
      </c>
      <c r="W501" s="529">
        <f>+'NF-KSF-TRIAL-BAL-2021'!P501+'RA-TRIAL-BAL-2021'!P501+'DES-TRIAL-BAL-2021'!P501+'DMP-TRIAL-BAL-2021'!P501</f>
        <v>0</v>
      </c>
      <c r="X501" s="528">
        <f>+'NF-KSF-TRIAL-BAL-2021'!Q501+'RA-TRIAL-BAL-2021'!Q501+'DES-TRIAL-BAL-2021'!Q501+'DMP-TRIAL-BAL-2021'!Q501</f>
        <v>0</v>
      </c>
      <c r="Y501" s="529">
        <f>+'NF-KSF-TRIAL-BAL-2021'!R501+'RA-TRIAL-BAL-2021'!R501+'DES-TRIAL-BAL-2021'!R501+'DMP-TRIAL-BAL-2021'!R501</f>
        <v>0</v>
      </c>
      <c r="Z501" s="528">
        <f>+'NF-KSF-TRIAL-BAL-2021'!S501+'RA-TRIAL-BAL-2021'!S501+'DES-TRIAL-BAL-2021'!S501+'DMP-TRIAL-BAL-2021'!S501</f>
        <v>0</v>
      </c>
      <c r="AA501" s="347">
        <f>+'NF-KSF-TRIAL-BAL-2021'!T501+'RA-TRIAL-BAL-2021'!T501+'DES-TRIAL-BAL-2021'!T501+'DMP-TRIAL-BAL-2021'!T501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97">
        <f t="shared" si="257"/>
        <v>6277</v>
      </c>
      <c r="AK501" s="8">
        <v>0</v>
      </c>
      <c r="AL501" s="9">
        <v>0</v>
      </c>
      <c r="AM501" s="326">
        <f t="shared" si="258"/>
        <v>0</v>
      </c>
      <c r="AN501" s="970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58">
        <f t="shared" si="259"/>
        <v>0</v>
      </c>
      <c r="AS501" s="359">
        <f t="shared" si="260"/>
        <v>0</v>
      </c>
      <c r="AT501" s="360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25"/>
      <c r="R502" s="324"/>
      <c r="S502" s="27">
        <f t="shared" si="253"/>
        <v>0</v>
      </c>
      <c r="T502" s="28">
        <f t="shared" si="254"/>
        <v>0</v>
      </c>
      <c r="U502" s="51"/>
      <c r="V502" s="541">
        <f>+'NF-KSF-TRIAL-BAL-2021'!O502+'RA-TRIAL-BAL-2021'!O502+'DES-TRIAL-BAL-2021'!O502+'DMP-TRIAL-BAL-2021'!O502</f>
        <v>0</v>
      </c>
      <c r="W502" s="529">
        <f>+'NF-KSF-TRIAL-BAL-2021'!P502+'RA-TRIAL-BAL-2021'!P502+'DES-TRIAL-BAL-2021'!P502+'DMP-TRIAL-BAL-2021'!P502</f>
        <v>0</v>
      </c>
      <c r="X502" s="528">
        <f>+'NF-KSF-TRIAL-BAL-2021'!Q502+'RA-TRIAL-BAL-2021'!Q502+'DES-TRIAL-BAL-2021'!Q502+'DMP-TRIAL-BAL-2021'!Q502</f>
        <v>0</v>
      </c>
      <c r="Y502" s="529">
        <f>+'NF-KSF-TRIAL-BAL-2021'!R502+'RA-TRIAL-BAL-2021'!R502+'DES-TRIAL-BAL-2021'!R502+'DMP-TRIAL-BAL-2021'!R502</f>
        <v>0</v>
      </c>
      <c r="Z502" s="528">
        <f>+'NF-KSF-TRIAL-BAL-2021'!S502+'RA-TRIAL-BAL-2021'!S502+'DES-TRIAL-BAL-2021'!S502+'DMP-TRIAL-BAL-2021'!S502</f>
        <v>0</v>
      </c>
      <c r="AA502" s="347">
        <f>+'NF-KSF-TRIAL-BAL-2021'!T502+'RA-TRIAL-BAL-2021'!T502+'DES-TRIAL-BAL-2021'!T502+'DMP-TRIAL-BAL-2021'!T502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97">
        <f t="shared" si="257"/>
        <v>6278</v>
      </c>
      <c r="AK502" s="8">
        <v>0</v>
      </c>
      <c r="AL502" s="9">
        <v>0</v>
      </c>
      <c r="AM502" s="326">
        <f t="shared" si="258"/>
        <v>0</v>
      </c>
      <c r="AN502" s="970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58">
        <f t="shared" si="259"/>
        <v>0</v>
      </c>
      <c r="AS502" s="359">
        <f t="shared" si="260"/>
        <v>0</v>
      </c>
      <c r="AT502" s="360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25"/>
      <c r="R503" s="324"/>
      <c r="S503" s="27">
        <f t="shared" si="247"/>
        <v>0</v>
      </c>
      <c r="T503" s="28">
        <f t="shared" si="248"/>
        <v>0</v>
      </c>
      <c r="U503" s="51"/>
      <c r="V503" s="541">
        <f>+'NF-KSF-TRIAL-BAL-2021'!O503+'RA-TRIAL-BAL-2021'!O503+'DES-TRIAL-BAL-2021'!O503+'DMP-TRIAL-BAL-2021'!O503</f>
        <v>0</v>
      </c>
      <c r="W503" s="529">
        <f>+'NF-KSF-TRIAL-BAL-2021'!P503+'RA-TRIAL-BAL-2021'!P503+'DES-TRIAL-BAL-2021'!P503+'DMP-TRIAL-BAL-2021'!P503</f>
        <v>0</v>
      </c>
      <c r="X503" s="528">
        <f>+'NF-KSF-TRIAL-BAL-2021'!Q503+'RA-TRIAL-BAL-2021'!Q503+'DES-TRIAL-BAL-2021'!Q503+'DMP-TRIAL-BAL-2021'!Q503</f>
        <v>0</v>
      </c>
      <c r="Y503" s="529">
        <f>+'NF-KSF-TRIAL-BAL-2021'!R503+'RA-TRIAL-BAL-2021'!R503+'DES-TRIAL-BAL-2021'!R503+'DMP-TRIAL-BAL-2021'!R503</f>
        <v>0</v>
      </c>
      <c r="Z503" s="528">
        <f>+'NF-KSF-TRIAL-BAL-2021'!S503+'RA-TRIAL-BAL-2021'!S503+'DES-TRIAL-BAL-2021'!S503+'DMP-TRIAL-BAL-2021'!S503</f>
        <v>0</v>
      </c>
      <c r="AA503" s="347">
        <f>+'NF-KSF-TRIAL-BAL-2021'!T503+'RA-TRIAL-BAL-2021'!T503+'DES-TRIAL-BAL-2021'!T503+'DMP-TRIAL-BAL-2021'!T503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97">
        <f t="shared" si="244"/>
        <v>6279</v>
      </c>
      <c r="AK503" s="8">
        <v>0</v>
      </c>
      <c r="AL503" s="9">
        <v>0</v>
      </c>
      <c r="AM503" s="326">
        <f t="shared" si="251"/>
        <v>0</v>
      </c>
      <c r="AN503" s="970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58">
        <f t="shared" si="241"/>
        <v>0</v>
      </c>
      <c r="AS503" s="359">
        <f t="shared" si="242"/>
        <v>0</v>
      </c>
      <c r="AT503" s="360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25"/>
      <c r="R504" s="324"/>
      <c r="S504" s="27">
        <f t="shared" si="247"/>
        <v>0</v>
      </c>
      <c r="T504" s="28">
        <f t="shared" si="248"/>
        <v>0</v>
      </c>
      <c r="U504" s="51"/>
      <c r="V504" s="541">
        <f>+'NF-KSF-TRIAL-BAL-2021'!O504+'RA-TRIAL-BAL-2021'!O504+'DES-TRIAL-BAL-2021'!O504+'DMP-TRIAL-BAL-2021'!O504</f>
        <v>0</v>
      </c>
      <c r="W504" s="529">
        <f>+'NF-KSF-TRIAL-BAL-2021'!P504+'RA-TRIAL-BAL-2021'!P504+'DES-TRIAL-BAL-2021'!P504+'DMP-TRIAL-BAL-2021'!P504</f>
        <v>0</v>
      </c>
      <c r="X504" s="528">
        <f>+'NF-KSF-TRIAL-BAL-2021'!Q504+'RA-TRIAL-BAL-2021'!Q504+'DES-TRIAL-BAL-2021'!Q504+'DMP-TRIAL-BAL-2021'!Q504</f>
        <v>0</v>
      </c>
      <c r="Y504" s="529">
        <f>+'NF-KSF-TRIAL-BAL-2021'!R504+'RA-TRIAL-BAL-2021'!R504+'DES-TRIAL-BAL-2021'!R504+'DMP-TRIAL-BAL-2021'!R504</f>
        <v>0</v>
      </c>
      <c r="Z504" s="528">
        <f>+'NF-KSF-TRIAL-BAL-2021'!S504+'RA-TRIAL-BAL-2021'!S504+'DES-TRIAL-BAL-2021'!S504+'DMP-TRIAL-BAL-2021'!S504</f>
        <v>0</v>
      </c>
      <c r="AA504" s="347">
        <f>+'NF-KSF-TRIAL-BAL-2021'!T504+'RA-TRIAL-BAL-2021'!T504+'DES-TRIAL-BAL-2021'!T504+'DMP-TRIAL-BAL-2021'!T504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97">
        <f t="shared" si="244"/>
        <v>6281</v>
      </c>
      <c r="AK504" s="8">
        <v>0</v>
      </c>
      <c r="AL504" s="9">
        <v>0</v>
      </c>
      <c r="AM504" s="326">
        <f t="shared" si="251"/>
        <v>0</v>
      </c>
      <c r="AN504" s="970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58">
        <f t="shared" si="241"/>
        <v>0</v>
      </c>
      <c r="AS504" s="359">
        <f t="shared" si="242"/>
        <v>0</v>
      </c>
      <c r="AT504" s="360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25"/>
      <c r="R505" s="324"/>
      <c r="S505" s="27">
        <f t="shared" si="247"/>
        <v>0</v>
      </c>
      <c r="T505" s="28">
        <f t="shared" si="248"/>
        <v>0</v>
      </c>
      <c r="U505" s="51"/>
      <c r="V505" s="541">
        <f>+'NF-KSF-TRIAL-BAL-2021'!O505+'RA-TRIAL-BAL-2021'!O505+'DES-TRIAL-BAL-2021'!O505+'DMP-TRIAL-BAL-2021'!O505</f>
        <v>0</v>
      </c>
      <c r="W505" s="529">
        <f>+'NF-KSF-TRIAL-BAL-2021'!P505+'RA-TRIAL-BAL-2021'!P505+'DES-TRIAL-BAL-2021'!P505+'DMP-TRIAL-BAL-2021'!P505</f>
        <v>0</v>
      </c>
      <c r="X505" s="528">
        <f>+'NF-KSF-TRIAL-BAL-2021'!Q505+'RA-TRIAL-BAL-2021'!Q505+'DES-TRIAL-BAL-2021'!Q505+'DMP-TRIAL-BAL-2021'!Q505</f>
        <v>0</v>
      </c>
      <c r="Y505" s="529">
        <f>+'NF-KSF-TRIAL-BAL-2021'!R505+'RA-TRIAL-BAL-2021'!R505+'DES-TRIAL-BAL-2021'!R505+'DMP-TRIAL-BAL-2021'!R505</f>
        <v>0</v>
      </c>
      <c r="Z505" s="528">
        <f>+'NF-KSF-TRIAL-BAL-2021'!S505+'RA-TRIAL-BAL-2021'!S505+'DES-TRIAL-BAL-2021'!S505+'DMP-TRIAL-BAL-2021'!S505</f>
        <v>0</v>
      </c>
      <c r="AA505" s="347">
        <f>+'NF-KSF-TRIAL-BAL-2021'!T505+'RA-TRIAL-BAL-2021'!T505+'DES-TRIAL-BAL-2021'!T505+'DMP-TRIAL-BAL-2021'!T505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97">
        <f t="shared" si="244"/>
        <v>6282</v>
      </c>
      <c r="AK505" s="8">
        <v>0</v>
      </c>
      <c r="AL505" s="9">
        <v>0</v>
      </c>
      <c r="AM505" s="326">
        <f t="shared" si="251"/>
        <v>0</v>
      </c>
      <c r="AN505" s="970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58">
        <f t="shared" si="241"/>
        <v>0</v>
      </c>
      <c r="AS505" s="359">
        <f t="shared" si="242"/>
        <v>0</v>
      </c>
      <c r="AT505" s="360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25"/>
      <c r="R506" s="324"/>
      <c r="S506" s="27">
        <f t="shared" si="247"/>
        <v>0</v>
      </c>
      <c r="T506" s="28">
        <f t="shared" si="248"/>
        <v>0</v>
      </c>
      <c r="U506" s="51"/>
      <c r="V506" s="541">
        <f>+'NF-KSF-TRIAL-BAL-2021'!O506+'RA-TRIAL-BAL-2021'!O506+'DES-TRIAL-BAL-2021'!O506+'DMP-TRIAL-BAL-2021'!O506</f>
        <v>0</v>
      </c>
      <c r="W506" s="529">
        <f>+'NF-KSF-TRIAL-BAL-2021'!P506+'RA-TRIAL-BAL-2021'!P506+'DES-TRIAL-BAL-2021'!P506+'DMP-TRIAL-BAL-2021'!P506</f>
        <v>0</v>
      </c>
      <c r="X506" s="528">
        <f>+'NF-KSF-TRIAL-BAL-2021'!Q506+'RA-TRIAL-BAL-2021'!Q506+'DES-TRIAL-BAL-2021'!Q506+'DMP-TRIAL-BAL-2021'!Q506</f>
        <v>0</v>
      </c>
      <c r="Y506" s="529">
        <f>+'NF-KSF-TRIAL-BAL-2021'!R506+'RA-TRIAL-BAL-2021'!R506+'DES-TRIAL-BAL-2021'!R506+'DMP-TRIAL-BAL-2021'!R506</f>
        <v>0</v>
      </c>
      <c r="Z506" s="528">
        <f>+'NF-KSF-TRIAL-BAL-2021'!S506+'RA-TRIAL-BAL-2021'!S506+'DES-TRIAL-BAL-2021'!S506+'DMP-TRIAL-BAL-2021'!S506</f>
        <v>0</v>
      </c>
      <c r="AA506" s="347">
        <f>+'NF-KSF-TRIAL-BAL-2021'!T506+'RA-TRIAL-BAL-2021'!T506+'DES-TRIAL-BAL-2021'!T506+'DMP-TRIAL-BAL-2021'!T506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97">
        <f t="shared" si="244"/>
        <v>6291</v>
      </c>
      <c r="AK506" s="8">
        <v>0</v>
      </c>
      <c r="AL506" s="9">
        <v>0</v>
      </c>
      <c r="AM506" s="326">
        <f t="shared" si="251"/>
        <v>0</v>
      </c>
      <c r="AN506" s="970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58">
        <f t="shared" si="241"/>
        <v>0</v>
      </c>
      <c r="AS506" s="359">
        <f t="shared" si="242"/>
        <v>0</v>
      </c>
      <c r="AT506" s="360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25"/>
      <c r="R507" s="324"/>
      <c r="S507" s="27">
        <f t="shared" si="247"/>
        <v>0</v>
      </c>
      <c r="T507" s="28">
        <f t="shared" si="248"/>
        <v>0</v>
      </c>
      <c r="U507" s="51"/>
      <c r="V507" s="541">
        <f>+'NF-KSF-TRIAL-BAL-2021'!O507+'RA-TRIAL-BAL-2021'!O507+'DES-TRIAL-BAL-2021'!O507+'DMP-TRIAL-BAL-2021'!O507</f>
        <v>0</v>
      </c>
      <c r="W507" s="529">
        <f>+'NF-KSF-TRIAL-BAL-2021'!P507+'RA-TRIAL-BAL-2021'!P507+'DES-TRIAL-BAL-2021'!P507+'DMP-TRIAL-BAL-2021'!P507</f>
        <v>0</v>
      </c>
      <c r="X507" s="528">
        <f>+'NF-KSF-TRIAL-BAL-2021'!Q507+'RA-TRIAL-BAL-2021'!Q507+'DES-TRIAL-BAL-2021'!Q507+'DMP-TRIAL-BAL-2021'!Q507</f>
        <v>0</v>
      </c>
      <c r="Y507" s="529">
        <f>+'NF-KSF-TRIAL-BAL-2021'!R507+'RA-TRIAL-BAL-2021'!R507+'DES-TRIAL-BAL-2021'!R507+'DMP-TRIAL-BAL-2021'!R507</f>
        <v>0</v>
      </c>
      <c r="Z507" s="528">
        <f>+'NF-KSF-TRIAL-BAL-2021'!S507+'RA-TRIAL-BAL-2021'!S507+'DES-TRIAL-BAL-2021'!S507+'DMP-TRIAL-BAL-2021'!S507</f>
        <v>0</v>
      </c>
      <c r="AA507" s="347">
        <f>+'NF-KSF-TRIAL-BAL-2021'!T507+'RA-TRIAL-BAL-2021'!T507+'DES-TRIAL-BAL-2021'!T507+'DMP-TRIAL-BAL-2021'!T507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97">
        <f t="shared" si="244"/>
        <v>6292</v>
      </c>
      <c r="AK507" s="8">
        <v>0</v>
      </c>
      <c r="AL507" s="9">
        <v>0</v>
      </c>
      <c r="AM507" s="326">
        <f t="shared" si="251"/>
        <v>0</v>
      </c>
      <c r="AN507" s="970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58">
        <f t="shared" si="241"/>
        <v>0</v>
      </c>
      <c r="AS507" s="359">
        <f t="shared" si="242"/>
        <v>0</v>
      </c>
      <c r="AT507" s="360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25"/>
      <c r="R508" s="324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41">
        <f>+'NF-KSF-TRIAL-BAL-2021'!O508+'RA-TRIAL-BAL-2021'!O508+'DES-TRIAL-BAL-2021'!O508+'DMP-TRIAL-BAL-2021'!O508</f>
        <v>0</v>
      </c>
      <c r="W508" s="529">
        <f>+'NF-KSF-TRIAL-BAL-2021'!P508+'RA-TRIAL-BAL-2021'!P508+'DES-TRIAL-BAL-2021'!P508+'DMP-TRIAL-BAL-2021'!P508</f>
        <v>0</v>
      </c>
      <c r="X508" s="528">
        <f>+'NF-KSF-TRIAL-BAL-2021'!Q508+'RA-TRIAL-BAL-2021'!Q508+'DES-TRIAL-BAL-2021'!Q508+'DMP-TRIAL-BAL-2021'!Q508</f>
        <v>0</v>
      </c>
      <c r="Y508" s="529">
        <f>+'NF-KSF-TRIAL-BAL-2021'!R508+'RA-TRIAL-BAL-2021'!R508+'DES-TRIAL-BAL-2021'!R508+'DMP-TRIAL-BAL-2021'!R508</f>
        <v>0</v>
      </c>
      <c r="Z508" s="528">
        <f>+'NF-KSF-TRIAL-BAL-2021'!S508+'RA-TRIAL-BAL-2021'!S508+'DES-TRIAL-BAL-2021'!S508+'DMP-TRIAL-BAL-2021'!S508</f>
        <v>0</v>
      </c>
      <c r="AA508" s="347">
        <f>+'NF-KSF-TRIAL-BAL-2021'!T508+'RA-TRIAL-BAL-2021'!T508+'DES-TRIAL-BAL-2021'!T508+'DMP-TRIAL-BAL-2021'!T508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97">
        <f>+N508</f>
        <v>6298</v>
      </c>
      <c r="AK508" s="8">
        <v>0</v>
      </c>
      <c r="AL508" s="9">
        <v>0</v>
      </c>
      <c r="AM508" s="326">
        <f t="shared" si="251"/>
        <v>0</v>
      </c>
      <c r="AN508" s="970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58">
        <f>+ROUND(+SUM(AK508-AL508)-SUM(O508-P508)-SUM(V508-W508)-SUM(AC508-AD508),2)</f>
        <v>0</v>
      </c>
      <c r="AS508" s="359">
        <f>+ROUND(+SUM(AM508-AN508)-SUM(Q508-R508)-SUM(X508-Y508)-SUM(AE508-AF508),2)</f>
        <v>0</v>
      </c>
      <c r="AT508" s="360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25"/>
      <c r="R509" s="324"/>
      <c r="S509" s="27">
        <f t="shared" si="247"/>
        <v>0</v>
      </c>
      <c r="T509" s="28">
        <f t="shared" si="248"/>
        <v>0</v>
      </c>
      <c r="U509" s="51"/>
      <c r="V509" s="541">
        <f>+'NF-KSF-TRIAL-BAL-2021'!O509+'RA-TRIAL-BAL-2021'!O509+'DES-TRIAL-BAL-2021'!O509+'DMP-TRIAL-BAL-2021'!O509</f>
        <v>0</v>
      </c>
      <c r="W509" s="529">
        <f>+'NF-KSF-TRIAL-BAL-2021'!P509+'RA-TRIAL-BAL-2021'!P509+'DES-TRIAL-BAL-2021'!P509+'DMP-TRIAL-BAL-2021'!P509</f>
        <v>0</v>
      </c>
      <c r="X509" s="528">
        <f>+'NF-KSF-TRIAL-BAL-2021'!Q509+'RA-TRIAL-BAL-2021'!Q509+'DES-TRIAL-BAL-2021'!Q509+'DMP-TRIAL-BAL-2021'!Q509</f>
        <v>0</v>
      </c>
      <c r="Y509" s="529">
        <f>+'NF-KSF-TRIAL-BAL-2021'!R509+'RA-TRIAL-BAL-2021'!R509+'DES-TRIAL-BAL-2021'!R509+'DMP-TRIAL-BAL-2021'!R509</f>
        <v>0</v>
      </c>
      <c r="Z509" s="528">
        <f>+'NF-KSF-TRIAL-BAL-2021'!S509+'RA-TRIAL-BAL-2021'!S509+'DES-TRIAL-BAL-2021'!S509+'DMP-TRIAL-BAL-2021'!S509</f>
        <v>0</v>
      </c>
      <c r="AA509" s="347">
        <f>+'NF-KSF-TRIAL-BAL-2021'!T509+'RA-TRIAL-BAL-2021'!T509+'DES-TRIAL-BAL-2021'!T509+'DMP-TRIAL-BAL-2021'!T509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97">
        <f t="shared" si="244"/>
        <v>6401</v>
      </c>
      <c r="AK509" s="8">
        <v>0</v>
      </c>
      <c r="AL509" s="9">
        <v>0</v>
      </c>
      <c r="AM509" s="326">
        <f t="shared" si="251"/>
        <v>0</v>
      </c>
      <c r="AN509" s="970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58">
        <f t="shared" si="241"/>
        <v>0</v>
      </c>
      <c r="AS509" s="359">
        <f t="shared" si="242"/>
        <v>0</v>
      </c>
      <c r="AT509" s="360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25"/>
      <c r="R510" s="324"/>
      <c r="S510" s="27">
        <f t="shared" si="247"/>
        <v>0</v>
      </c>
      <c r="T510" s="28">
        <f t="shared" si="248"/>
        <v>0</v>
      </c>
      <c r="U510" s="51"/>
      <c r="V510" s="541">
        <f>+'NF-KSF-TRIAL-BAL-2021'!O510+'RA-TRIAL-BAL-2021'!O510+'DES-TRIAL-BAL-2021'!O510+'DMP-TRIAL-BAL-2021'!O510</f>
        <v>0</v>
      </c>
      <c r="W510" s="529">
        <f>+'NF-KSF-TRIAL-BAL-2021'!P510+'RA-TRIAL-BAL-2021'!P510+'DES-TRIAL-BAL-2021'!P510+'DMP-TRIAL-BAL-2021'!P510</f>
        <v>0</v>
      </c>
      <c r="X510" s="528">
        <f>+'NF-KSF-TRIAL-BAL-2021'!Q510+'RA-TRIAL-BAL-2021'!Q510+'DES-TRIAL-BAL-2021'!Q510+'DMP-TRIAL-BAL-2021'!Q510</f>
        <v>0</v>
      </c>
      <c r="Y510" s="529">
        <f>+'NF-KSF-TRIAL-BAL-2021'!R510+'RA-TRIAL-BAL-2021'!R510+'DES-TRIAL-BAL-2021'!R510+'DMP-TRIAL-BAL-2021'!R510</f>
        <v>0</v>
      </c>
      <c r="Z510" s="528">
        <f>+'NF-KSF-TRIAL-BAL-2021'!S510+'RA-TRIAL-BAL-2021'!S510+'DES-TRIAL-BAL-2021'!S510+'DMP-TRIAL-BAL-2021'!S510</f>
        <v>0</v>
      </c>
      <c r="AA510" s="347">
        <f>+'NF-KSF-TRIAL-BAL-2021'!T510+'RA-TRIAL-BAL-2021'!T510+'DES-TRIAL-BAL-2021'!T510+'DMP-TRIAL-BAL-2021'!T510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97">
        <f t="shared" si="244"/>
        <v>6402</v>
      </c>
      <c r="AK510" s="8">
        <v>0</v>
      </c>
      <c r="AL510" s="9">
        <v>0</v>
      </c>
      <c r="AM510" s="326">
        <f t="shared" si="251"/>
        <v>0</v>
      </c>
      <c r="AN510" s="970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58">
        <f t="shared" si="241"/>
        <v>0</v>
      </c>
      <c r="AS510" s="359">
        <f t="shared" si="242"/>
        <v>0</v>
      </c>
      <c r="AT510" s="360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25">
        <v>14500</v>
      </c>
      <c r="R511" s="324"/>
      <c r="S511" s="27">
        <f t="shared" si="247"/>
        <v>14500</v>
      </c>
      <c r="T511" s="28">
        <f t="shared" si="248"/>
        <v>0</v>
      </c>
      <c r="U511" s="51"/>
      <c r="V511" s="541">
        <f>+'NF-KSF-TRIAL-BAL-2021'!O511+'RA-TRIAL-BAL-2021'!O511+'DES-TRIAL-BAL-2021'!O511+'DMP-TRIAL-BAL-2021'!O511</f>
        <v>0</v>
      </c>
      <c r="W511" s="529">
        <f>+'NF-KSF-TRIAL-BAL-2021'!P511+'RA-TRIAL-BAL-2021'!P511+'DES-TRIAL-BAL-2021'!P511+'DMP-TRIAL-BAL-2021'!P511</f>
        <v>0</v>
      </c>
      <c r="X511" s="528">
        <f>+'NF-KSF-TRIAL-BAL-2021'!Q511+'RA-TRIAL-BAL-2021'!Q511+'DES-TRIAL-BAL-2021'!Q511+'DMP-TRIAL-BAL-2021'!Q511</f>
        <v>0</v>
      </c>
      <c r="Y511" s="529">
        <f>+'NF-KSF-TRIAL-BAL-2021'!R511+'RA-TRIAL-BAL-2021'!R511+'DES-TRIAL-BAL-2021'!R511+'DMP-TRIAL-BAL-2021'!R511</f>
        <v>0</v>
      </c>
      <c r="Z511" s="528">
        <f>+'NF-KSF-TRIAL-BAL-2021'!S511+'RA-TRIAL-BAL-2021'!S511+'DES-TRIAL-BAL-2021'!S511+'DMP-TRIAL-BAL-2021'!S511</f>
        <v>0</v>
      </c>
      <c r="AA511" s="347">
        <f>+'NF-KSF-TRIAL-BAL-2021'!T511+'RA-TRIAL-BAL-2021'!T511+'DES-TRIAL-BAL-2021'!T511+'DMP-TRIAL-BAL-2021'!T511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97">
        <f t="shared" si="244"/>
        <v>6411</v>
      </c>
      <c r="AK511" s="8">
        <v>0</v>
      </c>
      <c r="AL511" s="9">
        <v>0</v>
      </c>
      <c r="AM511" s="326">
        <f t="shared" si="251"/>
        <v>14500</v>
      </c>
      <c r="AN511" s="970">
        <f t="shared" si="251"/>
        <v>0</v>
      </c>
      <c r="AO511" s="27">
        <f t="shared" si="245"/>
        <v>14500</v>
      </c>
      <c r="AP511" s="28">
        <f t="shared" si="246"/>
        <v>0</v>
      </c>
      <c r="AQ511" s="43"/>
      <c r="AR511" s="358">
        <f t="shared" si="241"/>
        <v>0</v>
      </c>
      <c r="AS511" s="359">
        <f t="shared" si="242"/>
        <v>0</v>
      </c>
      <c r="AT511" s="360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25"/>
      <c r="R512" s="324"/>
      <c r="S512" s="27">
        <f t="shared" si="247"/>
        <v>0</v>
      </c>
      <c r="T512" s="28">
        <f t="shared" si="248"/>
        <v>0</v>
      </c>
      <c r="U512" s="51"/>
      <c r="V512" s="541">
        <f>+'NF-KSF-TRIAL-BAL-2021'!O512+'RA-TRIAL-BAL-2021'!O512+'DES-TRIAL-BAL-2021'!O512+'DMP-TRIAL-BAL-2021'!O512</f>
        <v>0</v>
      </c>
      <c r="W512" s="529">
        <f>+'NF-KSF-TRIAL-BAL-2021'!P512+'RA-TRIAL-BAL-2021'!P512+'DES-TRIAL-BAL-2021'!P512+'DMP-TRIAL-BAL-2021'!P512</f>
        <v>0</v>
      </c>
      <c r="X512" s="528">
        <f>+'NF-KSF-TRIAL-BAL-2021'!Q512+'RA-TRIAL-BAL-2021'!Q512+'DES-TRIAL-BAL-2021'!Q512+'DMP-TRIAL-BAL-2021'!Q512</f>
        <v>0</v>
      </c>
      <c r="Y512" s="529">
        <f>+'NF-KSF-TRIAL-BAL-2021'!R512+'RA-TRIAL-BAL-2021'!R512+'DES-TRIAL-BAL-2021'!R512+'DMP-TRIAL-BAL-2021'!R512</f>
        <v>0</v>
      </c>
      <c r="Z512" s="528">
        <f>+'NF-KSF-TRIAL-BAL-2021'!S512+'RA-TRIAL-BAL-2021'!S512+'DES-TRIAL-BAL-2021'!S512+'DMP-TRIAL-BAL-2021'!S512</f>
        <v>0</v>
      </c>
      <c r="AA512" s="347">
        <f>+'NF-KSF-TRIAL-BAL-2021'!T512+'RA-TRIAL-BAL-2021'!T512+'DES-TRIAL-BAL-2021'!T512+'DMP-TRIAL-BAL-2021'!T512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97">
        <f t="shared" si="244"/>
        <v>6412</v>
      </c>
      <c r="AK512" s="8">
        <v>0</v>
      </c>
      <c r="AL512" s="9">
        <v>0</v>
      </c>
      <c r="AM512" s="326">
        <f t="shared" si="251"/>
        <v>0</v>
      </c>
      <c r="AN512" s="970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58">
        <f t="shared" si="241"/>
        <v>0</v>
      </c>
      <c r="AS512" s="359">
        <f t="shared" si="242"/>
        <v>0</v>
      </c>
      <c r="AT512" s="360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25">
        <v>29484.79</v>
      </c>
      <c r="R513" s="324"/>
      <c r="S513" s="27">
        <f t="shared" si="247"/>
        <v>29484.79</v>
      </c>
      <c r="T513" s="28">
        <f t="shared" si="248"/>
        <v>0</v>
      </c>
      <c r="U513" s="51"/>
      <c r="V513" s="541">
        <f>+'NF-KSF-TRIAL-BAL-2021'!O513+'RA-TRIAL-BAL-2021'!O513+'DES-TRIAL-BAL-2021'!O513+'DMP-TRIAL-BAL-2021'!O513</f>
        <v>0</v>
      </c>
      <c r="W513" s="529">
        <f>+'NF-KSF-TRIAL-BAL-2021'!P513+'RA-TRIAL-BAL-2021'!P513+'DES-TRIAL-BAL-2021'!P513+'DMP-TRIAL-BAL-2021'!P513</f>
        <v>0</v>
      </c>
      <c r="X513" s="528">
        <f>+'NF-KSF-TRIAL-BAL-2021'!Q513+'RA-TRIAL-BAL-2021'!Q513+'DES-TRIAL-BAL-2021'!Q513+'DMP-TRIAL-BAL-2021'!Q513</f>
        <v>4932.8900000000003</v>
      </c>
      <c r="Y513" s="529">
        <f>+'NF-KSF-TRIAL-BAL-2021'!R513+'RA-TRIAL-BAL-2021'!R513+'DES-TRIAL-BAL-2021'!R513+'DMP-TRIAL-BAL-2021'!R513</f>
        <v>0</v>
      </c>
      <c r="Z513" s="528">
        <f>+'NF-KSF-TRIAL-BAL-2021'!S513+'RA-TRIAL-BAL-2021'!S513+'DES-TRIAL-BAL-2021'!S513+'DMP-TRIAL-BAL-2021'!S513</f>
        <v>4932.8900000000003</v>
      </c>
      <c r="AA513" s="347">
        <f>+'NF-KSF-TRIAL-BAL-2021'!T513+'RA-TRIAL-BAL-2021'!T513+'DES-TRIAL-BAL-2021'!T513+'DMP-TRIAL-BAL-2021'!T513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97">
        <f t="shared" si="244"/>
        <v>6421</v>
      </c>
      <c r="AK513" s="8">
        <v>0</v>
      </c>
      <c r="AL513" s="9">
        <v>0</v>
      </c>
      <c r="AM513" s="326">
        <f t="shared" si="251"/>
        <v>34417.68</v>
      </c>
      <c r="AN513" s="970">
        <f t="shared" si="251"/>
        <v>0</v>
      </c>
      <c r="AO513" s="27">
        <f t="shared" si="245"/>
        <v>34417.68</v>
      </c>
      <c r="AP513" s="28">
        <f t="shared" si="246"/>
        <v>0</v>
      </c>
      <c r="AQ513" s="43"/>
      <c r="AR513" s="358">
        <f t="shared" si="241"/>
        <v>0</v>
      </c>
      <c r="AS513" s="359">
        <f t="shared" si="242"/>
        <v>0</v>
      </c>
      <c r="AT513" s="360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25"/>
      <c r="R514" s="324"/>
      <c r="S514" s="27">
        <f t="shared" si="247"/>
        <v>0</v>
      </c>
      <c r="T514" s="28">
        <f t="shared" si="248"/>
        <v>0</v>
      </c>
      <c r="U514" s="51"/>
      <c r="V514" s="541">
        <f>+'NF-KSF-TRIAL-BAL-2021'!O514+'RA-TRIAL-BAL-2021'!O514+'DES-TRIAL-BAL-2021'!O514+'DMP-TRIAL-BAL-2021'!O514</f>
        <v>0</v>
      </c>
      <c r="W514" s="529">
        <f>+'NF-KSF-TRIAL-BAL-2021'!P514+'RA-TRIAL-BAL-2021'!P514+'DES-TRIAL-BAL-2021'!P514+'DMP-TRIAL-BAL-2021'!P514</f>
        <v>0</v>
      </c>
      <c r="X514" s="528">
        <f>+'NF-KSF-TRIAL-BAL-2021'!Q514+'RA-TRIAL-BAL-2021'!Q514+'DES-TRIAL-BAL-2021'!Q514+'DMP-TRIAL-BAL-2021'!Q514</f>
        <v>0</v>
      </c>
      <c r="Y514" s="529">
        <f>+'NF-KSF-TRIAL-BAL-2021'!R514+'RA-TRIAL-BAL-2021'!R514+'DES-TRIAL-BAL-2021'!R514+'DMP-TRIAL-BAL-2021'!R514</f>
        <v>0</v>
      </c>
      <c r="Z514" s="528">
        <f>+'NF-KSF-TRIAL-BAL-2021'!S514+'RA-TRIAL-BAL-2021'!S514+'DES-TRIAL-BAL-2021'!S514+'DMP-TRIAL-BAL-2021'!S514</f>
        <v>0</v>
      </c>
      <c r="AA514" s="347">
        <f>+'NF-KSF-TRIAL-BAL-2021'!T514+'RA-TRIAL-BAL-2021'!T514+'DES-TRIAL-BAL-2021'!T514+'DMP-TRIAL-BAL-2021'!T514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97">
        <f t="shared" si="244"/>
        <v>6422</v>
      </c>
      <c r="AK514" s="8">
        <v>0</v>
      </c>
      <c r="AL514" s="9">
        <v>0</v>
      </c>
      <c r="AM514" s="326">
        <f t="shared" si="251"/>
        <v>0</v>
      </c>
      <c r="AN514" s="970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58">
        <f t="shared" si="241"/>
        <v>0</v>
      </c>
      <c r="AS514" s="359">
        <f t="shared" si="242"/>
        <v>0</v>
      </c>
      <c r="AT514" s="360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25"/>
      <c r="R515" s="324"/>
      <c r="S515" s="27">
        <f t="shared" si="247"/>
        <v>0</v>
      </c>
      <c r="T515" s="28">
        <f t="shared" si="248"/>
        <v>0</v>
      </c>
      <c r="U515" s="51"/>
      <c r="V515" s="541">
        <f>+'NF-KSF-TRIAL-BAL-2021'!O515+'RA-TRIAL-BAL-2021'!O515+'DES-TRIAL-BAL-2021'!O515+'DMP-TRIAL-BAL-2021'!O515</f>
        <v>0</v>
      </c>
      <c r="W515" s="529">
        <f>+'NF-KSF-TRIAL-BAL-2021'!P515+'RA-TRIAL-BAL-2021'!P515+'DES-TRIAL-BAL-2021'!P515+'DMP-TRIAL-BAL-2021'!P515</f>
        <v>0</v>
      </c>
      <c r="X515" s="528">
        <f>+'NF-KSF-TRIAL-BAL-2021'!Q515+'RA-TRIAL-BAL-2021'!Q515+'DES-TRIAL-BAL-2021'!Q515+'DMP-TRIAL-BAL-2021'!Q515</f>
        <v>0</v>
      </c>
      <c r="Y515" s="529">
        <f>+'NF-KSF-TRIAL-BAL-2021'!R515+'RA-TRIAL-BAL-2021'!R515+'DES-TRIAL-BAL-2021'!R515+'DMP-TRIAL-BAL-2021'!R515</f>
        <v>0</v>
      </c>
      <c r="Z515" s="528">
        <f>+'NF-KSF-TRIAL-BAL-2021'!S515+'RA-TRIAL-BAL-2021'!S515+'DES-TRIAL-BAL-2021'!S515+'DMP-TRIAL-BAL-2021'!S515</f>
        <v>0</v>
      </c>
      <c r="AA515" s="347">
        <f>+'NF-KSF-TRIAL-BAL-2021'!T515+'RA-TRIAL-BAL-2021'!T515+'DES-TRIAL-BAL-2021'!T515+'DMP-TRIAL-BAL-2021'!T515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97">
        <f t="shared" si="244"/>
        <v>6423</v>
      </c>
      <c r="AK515" s="8">
        <v>0</v>
      </c>
      <c r="AL515" s="9">
        <v>0</v>
      </c>
      <c r="AM515" s="326">
        <f t="shared" si="251"/>
        <v>0</v>
      </c>
      <c r="AN515" s="970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58">
        <f t="shared" si="241"/>
        <v>0</v>
      </c>
      <c r="AS515" s="359">
        <f t="shared" si="242"/>
        <v>0</v>
      </c>
      <c r="AT515" s="360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25"/>
      <c r="R516" s="324"/>
      <c r="S516" s="27">
        <f t="shared" si="247"/>
        <v>0</v>
      </c>
      <c r="T516" s="28">
        <f t="shared" si="248"/>
        <v>0</v>
      </c>
      <c r="U516" s="51"/>
      <c r="V516" s="541">
        <f>+'NF-KSF-TRIAL-BAL-2021'!O516+'RA-TRIAL-BAL-2021'!O516+'DES-TRIAL-BAL-2021'!O516+'DMP-TRIAL-BAL-2021'!O516</f>
        <v>0</v>
      </c>
      <c r="W516" s="529">
        <f>+'NF-KSF-TRIAL-BAL-2021'!P516+'RA-TRIAL-BAL-2021'!P516+'DES-TRIAL-BAL-2021'!P516+'DMP-TRIAL-BAL-2021'!P516</f>
        <v>0</v>
      </c>
      <c r="X516" s="528">
        <f>+'NF-KSF-TRIAL-BAL-2021'!Q516+'RA-TRIAL-BAL-2021'!Q516+'DES-TRIAL-BAL-2021'!Q516+'DMP-TRIAL-BAL-2021'!Q516</f>
        <v>0</v>
      </c>
      <c r="Y516" s="529">
        <f>+'NF-KSF-TRIAL-BAL-2021'!R516+'RA-TRIAL-BAL-2021'!R516+'DES-TRIAL-BAL-2021'!R516+'DMP-TRIAL-BAL-2021'!R516</f>
        <v>0</v>
      </c>
      <c r="Z516" s="528">
        <f>+'NF-KSF-TRIAL-BAL-2021'!S516+'RA-TRIAL-BAL-2021'!S516+'DES-TRIAL-BAL-2021'!S516+'DMP-TRIAL-BAL-2021'!S516</f>
        <v>0</v>
      </c>
      <c r="AA516" s="347">
        <f>+'NF-KSF-TRIAL-BAL-2021'!T516+'RA-TRIAL-BAL-2021'!T516+'DES-TRIAL-BAL-2021'!T516+'DMP-TRIAL-BAL-2021'!T516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97">
        <f t="shared" si="244"/>
        <v>6424</v>
      </c>
      <c r="AK516" s="8">
        <v>0</v>
      </c>
      <c r="AL516" s="9">
        <v>0</v>
      </c>
      <c r="AM516" s="326">
        <f t="shared" si="251"/>
        <v>0</v>
      </c>
      <c r="AN516" s="970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58">
        <f t="shared" si="241"/>
        <v>0</v>
      </c>
      <c r="AS516" s="359">
        <f t="shared" si="242"/>
        <v>0</v>
      </c>
      <c r="AT516" s="360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25"/>
      <c r="R517" s="324"/>
      <c r="S517" s="27">
        <f t="shared" si="247"/>
        <v>0</v>
      </c>
      <c r="T517" s="28">
        <f t="shared" si="248"/>
        <v>0</v>
      </c>
      <c r="U517" s="51"/>
      <c r="V517" s="541">
        <f>+'NF-KSF-TRIAL-BAL-2021'!O517+'RA-TRIAL-BAL-2021'!O517+'DES-TRIAL-BAL-2021'!O517+'DMP-TRIAL-BAL-2021'!O517</f>
        <v>0</v>
      </c>
      <c r="W517" s="529">
        <f>+'NF-KSF-TRIAL-BAL-2021'!P517+'RA-TRIAL-BAL-2021'!P517+'DES-TRIAL-BAL-2021'!P517+'DMP-TRIAL-BAL-2021'!P517</f>
        <v>0</v>
      </c>
      <c r="X517" s="528">
        <f>+'NF-KSF-TRIAL-BAL-2021'!Q517+'RA-TRIAL-BAL-2021'!Q517+'DES-TRIAL-BAL-2021'!Q517+'DMP-TRIAL-BAL-2021'!Q517</f>
        <v>0</v>
      </c>
      <c r="Y517" s="529">
        <f>+'NF-KSF-TRIAL-BAL-2021'!R517+'RA-TRIAL-BAL-2021'!R517+'DES-TRIAL-BAL-2021'!R517+'DMP-TRIAL-BAL-2021'!R517</f>
        <v>0</v>
      </c>
      <c r="Z517" s="528">
        <f>+'NF-KSF-TRIAL-BAL-2021'!S517+'RA-TRIAL-BAL-2021'!S517+'DES-TRIAL-BAL-2021'!S517+'DMP-TRIAL-BAL-2021'!S517</f>
        <v>0</v>
      </c>
      <c r="AA517" s="347">
        <f>+'NF-KSF-TRIAL-BAL-2021'!T517+'RA-TRIAL-BAL-2021'!T517+'DES-TRIAL-BAL-2021'!T517+'DMP-TRIAL-BAL-2021'!T517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97">
        <f t="shared" si="244"/>
        <v>6425</v>
      </c>
      <c r="AK517" s="8">
        <v>0</v>
      </c>
      <c r="AL517" s="9">
        <v>0</v>
      </c>
      <c r="AM517" s="326">
        <f t="shared" si="251"/>
        <v>0</v>
      </c>
      <c r="AN517" s="970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58">
        <f t="shared" si="241"/>
        <v>0</v>
      </c>
      <c r="AS517" s="359">
        <f t="shared" si="242"/>
        <v>0</v>
      </c>
      <c r="AT517" s="360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25"/>
      <c r="R518" s="324"/>
      <c r="S518" s="27">
        <f t="shared" si="247"/>
        <v>0</v>
      </c>
      <c r="T518" s="28">
        <f t="shared" si="248"/>
        <v>0</v>
      </c>
      <c r="U518" s="51"/>
      <c r="V518" s="541">
        <f>+'NF-KSF-TRIAL-BAL-2021'!O518+'RA-TRIAL-BAL-2021'!O518+'DES-TRIAL-BAL-2021'!O518+'DMP-TRIAL-BAL-2021'!O518</f>
        <v>0</v>
      </c>
      <c r="W518" s="529">
        <f>+'NF-KSF-TRIAL-BAL-2021'!P518+'RA-TRIAL-BAL-2021'!P518+'DES-TRIAL-BAL-2021'!P518+'DMP-TRIAL-BAL-2021'!P518</f>
        <v>0</v>
      </c>
      <c r="X518" s="528">
        <f>+'NF-KSF-TRIAL-BAL-2021'!Q518+'RA-TRIAL-BAL-2021'!Q518+'DES-TRIAL-BAL-2021'!Q518+'DMP-TRIAL-BAL-2021'!Q518</f>
        <v>0</v>
      </c>
      <c r="Y518" s="529">
        <f>+'NF-KSF-TRIAL-BAL-2021'!R518+'RA-TRIAL-BAL-2021'!R518+'DES-TRIAL-BAL-2021'!R518+'DMP-TRIAL-BAL-2021'!R518</f>
        <v>0</v>
      </c>
      <c r="Z518" s="528">
        <f>+'NF-KSF-TRIAL-BAL-2021'!S518+'RA-TRIAL-BAL-2021'!S518+'DES-TRIAL-BAL-2021'!S518+'DMP-TRIAL-BAL-2021'!S518</f>
        <v>0</v>
      </c>
      <c r="AA518" s="347">
        <f>+'NF-KSF-TRIAL-BAL-2021'!T518+'RA-TRIAL-BAL-2021'!T518+'DES-TRIAL-BAL-2021'!T518+'DMP-TRIAL-BAL-2021'!T518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97">
        <f t="shared" si="244"/>
        <v>6426</v>
      </c>
      <c r="AK518" s="8">
        <v>0</v>
      </c>
      <c r="AL518" s="9">
        <v>0</v>
      </c>
      <c r="AM518" s="326">
        <f t="shared" si="251"/>
        <v>0</v>
      </c>
      <c r="AN518" s="970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58">
        <f t="shared" si="241"/>
        <v>0</v>
      </c>
      <c r="AS518" s="359">
        <f t="shared" si="242"/>
        <v>0</v>
      </c>
      <c r="AT518" s="360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25"/>
      <c r="R519" s="324"/>
      <c r="S519" s="27">
        <f t="shared" si="247"/>
        <v>0</v>
      </c>
      <c r="T519" s="28">
        <f t="shared" si="248"/>
        <v>0</v>
      </c>
      <c r="U519" s="51"/>
      <c r="V519" s="541">
        <f>+'NF-KSF-TRIAL-BAL-2021'!O519+'RA-TRIAL-BAL-2021'!O519+'DES-TRIAL-BAL-2021'!O519+'DMP-TRIAL-BAL-2021'!O519</f>
        <v>0</v>
      </c>
      <c r="W519" s="529">
        <f>+'NF-KSF-TRIAL-BAL-2021'!P519+'RA-TRIAL-BAL-2021'!P519+'DES-TRIAL-BAL-2021'!P519+'DMP-TRIAL-BAL-2021'!P519</f>
        <v>0</v>
      </c>
      <c r="X519" s="528">
        <f>+'NF-KSF-TRIAL-BAL-2021'!Q519+'RA-TRIAL-BAL-2021'!Q519+'DES-TRIAL-BAL-2021'!Q519+'DMP-TRIAL-BAL-2021'!Q519</f>
        <v>0</v>
      </c>
      <c r="Y519" s="529">
        <f>+'NF-KSF-TRIAL-BAL-2021'!R519+'RA-TRIAL-BAL-2021'!R519+'DES-TRIAL-BAL-2021'!R519+'DMP-TRIAL-BAL-2021'!R519</f>
        <v>0</v>
      </c>
      <c r="Z519" s="528">
        <f>+'NF-KSF-TRIAL-BAL-2021'!S519+'RA-TRIAL-BAL-2021'!S519+'DES-TRIAL-BAL-2021'!S519+'DMP-TRIAL-BAL-2021'!S519</f>
        <v>0</v>
      </c>
      <c r="AA519" s="347">
        <f>+'NF-KSF-TRIAL-BAL-2021'!T519+'RA-TRIAL-BAL-2021'!T519+'DES-TRIAL-BAL-2021'!T519+'DMP-TRIAL-BAL-2021'!T519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97">
        <f t="shared" si="244"/>
        <v>6427</v>
      </c>
      <c r="AK519" s="8">
        <v>0</v>
      </c>
      <c r="AL519" s="9">
        <v>0</v>
      </c>
      <c r="AM519" s="326">
        <f t="shared" si="251"/>
        <v>0</v>
      </c>
      <c r="AN519" s="970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58">
        <f t="shared" si="241"/>
        <v>0</v>
      </c>
      <c r="AS519" s="359">
        <f t="shared" si="242"/>
        <v>0</v>
      </c>
      <c r="AT519" s="360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25"/>
      <c r="R520" s="324"/>
      <c r="S520" s="27">
        <f t="shared" si="247"/>
        <v>0</v>
      </c>
      <c r="T520" s="28">
        <f t="shared" si="248"/>
        <v>0</v>
      </c>
      <c r="U520" s="51"/>
      <c r="V520" s="541">
        <f>+'NF-KSF-TRIAL-BAL-2021'!O520+'RA-TRIAL-BAL-2021'!O520+'DES-TRIAL-BAL-2021'!O520+'DMP-TRIAL-BAL-2021'!O520</f>
        <v>0</v>
      </c>
      <c r="W520" s="529">
        <f>+'NF-KSF-TRIAL-BAL-2021'!P520+'RA-TRIAL-BAL-2021'!P520+'DES-TRIAL-BAL-2021'!P520+'DMP-TRIAL-BAL-2021'!P520</f>
        <v>0</v>
      </c>
      <c r="X520" s="528">
        <f>+'NF-KSF-TRIAL-BAL-2021'!Q520+'RA-TRIAL-BAL-2021'!Q520+'DES-TRIAL-BAL-2021'!Q520+'DMP-TRIAL-BAL-2021'!Q520</f>
        <v>0</v>
      </c>
      <c r="Y520" s="529">
        <f>+'NF-KSF-TRIAL-BAL-2021'!R520+'RA-TRIAL-BAL-2021'!R520+'DES-TRIAL-BAL-2021'!R520+'DMP-TRIAL-BAL-2021'!R520</f>
        <v>0</v>
      </c>
      <c r="Z520" s="528">
        <f>+'NF-KSF-TRIAL-BAL-2021'!S520+'RA-TRIAL-BAL-2021'!S520+'DES-TRIAL-BAL-2021'!S520+'DMP-TRIAL-BAL-2021'!S520</f>
        <v>0</v>
      </c>
      <c r="AA520" s="347">
        <f>+'NF-KSF-TRIAL-BAL-2021'!T520+'RA-TRIAL-BAL-2021'!T520+'DES-TRIAL-BAL-2021'!T520+'DMP-TRIAL-BAL-2021'!T520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97">
        <f t="shared" si="244"/>
        <v>6428</v>
      </c>
      <c r="AK520" s="8">
        <v>0</v>
      </c>
      <c r="AL520" s="9">
        <v>0</v>
      </c>
      <c r="AM520" s="326">
        <f t="shared" si="251"/>
        <v>0</v>
      </c>
      <c r="AN520" s="970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58">
        <f t="shared" si="241"/>
        <v>0</v>
      </c>
      <c r="AS520" s="359">
        <f t="shared" si="242"/>
        <v>0</v>
      </c>
      <c r="AT520" s="360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25"/>
      <c r="R521" s="324"/>
      <c r="S521" s="27">
        <f t="shared" si="247"/>
        <v>0</v>
      </c>
      <c r="T521" s="28">
        <f t="shared" si="248"/>
        <v>0</v>
      </c>
      <c r="U521" s="51"/>
      <c r="V521" s="541">
        <f>+'NF-KSF-TRIAL-BAL-2021'!O521+'RA-TRIAL-BAL-2021'!O521+'DES-TRIAL-BAL-2021'!O521+'DMP-TRIAL-BAL-2021'!O521</f>
        <v>0</v>
      </c>
      <c r="W521" s="529">
        <f>+'NF-KSF-TRIAL-BAL-2021'!P521+'RA-TRIAL-BAL-2021'!P521+'DES-TRIAL-BAL-2021'!P521+'DMP-TRIAL-BAL-2021'!P521</f>
        <v>0</v>
      </c>
      <c r="X521" s="528">
        <f>+'NF-KSF-TRIAL-BAL-2021'!Q521+'RA-TRIAL-BAL-2021'!Q521+'DES-TRIAL-BAL-2021'!Q521+'DMP-TRIAL-BAL-2021'!Q521</f>
        <v>0</v>
      </c>
      <c r="Y521" s="529">
        <f>+'NF-KSF-TRIAL-BAL-2021'!R521+'RA-TRIAL-BAL-2021'!R521+'DES-TRIAL-BAL-2021'!R521+'DMP-TRIAL-BAL-2021'!R521</f>
        <v>0</v>
      </c>
      <c r="Z521" s="528">
        <f>+'NF-KSF-TRIAL-BAL-2021'!S521+'RA-TRIAL-BAL-2021'!S521+'DES-TRIAL-BAL-2021'!S521+'DMP-TRIAL-BAL-2021'!S521</f>
        <v>0</v>
      </c>
      <c r="AA521" s="347">
        <f>+'NF-KSF-TRIAL-BAL-2021'!T521+'RA-TRIAL-BAL-2021'!T521+'DES-TRIAL-BAL-2021'!T521+'DMP-TRIAL-BAL-2021'!T521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97">
        <f t="shared" si="244"/>
        <v>6430</v>
      </c>
      <c r="AK521" s="8">
        <v>0</v>
      </c>
      <c r="AL521" s="9">
        <v>0</v>
      </c>
      <c r="AM521" s="326">
        <f t="shared" si="251"/>
        <v>0</v>
      </c>
      <c r="AN521" s="970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58">
        <f t="shared" si="241"/>
        <v>0</v>
      </c>
      <c r="AS521" s="359">
        <f t="shared" si="242"/>
        <v>0</v>
      </c>
      <c r="AT521" s="360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25"/>
      <c r="R522" s="324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41">
        <f>+'NF-KSF-TRIAL-BAL-2021'!O522+'RA-TRIAL-BAL-2021'!O522+'DES-TRIAL-BAL-2021'!O522+'DMP-TRIAL-BAL-2021'!O522</f>
        <v>0</v>
      </c>
      <c r="W522" s="529">
        <f>+'NF-KSF-TRIAL-BAL-2021'!P522+'RA-TRIAL-BAL-2021'!P522+'DES-TRIAL-BAL-2021'!P522+'DMP-TRIAL-BAL-2021'!P522</f>
        <v>0</v>
      </c>
      <c r="X522" s="528">
        <f>+'NF-KSF-TRIAL-BAL-2021'!Q522+'RA-TRIAL-BAL-2021'!Q522+'DES-TRIAL-BAL-2021'!Q522+'DMP-TRIAL-BAL-2021'!Q522</f>
        <v>0</v>
      </c>
      <c r="Y522" s="529">
        <f>+'NF-KSF-TRIAL-BAL-2021'!R522+'RA-TRIAL-BAL-2021'!R522+'DES-TRIAL-BAL-2021'!R522+'DMP-TRIAL-BAL-2021'!R522</f>
        <v>0</v>
      </c>
      <c r="Z522" s="528">
        <f>+'NF-KSF-TRIAL-BAL-2021'!S522+'RA-TRIAL-BAL-2021'!S522+'DES-TRIAL-BAL-2021'!S522+'DMP-TRIAL-BAL-2021'!S522</f>
        <v>0</v>
      </c>
      <c r="AA522" s="347">
        <f>+'NF-KSF-TRIAL-BAL-2021'!T522+'RA-TRIAL-BAL-2021'!T522+'DES-TRIAL-BAL-2021'!T522+'DMP-TRIAL-BAL-2021'!T522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97">
        <f>+N522</f>
        <v>6437</v>
      </c>
      <c r="AK522" s="8">
        <v>0</v>
      </c>
      <c r="AL522" s="9">
        <v>0</v>
      </c>
      <c r="AM522" s="326">
        <f t="shared" ref="AM522:AN524" si="262">+ROUND(+Q522+X522+AE522,2)</f>
        <v>0</v>
      </c>
      <c r="AN522" s="970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58">
        <f>+ROUND(+SUM(AK522-AL522)-SUM(O522-P522)-SUM(V522-W522)-SUM(AC522-AD522),2)</f>
        <v>0</v>
      </c>
      <c r="AS522" s="359">
        <f>+ROUND(+SUM(AM522-AN522)-SUM(Q522-R522)-SUM(X522-Y522)-SUM(AE522-AF522),2)</f>
        <v>0</v>
      </c>
      <c r="AT522" s="360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25"/>
      <c r="R523" s="324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41">
        <f>+'NF-KSF-TRIAL-BAL-2021'!O523+'RA-TRIAL-BAL-2021'!O523+'DES-TRIAL-BAL-2021'!O523+'DMP-TRIAL-BAL-2021'!O523</f>
        <v>0</v>
      </c>
      <c r="W523" s="529">
        <f>+'NF-KSF-TRIAL-BAL-2021'!P523+'RA-TRIAL-BAL-2021'!P523+'DES-TRIAL-BAL-2021'!P523+'DMP-TRIAL-BAL-2021'!P523</f>
        <v>0</v>
      </c>
      <c r="X523" s="528">
        <f>+'NF-KSF-TRIAL-BAL-2021'!Q523+'RA-TRIAL-BAL-2021'!Q523+'DES-TRIAL-BAL-2021'!Q523+'DMP-TRIAL-BAL-2021'!Q523</f>
        <v>0</v>
      </c>
      <c r="Y523" s="529">
        <f>+'NF-KSF-TRIAL-BAL-2021'!R523+'RA-TRIAL-BAL-2021'!R523+'DES-TRIAL-BAL-2021'!R523+'DMP-TRIAL-BAL-2021'!R523</f>
        <v>0</v>
      </c>
      <c r="Z523" s="528">
        <f>+'NF-KSF-TRIAL-BAL-2021'!S523+'RA-TRIAL-BAL-2021'!S523+'DES-TRIAL-BAL-2021'!S523+'DMP-TRIAL-BAL-2021'!S523</f>
        <v>0</v>
      </c>
      <c r="AA523" s="347">
        <f>+'NF-KSF-TRIAL-BAL-2021'!T523+'RA-TRIAL-BAL-2021'!T523+'DES-TRIAL-BAL-2021'!T523+'DMP-TRIAL-BAL-2021'!T523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97">
        <f>+N523</f>
        <v>6438</v>
      </c>
      <c r="AK523" s="8">
        <v>0</v>
      </c>
      <c r="AL523" s="9">
        <v>0</v>
      </c>
      <c r="AM523" s="326">
        <f t="shared" si="262"/>
        <v>0</v>
      </c>
      <c r="AN523" s="970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58">
        <f>+ROUND(+SUM(AK523-AL523)-SUM(O523-P523)-SUM(V523-W523)-SUM(AC523-AD523),2)</f>
        <v>0</v>
      </c>
      <c r="AS523" s="359">
        <f>+ROUND(+SUM(AM523-AN523)-SUM(Q523-R523)-SUM(X523-Y523)-SUM(AE523-AF523),2)</f>
        <v>0</v>
      </c>
      <c r="AT523" s="360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25"/>
      <c r="R524" s="324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41">
        <f>+'NF-KSF-TRIAL-BAL-2021'!O524+'RA-TRIAL-BAL-2021'!O524+'DES-TRIAL-BAL-2021'!O524+'DMP-TRIAL-BAL-2021'!O524</f>
        <v>0</v>
      </c>
      <c r="W524" s="529">
        <f>+'NF-KSF-TRIAL-BAL-2021'!P524+'RA-TRIAL-BAL-2021'!P524+'DES-TRIAL-BAL-2021'!P524+'DMP-TRIAL-BAL-2021'!P524</f>
        <v>0</v>
      </c>
      <c r="X524" s="528">
        <f>+'NF-KSF-TRIAL-BAL-2021'!Q524+'RA-TRIAL-BAL-2021'!Q524+'DES-TRIAL-BAL-2021'!Q524+'DMP-TRIAL-BAL-2021'!Q524</f>
        <v>0</v>
      </c>
      <c r="Y524" s="529">
        <f>+'NF-KSF-TRIAL-BAL-2021'!R524+'RA-TRIAL-BAL-2021'!R524+'DES-TRIAL-BAL-2021'!R524+'DMP-TRIAL-BAL-2021'!R524</f>
        <v>0</v>
      </c>
      <c r="Z524" s="528">
        <f>+'NF-KSF-TRIAL-BAL-2021'!S524+'RA-TRIAL-BAL-2021'!S524+'DES-TRIAL-BAL-2021'!S524+'DMP-TRIAL-BAL-2021'!S524</f>
        <v>0</v>
      </c>
      <c r="AA524" s="347">
        <f>+'NF-KSF-TRIAL-BAL-2021'!T524+'RA-TRIAL-BAL-2021'!T524+'DES-TRIAL-BAL-2021'!T524+'DMP-TRIAL-BAL-2021'!T524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97">
        <f>+N524</f>
        <v>6440</v>
      </c>
      <c r="AK524" s="8">
        <v>0</v>
      </c>
      <c r="AL524" s="9">
        <v>0</v>
      </c>
      <c r="AM524" s="326">
        <f t="shared" si="262"/>
        <v>0</v>
      </c>
      <c r="AN524" s="970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58">
        <f>+ROUND(+SUM(AK524-AL524)-SUM(O524-P524)-SUM(V524-W524)-SUM(AC524-AD524),2)</f>
        <v>0</v>
      </c>
      <c r="AS524" s="359">
        <f>+ROUND(+SUM(AM524-AN524)-SUM(Q524-R524)-SUM(X524-Y524)-SUM(AE524-AF524),2)</f>
        <v>0</v>
      </c>
      <c r="AT524" s="360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25">
        <v>53685</v>
      </c>
      <c r="R525" s="324"/>
      <c r="S525" s="27">
        <f t="shared" si="247"/>
        <v>53685</v>
      </c>
      <c r="T525" s="28">
        <f t="shared" si="248"/>
        <v>0</v>
      </c>
      <c r="U525" s="51"/>
      <c r="V525" s="541">
        <f>+'NF-KSF-TRIAL-BAL-2021'!O525+'RA-TRIAL-BAL-2021'!O525+'DES-TRIAL-BAL-2021'!O525+'DMP-TRIAL-BAL-2021'!O525</f>
        <v>0</v>
      </c>
      <c r="W525" s="529">
        <f>+'NF-KSF-TRIAL-BAL-2021'!P525+'RA-TRIAL-BAL-2021'!P525+'DES-TRIAL-BAL-2021'!P525+'DMP-TRIAL-BAL-2021'!P525</f>
        <v>0</v>
      </c>
      <c r="X525" s="528">
        <f>+'NF-KSF-TRIAL-BAL-2021'!Q525+'RA-TRIAL-BAL-2021'!Q525+'DES-TRIAL-BAL-2021'!Q525+'DMP-TRIAL-BAL-2021'!Q525</f>
        <v>30682.89</v>
      </c>
      <c r="Y525" s="529">
        <f>+'NF-KSF-TRIAL-BAL-2021'!R525+'RA-TRIAL-BAL-2021'!R525+'DES-TRIAL-BAL-2021'!R525+'DMP-TRIAL-BAL-2021'!R525</f>
        <v>0</v>
      </c>
      <c r="Z525" s="528">
        <f>+'NF-KSF-TRIAL-BAL-2021'!S525+'RA-TRIAL-BAL-2021'!S525+'DES-TRIAL-BAL-2021'!S525+'DMP-TRIAL-BAL-2021'!S525</f>
        <v>30682.89</v>
      </c>
      <c r="AA525" s="347">
        <f>+'NF-KSF-TRIAL-BAL-2021'!T525+'RA-TRIAL-BAL-2021'!T525+'DES-TRIAL-BAL-2021'!T525+'DMP-TRIAL-BAL-2021'!T525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97">
        <f t="shared" si="244"/>
        <v>6441</v>
      </c>
      <c r="AK525" s="8">
        <v>0</v>
      </c>
      <c r="AL525" s="9">
        <v>0</v>
      </c>
      <c r="AM525" s="326">
        <f t="shared" si="251"/>
        <v>84367.89</v>
      </c>
      <c r="AN525" s="970">
        <f t="shared" si="251"/>
        <v>0</v>
      </c>
      <c r="AO525" s="27">
        <f t="shared" si="245"/>
        <v>84367.89</v>
      </c>
      <c r="AP525" s="28">
        <f t="shared" si="246"/>
        <v>0</v>
      </c>
      <c r="AQ525" s="43"/>
      <c r="AR525" s="358">
        <f t="shared" si="241"/>
        <v>0</v>
      </c>
      <c r="AS525" s="359">
        <f t="shared" si="242"/>
        <v>0</v>
      </c>
      <c r="AT525" s="360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25"/>
      <c r="R526" s="324"/>
      <c r="S526" s="27">
        <f t="shared" si="247"/>
        <v>0</v>
      </c>
      <c r="T526" s="28">
        <f t="shared" si="248"/>
        <v>0</v>
      </c>
      <c r="U526" s="51"/>
      <c r="V526" s="541">
        <f>+'NF-KSF-TRIAL-BAL-2021'!O526+'RA-TRIAL-BAL-2021'!O526+'DES-TRIAL-BAL-2021'!O526+'DMP-TRIAL-BAL-2021'!O526</f>
        <v>0</v>
      </c>
      <c r="W526" s="529">
        <f>+'NF-KSF-TRIAL-BAL-2021'!P526+'RA-TRIAL-BAL-2021'!P526+'DES-TRIAL-BAL-2021'!P526+'DMP-TRIAL-BAL-2021'!P526</f>
        <v>0</v>
      </c>
      <c r="X526" s="528">
        <f>+'NF-KSF-TRIAL-BAL-2021'!Q526+'RA-TRIAL-BAL-2021'!Q526+'DES-TRIAL-BAL-2021'!Q526+'DMP-TRIAL-BAL-2021'!Q526</f>
        <v>0</v>
      </c>
      <c r="Y526" s="529">
        <f>+'NF-KSF-TRIAL-BAL-2021'!R526+'RA-TRIAL-BAL-2021'!R526+'DES-TRIAL-BAL-2021'!R526+'DMP-TRIAL-BAL-2021'!R526</f>
        <v>0</v>
      </c>
      <c r="Z526" s="528">
        <f>+'NF-KSF-TRIAL-BAL-2021'!S526+'RA-TRIAL-BAL-2021'!S526+'DES-TRIAL-BAL-2021'!S526+'DMP-TRIAL-BAL-2021'!S526</f>
        <v>0</v>
      </c>
      <c r="AA526" s="347">
        <f>+'NF-KSF-TRIAL-BAL-2021'!T526+'RA-TRIAL-BAL-2021'!T526+'DES-TRIAL-BAL-2021'!T526+'DMP-TRIAL-BAL-2021'!T526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97">
        <f t="shared" si="244"/>
        <v>6442</v>
      </c>
      <c r="AK526" s="8">
        <v>0</v>
      </c>
      <c r="AL526" s="9">
        <v>0</v>
      </c>
      <c r="AM526" s="326">
        <f t="shared" si="251"/>
        <v>0</v>
      </c>
      <c r="AN526" s="970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58">
        <f t="shared" si="241"/>
        <v>0</v>
      </c>
      <c r="AS526" s="359">
        <f t="shared" si="242"/>
        <v>0</v>
      </c>
      <c r="AT526" s="360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25">
        <v>3135.5</v>
      </c>
      <c r="R527" s="324"/>
      <c r="S527" s="27">
        <f t="shared" si="247"/>
        <v>3135.5</v>
      </c>
      <c r="T527" s="28">
        <f t="shared" si="248"/>
        <v>0</v>
      </c>
      <c r="U527" s="51"/>
      <c r="V527" s="541">
        <f>+'NF-KSF-TRIAL-BAL-2021'!O527+'RA-TRIAL-BAL-2021'!O527+'DES-TRIAL-BAL-2021'!O527+'DMP-TRIAL-BAL-2021'!O527</f>
        <v>0</v>
      </c>
      <c r="W527" s="529">
        <f>+'NF-KSF-TRIAL-BAL-2021'!P527+'RA-TRIAL-BAL-2021'!P527+'DES-TRIAL-BAL-2021'!P527+'DMP-TRIAL-BAL-2021'!P527</f>
        <v>0</v>
      </c>
      <c r="X527" s="528">
        <f>+'NF-KSF-TRIAL-BAL-2021'!Q527+'RA-TRIAL-BAL-2021'!Q527+'DES-TRIAL-BAL-2021'!Q527+'DMP-TRIAL-BAL-2021'!Q527</f>
        <v>0</v>
      </c>
      <c r="Y527" s="529">
        <f>+'NF-KSF-TRIAL-BAL-2021'!R527+'RA-TRIAL-BAL-2021'!R527+'DES-TRIAL-BAL-2021'!R527+'DMP-TRIAL-BAL-2021'!R527</f>
        <v>0</v>
      </c>
      <c r="Z527" s="528">
        <f>+'NF-KSF-TRIAL-BAL-2021'!S527+'RA-TRIAL-BAL-2021'!S527+'DES-TRIAL-BAL-2021'!S527+'DMP-TRIAL-BAL-2021'!S527</f>
        <v>0</v>
      </c>
      <c r="AA527" s="347">
        <f>+'NF-KSF-TRIAL-BAL-2021'!T527+'RA-TRIAL-BAL-2021'!T527+'DES-TRIAL-BAL-2021'!T527+'DMP-TRIAL-BAL-2021'!T527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97">
        <f t="shared" si="244"/>
        <v>6443</v>
      </c>
      <c r="AK527" s="8">
        <v>0</v>
      </c>
      <c r="AL527" s="9">
        <v>0</v>
      </c>
      <c r="AM527" s="326">
        <f t="shared" si="251"/>
        <v>3135.5</v>
      </c>
      <c r="AN527" s="970">
        <f t="shared" si="251"/>
        <v>0</v>
      </c>
      <c r="AO527" s="27">
        <f t="shared" si="245"/>
        <v>3135.5</v>
      </c>
      <c r="AP527" s="28">
        <f t="shared" si="246"/>
        <v>0</v>
      </c>
      <c r="AQ527" s="43"/>
      <c r="AR527" s="358">
        <f t="shared" si="241"/>
        <v>0</v>
      </c>
      <c r="AS527" s="359">
        <f t="shared" si="242"/>
        <v>0</v>
      </c>
      <c r="AT527" s="360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25"/>
      <c r="R528" s="324"/>
      <c r="S528" s="27">
        <f t="shared" si="247"/>
        <v>0</v>
      </c>
      <c r="T528" s="28">
        <f t="shared" si="248"/>
        <v>0</v>
      </c>
      <c r="U528" s="51"/>
      <c r="V528" s="541">
        <f>+'NF-KSF-TRIAL-BAL-2021'!O528+'RA-TRIAL-BAL-2021'!O528+'DES-TRIAL-BAL-2021'!O528+'DMP-TRIAL-BAL-2021'!O528</f>
        <v>0</v>
      </c>
      <c r="W528" s="529">
        <f>+'NF-KSF-TRIAL-BAL-2021'!P528+'RA-TRIAL-BAL-2021'!P528+'DES-TRIAL-BAL-2021'!P528+'DMP-TRIAL-BAL-2021'!P528</f>
        <v>0</v>
      </c>
      <c r="X528" s="528">
        <f>+'NF-KSF-TRIAL-BAL-2021'!Q528+'RA-TRIAL-BAL-2021'!Q528+'DES-TRIAL-BAL-2021'!Q528+'DMP-TRIAL-BAL-2021'!Q528</f>
        <v>0</v>
      </c>
      <c r="Y528" s="529">
        <f>+'NF-KSF-TRIAL-BAL-2021'!R528+'RA-TRIAL-BAL-2021'!R528+'DES-TRIAL-BAL-2021'!R528+'DMP-TRIAL-BAL-2021'!R528</f>
        <v>0</v>
      </c>
      <c r="Z528" s="528">
        <f>+'NF-KSF-TRIAL-BAL-2021'!S528+'RA-TRIAL-BAL-2021'!S528+'DES-TRIAL-BAL-2021'!S528+'DMP-TRIAL-BAL-2021'!S528</f>
        <v>0</v>
      </c>
      <c r="AA528" s="347">
        <f>+'NF-KSF-TRIAL-BAL-2021'!T528+'RA-TRIAL-BAL-2021'!T528+'DES-TRIAL-BAL-2021'!T528+'DMP-TRIAL-BAL-2021'!T528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97">
        <f t="shared" si="244"/>
        <v>6444</v>
      </c>
      <c r="AK528" s="8">
        <v>0</v>
      </c>
      <c r="AL528" s="9">
        <v>0</v>
      </c>
      <c r="AM528" s="326">
        <f t="shared" si="251"/>
        <v>0</v>
      </c>
      <c r="AN528" s="970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58">
        <f t="shared" si="241"/>
        <v>0</v>
      </c>
      <c r="AS528" s="359">
        <f t="shared" si="242"/>
        <v>0</v>
      </c>
      <c r="AT528" s="360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25"/>
      <c r="R529" s="324"/>
      <c r="S529" s="27">
        <f t="shared" si="247"/>
        <v>0</v>
      </c>
      <c r="T529" s="28">
        <f t="shared" si="248"/>
        <v>0</v>
      </c>
      <c r="U529" s="51"/>
      <c r="V529" s="541">
        <f>+'NF-KSF-TRIAL-BAL-2021'!O529+'RA-TRIAL-BAL-2021'!O529+'DES-TRIAL-BAL-2021'!O529+'DMP-TRIAL-BAL-2021'!O529</f>
        <v>0</v>
      </c>
      <c r="W529" s="529">
        <f>+'NF-KSF-TRIAL-BAL-2021'!P529+'RA-TRIAL-BAL-2021'!P529+'DES-TRIAL-BAL-2021'!P529+'DMP-TRIAL-BAL-2021'!P529</f>
        <v>0</v>
      </c>
      <c r="X529" s="528">
        <f>+'NF-KSF-TRIAL-BAL-2021'!Q529+'RA-TRIAL-BAL-2021'!Q529+'DES-TRIAL-BAL-2021'!Q529+'DMP-TRIAL-BAL-2021'!Q529</f>
        <v>0</v>
      </c>
      <c r="Y529" s="529">
        <f>+'NF-KSF-TRIAL-BAL-2021'!R529+'RA-TRIAL-BAL-2021'!R529+'DES-TRIAL-BAL-2021'!R529+'DMP-TRIAL-BAL-2021'!R529</f>
        <v>0</v>
      </c>
      <c r="Z529" s="528">
        <f>+'NF-KSF-TRIAL-BAL-2021'!S529+'RA-TRIAL-BAL-2021'!S529+'DES-TRIAL-BAL-2021'!S529+'DMP-TRIAL-BAL-2021'!S529</f>
        <v>0</v>
      </c>
      <c r="AA529" s="347">
        <f>+'NF-KSF-TRIAL-BAL-2021'!T529+'RA-TRIAL-BAL-2021'!T529+'DES-TRIAL-BAL-2021'!T529+'DMP-TRIAL-BAL-2021'!T529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97">
        <f t="shared" si="244"/>
        <v>6445</v>
      </c>
      <c r="AK529" s="8">
        <v>0</v>
      </c>
      <c r="AL529" s="9">
        <v>0</v>
      </c>
      <c r="AM529" s="326">
        <f t="shared" si="251"/>
        <v>0</v>
      </c>
      <c r="AN529" s="970">
        <f t="shared" si="251"/>
        <v>0</v>
      </c>
      <c r="AO529" s="27">
        <f t="shared" si="245"/>
        <v>0</v>
      </c>
      <c r="AP529" s="28">
        <f t="shared" si="246"/>
        <v>0</v>
      </c>
      <c r="AQ529" s="43"/>
      <c r="AR529" s="358">
        <f t="shared" ref="AR529:AR593" si="264">+ROUND(+SUM(AK529-AL529)-SUM(O529-P529)-SUM(V529-W529)-SUM(AC529-AD529),2)</f>
        <v>0</v>
      </c>
      <c r="AS529" s="359">
        <f t="shared" ref="AS529:AS593" si="265">+ROUND(+SUM(AM529-AN529)-SUM(Q529-R529)-SUM(X529-Y529)-SUM(AE529-AF529),2)</f>
        <v>0</v>
      </c>
      <c r="AT529" s="360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25"/>
      <c r="R530" s="324"/>
      <c r="S530" s="27">
        <f t="shared" si="247"/>
        <v>0</v>
      </c>
      <c r="T530" s="28">
        <f t="shared" si="248"/>
        <v>0</v>
      </c>
      <c r="U530" s="51"/>
      <c r="V530" s="541">
        <f>+'NF-KSF-TRIAL-BAL-2021'!O530+'RA-TRIAL-BAL-2021'!O530+'DES-TRIAL-BAL-2021'!O530+'DMP-TRIAL-BAL-2021'!O530</f>
        <v>0</v>
      </c>
      <c r="W530" s="529">
        <f>+'NF-KSF-TRIAL-BAL-2021'!P530+'RA-TRIAL-BAL-2021'!P530+'DES-TRIAL-BAL-2021'!P530+'DMP-TRIAL-BAL-2021'!P530</f>
        <v>0</v>
      </c>
      <c r="X530" s="528">
        <f>+'NF-KSF-TRIAL-BAL-2021'!Q530+'RA-TRIAL-BAL-2021'!Q530+'DES-TRIAL-BAL-2021'!Q530+'DMP-TRIAL-BAL-2021'!Q530</f>
        <v>0</v>
      </c>
      <c r="Y530" s="529">
        <f>+'NF-KSF-TRIAL-BAL-2021'!R530+'RA-TRIAL-BAL-2021'!R530+'DES-TRIAL-BAL-2021'!R530+'DMP-TRIAL-BAL-2021'!R530</f>
        <v>0</v>
      </c>
      <c r="Z530" s="528">
        <f>+'NF-KSF-TRIAL-BAL-2021'!S530+'RA-TRIAL-BAL-2021'!S530+'DES-TRIAL-BAL-2021'!S530+'DMP-TRIAL-BAL-2021'!S530</f>
        <v>0</v>
      </c>
      <c r="AA530" s="347">
        <f>+'NF-KSF-TRIAL-BAL-2021'!T530+'RA-TRIAL-BAL-2021'!T530+'DES-TRIAL-BAL-2021'!T530+'DMP-TRIAL-BAL-2021'!T530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97">
        <f t="shared" si="244"/>
        <v>6446</v>
      </c>
      <c r="AK530" s="8">
        <v>0</v>
      </c>
      <c r="AL530" s="9">
        <v>0</v>
      </c>
      <c r="AM530" s="326">
        <f t="shared" si="251"/>
        <v>0</v>
      </c>
      <c r="AN530" s="970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58">
        <f t="shared" si="264"/>
        <v>0</v>
      </c>
      <c r="AS530" s="359">
        <f t="shared" si="265"/>
        <v>0</v>
      </c>
      <c r="AT530" s="360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25"/>
      <c r="R531" s="324"/>
      <c r="S531" s="27">
        <f t="shared" si="247"/>
        <v>0</v>
      </c>
      <c r="T531" s="28">
        <f t="shared" si="248"/>
        <v>0</v>
      </c>
      <c r="U531" s="51"/>
      <c r="V531" s="541">
        <f>+'NF-KSF-TRIAL-BAL-2021'!O531+'RA-TRIAL-BAL-2021'!O531+'DES-TRIAL-BAL-2021'!O531+'DMP-TRIAL-BAL-2021'!O531</f>
        <v>0</v>
      </c>
      <c r="W531" s="529">
        <f>+'NF-KSF-TRIAL-BAL-2021'!P531+'RA-TRIAL-BAL-2021'!P531+'DES-TRIAL-BAL-2021'!P531+'DMP-TRIAL-BAL-2021'!P531</f>
        <v>0</v>
      </c>
      <c r="X531" s="528">
        <f>+'NF-KSF-TRIAL-BAL-2021'!Q531+'RA-TRIAL-BAL-2021'!Q531+'DES-TRIAL-BAL-2021'!Q531+'DMP-TRIAL-BAL-2021'!Q531</f>
        <v>0</v>
      </c>
      <c r="Y531" s="529">
        <f>+'NF-KSF-TRIAL-BAL-2021'!R531+'RA-TRIAL-BAL-2021'!R531+'DES-TRIAL-BAL-2021'!R531+'DMP-TRIAL-BAL-2021'!R531</f>
        <v>0</v>
      </c>
      <c r="Z531" s="528">
        <f>+'NF-KSF-TRIAL-BAL-2021'!S531+'RA-TRIAL-BAL-2021'!S531+'DES-TRIAL-BAL-2021'!S531+'DMP-TRIAL-BAL-2021'!S531</f>
        <v>0</v>
      </c>
      <c r="AA531" s="347">
        <f>+'NF-KSF-TRIAL-BAL-2021'!T531+'RA-TRIAL-BAL-2021'!T531+'DES-TRIAL-BAL-2021'!T531+'DMP-TRIAL-BAL-2021'!T531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97">
        <f t="shared" si="244"/>
        <v>6447</v>
      </c>
      <c r="AK531" s="8">
        <v>0</v>
      </c>
      <c r="AL531" s="9">
        <v>0</v>
      </c>
      <c r="AM531" s="326">
        <f t="shared" si="251"/>
        <v>0</v>
      </c>
      <c r="AN531" s="970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58">
        <f t="shared" si="264"/>
        <v>0</v>
      </c>
      <c r="AS531" s="359">
        <f t="shared" si="265"/>
        <v>0</v>
      </c>
      <c r="AT531" s="360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25"/>
      <c r="R532" s="324"/>
      <c r="S532" s="27">
        <f t="shared" si="247"/>
        <v>0</v>
      </c>
      <c r="T532" s="28">
        <f t="shared" si="248"/>
        <v>0</v>
      </c>
      <c r="U532" s="51"/>
      <c r="V532" s="541">
        <f>+'NF-KSF-TRIAL-BAL-2021'!O532+'RA-TRIAL-BAL-2021'!O532+'DES-TRIAL-BAL-2021'!O532+'DMP-TRIAL-BAL-2021'!O532</f>
        <v>0</v>
      </c>
      <c r="W532" s="529">
        <f>+'NF-KSF-TRIAL-BAL-2021'!P532+'RA-TRIAL-BAL-2021'!P532+'DES-TRIAL-BAL-2021'!P532+'DMP-TRIAL-BAL-2021'!P532</f>
        <v>0</v>
      </c>
      <c r="X532" s="528">
        <f>+'NF-KSF-TRIAL-BAL-2021'!Q532+'RA-TRIAL-BAL-2021'!Q532+'DES-TRIAL-BAL-2021'!Q532+'DMP-TRIAL-BAL-2021'!Q532</f>
        <v>0</v>
      </c>
      <c r="Y532" s="529">
        <f>+'NF-KSF-TRIAL-BAL-2021'!R532+'RA-TRIAL-BAL-2021'!R532+'DES-TRIAL-BAL-2021'!R532+'DMP-TRIAL-BAL-2021'!R532</f>
        <v>0</v>
      </c>
      <c r="Z532" s="528">
        <f>+'NF-KSF-TRIAL-BAL-2021'!S532+'RA-TRIAL-BAL-2021'!S532+'DES-TRIAL-BAL-2021'!S532+'DMP-TRIAL-BAL-2021'!S532</f>
        <v>0</v>
      </c>
      <c r="AA532" s="347">
        <f>+'NF-KSF-TRIAL-BAL-2021'!T532+'RA-TRIAL-BAL-2021'!T532+'DES-TRIAL-BAL-2021'!T532+'DMP-TRIAL-BAL-2021'!T532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97">
        <f t="shared" si="244"/>
        <v>6448</v>
      </c>
      <c r="AK532" s="8">
        <v>0</v>
      </c>
      <c r="AL532" s="9">
        <v>0</v>
      </c>
      <c r="AM532" s="326">
        <f t="shared" si="251"/>
        <v>0</v>
      </c>
      <c r="AN532" s="970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58">
        <f t="shared" si="264"/>
        <v>0</v>
      </c>
      <c r="AS532" s="359">
        <f t="shared" si="265"/>
        <v>0</v>
      </c>
      <c r="AT532" s="360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25"/>
      <c r="R533" s="324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41">
        <f>+'NF-KSF-TRIAL-BAL-2021'!O533+'RA-TRIAL-BAL-2021'!O533+'DES-TRIAL-BAL-2021'!O533+'DMP-TRIAL-BAL-2021'!O533</f>
        <v>0</v>
      </c>
      <c r="W533" s="529">
        <f>+'NF-KSF-TRIAL-BAL-2021'!P533+'RA-TRIAL-BAL-2021'!P533+'DES-TRIAL-BAL-2021'!P533+'DMP-TRIAL-BAL-2021'!P533</f>
        <v>0</v>
      </c>
      <c r="X533" s="528">
        <f>+'NF-KSF-TRIAL-BAL-2021'!Q533+'RA-TRIAL-BAL-2021'!Q533+'DES-TRIAL-BAL-2021'!Q533+'DMP-TRIAL-BAL-2021'!Q533</f>
        <v>0</v>
      </c>
      <c r="Y533" s="529">
        <f>+'NF-KSF-TRIAL-BAL-2021'!R533+'RA-TRIAL-BAL-2021'!R533+'DES-TRIAL-BAL-2021'!R533+'DMP-TRIAL-BAL-2021'!R533</f>
        <v>0</v>
      </c>
      <c r="Z533" s="528">
        <f>+'NF-KSF-TRIAL-BAL-2021'!S533+'RA-TRIAL-BAL-2021'!S533+'DES-TRIAL-BAL-2021'!S533+'DMP-TRIAL-BAL-2021'!S533</f>
        <v>0</v>
      </c>
      <c r="AA533" s="347">
        <f>+'NF-KSF-TRIAL-BAL-2021'!T533+'RA-TRIAL-BAL-2021'!T533+'DES-TRIAL-BAL-2021'!T533+'DMP-TRIAL-BAL-2021'!T533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97">
        <f>+N533</f>
        <v>6449</v>
      </c>
      <c r="AK533" s="8">
        <v>0</v>
      </c>
      <c r="AL533" s="9">
        <v>0</v>
      </c>
      <c r="AM533" s="326">
        <f t="shared" si="251"/>
        <v>0</v>
      </c>
      <c r="AN533" s="970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58">
        <f>+ROUND(+SUM(AK533-AL533)-SUM(O533-P533)-SUM(V533-W533)-SUM(AC533-AD533),2)</f>
        <v>0</v>
      </c>
      <c r="AS533" s="359">
        <f>+ROUND(+SUM(AM533-AN533)-SUM(Q533-R533)-SUM(X533-Y533)-SUM(AE533-AF533),2)</f>
        <v>0</v>
      </c>
      <c r="AT533" s="360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25">
        <v>196746.41</v>
      </c>
      <c r="R534" s="324"/>
      <c r="S534" s="27">
        <f t="shared" si="247"/>
        <v>196746.41</v>
      </c>
      <c r="T534" s="28">
        <f t="shared" si="248"/>
        <v>0</v>
      </c>
      <c r="U534" s="51"/>
      <c r="V534" s="541">
        <f>+'NF-KSF-TRIAL-BAL-2021'!O534+'RA-TRIAL-BAL-2021'!O534+'DES-TRIAL-BAL-2021'!O534+'DMP-TRIAL-BAL-2021'!O534</f>
        <v>0</v>
      </c>
      <c r="W534" s="529">
        <f>+'NF-KSF-TRIAL-BAL-2021'!P534+'RA-TRIAL-BAL-2021'!P534+'DES-TRIAL-BAL-2021'!P534+'DMP-TRIAL-BAL-2021'!P534</f>
        <v>0</v>
      </c>
      <c r="X534" s="528">
        <f>+'NF-KSF-TRIAL-BAL-2021'!Q534+'RA-TRIAL-BAL-2021'!Q534+'DES-TRIAL-BAL-2021'!Q534+'DMP-TRIAL-BAL-2021'!Q534</f>
        <v>0</v>
      </c>
      <c r="Y534" s="529">
        <f>+'NF-KSF-TRIAL-BAL-2021'!R534+'RA-TRIAL-BAL-2021'!R534+'DES-TRIAL-BAL-2021'!R534+'DMP-TRIAL-BAL-2021'!R534</f>
        <v>0</v>
      </c>
      <c r="Z534" s="528">
        <f>+'NF-KSF-TRIAL-BAL-2021'!S534+'RA-TRIAL-BAL-2021'!S534+'DES-TRIAL-BAL-2021'!S534+'DMP-TRIAL-BAL-2021'!S534</f>
        <v>0</v>
      </c>
      <c r="AA534" s="347">
        <f>+'NF-KSF-TRIAL-BAL-2021'!T534+'RA-TRIAL-BAL-2021'!T534+'DES-TRIAL-BAL-2021'!T534+'DMP-TRIAL-BAL-2021'!T534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97">
        <f t="shared" si="244"/>
        <v>6451</v>
      </c>
      <c r="AK534" s="8">
        <v>0</v>
      </c>
      <c r="AL534" s="9">
        <v>0</v>
      </c>
      <c r="AM534" s="326">
        <f t="shared" si="251"/>
        <v>196746.41</v>
      </c>
      <c r="AN534" s="970">
        <f t="shared" si="251"/>
        <v>0</v>
      </c>
      <c r="AO534" s="27">
        <f t="shared" si="245"/>
        <v>196746.41</v>
      </c>
      <c r="AP534" s="28">
        <f t="shared" si="246"/>
        <v>0</v>
      </c>
      <c r="AQ534" s="43"/>
      <c r="AR534" s="358">
        <f t="shared" si="264"/>
        <v>0</v>
      </c>
      <c r="AS534" s="359">
        <f t="shared" si="265"/>
        <v>0</v>
      </c>
      <c r="AT534" s="360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25"/>
      <c r="R535" s="324"/>
      <c r="S535" s="27">
        <f t="shared" si="247"/>
        <v>0</v>
      </c>
      <c r="T535" s="28">
        <f t="shared" si="248"/>
        <v>0</v>
      </c>
      <c r="U535" s="51"/>
      <c r="V535" s="541">
        <f>+'NF-KSF-TRIAL-BAL-2021'!O535+'RA-TRIAL-BAL-2021'!O535+'DES-TRIAL-BAL-2021'!O535+'DMP-TRIAL-BAL-2021'!O535</f>
        <v>0</v>
      </c>
      <c r="W535" s="529">
        <f>+'NF-KSF-TRIAL-BAL-2021'!P535+'RA-TRIAL-BAL-2021'!P535+'DES-TRIAL-BAL-2021'!P535+'DMP-TRIAL-BAL-2021'!P535</f>
        <v>0</v>
      </c>
      <c r="X535" s="528">
        <f>+'NF-KSF-TRIAL-BAL-2021'!Q535+'RA-TRIAL-BAL-2021'!Q535+'DES-TRIAL-BAL-2021'!Q535+'DMP-TRIAL-BAL-2021'!Q535</f>
        <v>0</v>
      </c>
      <c r="Y535" s="529">
        <f>+'NF-KSF-TRIAL-BAL-2021'!R535+'RA-TRIAL-BAL-2021'!R535+'DES-TRIAL-BAL-2021'!R535+'DMP-TRIAL-BAL-2021'!R535</f>
        <v>0</v>
      </c>
      <c r="Z535" s="528">
        <f>+'NF-KSF-TRIAL-BAL-2021'!S535+'RA-TRIAL-BAL-2021'!S535+'DES-TRIAL-BAL-2021'!S535+'DMP-TRIAL-BAL-2021'!S535</f>
        <v>0</v>
      </c>
      <c r="AA535" s="347">
        <f>+'NF-KSF-TRIAL-BAL-2021'!T535+'RA-TRIAL-BAL-2021'!T535+'DES-TRIAL-BAL-2021'!T535+'DMP-TRIAL-BAL-2021'!T535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97">
        <f t="shared" si="244"/>
        <v>6453</v>
      </c>
      <c r="AK535" s="8">
        <v>0</v>
      </c>
      <c r="AL535" s="9">
        <v>0</v>
      </c>
      <c r="AM535" s="326">
        <f t="shared" si="251"/>
        <v>0</v>
      </c>
      <c r="AN535" s="970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58">
        <f t="shared" si="264"/>
        <v>0</v>
      </c>
      <c r="AS535" s="359">
        <f t="shared" si="265"/>
        <v>0</v>
      </c>
      <c r="AT535" s="360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25"/>
      <c r="R536" s="324"/>
      <c r="S536" s="27">
        <f t="shared" si="247"/>
        <v>0</v>
      </c>
      <c r="T536" s="28">
        <f t="shared" si="248"/>
        <v>0</v>
      </c>
      <c r="U536" s="51"/>
      <c r="V536" s="541">
        <f>+'NF-KSF-TRIAL-BAL-2021'!O536+'RA-TRIAL-BAL-2021'!O536+'DES-TRIAL-BAL-2021'!O536+'DMP-TRIAL-BAL-2021'!O536</f>
        <v>0</v>
      </c>
      <c r="W536" s="529">
        <f>+'NF-KSF-TRIAL-BAL-2021'!P536+'RA-TRIAL-BAL-2021'!P536+'DES-TRIAL-BAL-2021'!P536+'DMP-TRIAL-BAL-2021'!P536</f>
        <v>0</v>
      </c>
      <c r="X536" s="528">
        <f>+'NF-KSF-TRIAL-BAL-2021'!Q536+'RA-TRIAL-BAL-2021'!Q536+'DES-TRIAL-BAL-2021'!Q536+'DMP-TRIAL-BAL-2021'!Q536</f>
        <v>0</v>
      </c>
      <c r="Y536" s="529">
        <f>+'NF-KSF-TRIAL-BAL-2021'!R536+'RA-TRIAL-BAL-2021'!R536+'DES-TRIAL-BAL-2021'!R536+'DMP-TRIAL-BAL-2021'!R536</f>
        <v>0</v>
      </c>
      <c r="Z536" s="528">
        <f>+'NF-KSF-TRIAL-BAL-2021'!S536+'RA-TRIAL-BAL-2021'!S536+'DES-TRIAL-BAL-2021'!S536+'DMP-TRIAL-BAL-2021'!S536</f>
        <v>0</v>
      </c>
      <c r="AA536" s="347">
        <f>+'NF-KSF-TRIAL-BAL-2021'!T536+'RA-TRIAL-BAL-2021'!T536+'DES-TRIAL-BAL-2021'!T536+'DMP-TRIAL-BAL-2021'!T536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97">
        <f t="shared" si="244"/>
        <v>6454</v>
      </c>
      <c r="AK536" s="8">
        <v>0</v>
      </c>
      <c r="AL536" s="9">
        <v>0</v>
      </c>
      <c r="AM536" s="326">
        <f t="shared" si="251"/>
        <v>0</v>
      </c>
      <c r="AN536" s="970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58">
        <f t="shared" si="264"/>
        <v>0</v>
      </c>
      <c r="AS536" s="359">
        <f t="shared" si="265"/>
        <v>0</v>
      </c>
      <c r="AT536" s="360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25"/>
      <c r="R537" s="324"/>
      <c r="S537" s="27">
        <f t="shared" si="247"/>
        <v>0</v>
      </c>
      <c r="T537" s="28">
        <f t="shared" si="248"/>
        <v>0</v>
      </c>
      <c r="U537" s="51"/>
      <c r="V537" s="541">
        <f>+'NF-KSF-TRIAL-BAL-2021'!O537+'RA-TRIAL-BAL-2021'!O537+'DES-TRIAL-BAL-2021'!O537+'DMP-TRIAL-BAL-2021'!O537</f>
        <v>0</v>
      </c>
      <c r="W537" s="529">
        <f>+'NF-KSF-TRIAL-BAL-2021'!P537+'RA-TRIAL-BAL-2021'!P537+'DES-TRIAL-BAL-2021'!P537+'DMP-TRIAL-BAL-2021'!P537</f>
        <v>0</v>
      </c>
      <c r="X537" s="528">
        <f>+'NF-KSF-TRIAL-BAL-2021'!Q537+'RA-TRIAL-BAL-2021'!Q537+'DES-TRIAL-BAL-2021'!Q537+'DMP-TRIAL-BAL-2021'!Q537</f>
        <v>0</v>
      </c>
      <c r="Y537" s="529">
        <f>+'NF-KSF-TRIAL-BAL-2021'!R537+'RA-TRIAL-BAL-2021'!R537+'DES-TRIAL-BAL-2021'!R537+'DMP-TRIAL-BAL-2021'!R537</f>
        <v>0</v>
      </c>
      <c r="Z537" s="528">
        <f>+'NF-KSF-TRIAL-BAL-2021'!S537+'RA-TRIAL-BAL-2021'!S537+'DES-TRIAL-BAL-2021'!S537+'DMP-TRIAL-BAL-2021'!S537</f>
        <v>0</v>
      </c>
      <c r="AA537" s="347">
        <f>+'NF-KSF-TRIAL-BAL-2021'!T537+'RA-TRIAL-BAL-2021'!T537+'DES-TRIAL-BAL-2021'!T537+'DMP-TRIAL-BAL-2021'!T537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97">
        <f t="shared" si="244"/>
        <v>6455</v>
      </c>
      <c r="AK537" s="8">
        <v>0</v>
      </c>
      <c r="AL537" s="9">
        <v>0</v>
      </c>
      <c r="AM537" s="326">
        <f t="shared" si="251"/>
        <v>0</v>
      </c>
      <c r="AN537" s="970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58">
        <f t="shared" si="264"/>
        <v>0</v>
      </c>
      <c r="AS537" s="359">
        <f t="shared" si="265"/>
        <v>0</v>
      </c>
      <c r="AT537" s="360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25"/>
      <c r="R538" s="324"/>
      <c r="S538" s="27">
        <f t="shared" si="247"/>
        <v>0</v>
      </c>
      <c r="T538" s="28">
        <f t="shared" si="248"/>
        <v>0</v>
      </c>
      <c r="U538" s="51"/>
      <c r="V538" s="541">
        <f>+'NF-KSF-TRIAL-BAL-2021'!O538+'RA-TRIAL-BAL-2021'!O538+'DES-TRIAL-BAL-2021'!O538+'DMP-TRIAL-BAL-2021'!O538</f>
        <v>0</v>
      </c>
      <c r="W538" s="529">
        <f>+'NF-KSF-TRIAL-BAL-2021'!P538+'RA-TRIAL-BAL-2021'!P538+'DES-TRIAL-BAL-2021'!P538+'DMP-TRIAL-BAL-2021'!P538</f>
        <v>0</v>
      </c>
      <c r="X538" s="528">
        <f>+'NF-KSF-TRIAL-BAL-2021'!Q538+'RA-TRIAL-BAL-2021'!Q538+'DES-TRIAL-BAL-2021'!Q538+'DMP-TRIAL-BAL-2021'!Q538</f>
        <v>0</v>
      </c>
      <c r="Y538" s="529">
        <f>+'NF-KSF-TRIAL-BAL-2021'!R538+'RA-TRIAL-BAL-2021'!R538+'DES-TRIAL-BAL-2021'!R538+'DMP-TRIAL-BAL-2021'!R538</f>
        <v>0</v>
      </c>
      <c r="Z538" s="528">
        <f>+'NF-KSF-TRIAL-BAL-2021'!S538+'RA-TRIAL-BAL-2021'!S538+'DES-TRIAL-BAL-2021'!S538+'DMP-TRIAL-BAL-2021'!S538</f>
        <v>0</v>
      </c>
      <c r="AA538" s="347">
        <f>+'NF-KSF-TRIAL-BAL-2021'!T538+'RA-TRIAL-BAL-2021'!T538+'DES-TRIAL-BAL-2021'!T538+'DMP-TRIAL-BAL-2021'!T538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97">
        <f t="shared" si="244"/>
        <v>6457</v>
      </c>
      <c r="AK538" s="8">
        <v>0</v>
      </c>
      <c r="AL538" s="9">
        <v>0</v>
      </c>
      <c r="AM538" s="326">
        <f t="shared" si="251"/>
        <v>0</v>
      </c>
      <c r="AN538" s="970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58">
        <f t="shared" si="264"/>
        <v>0</v>
      </c>
      <c r="AS538" s="359">
        <f t="shared" si="265"/>
        <v>0</v>
      </c>
      <c r="AT538" s="360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25"/>
      <c r="R539" s="324"/>
      <c r="S539" s="27">
        <f t="shared" si="247"/>
        <v>0</v>
      </c>
      <c r="T539" s="28">
        <f t="shared" si="248"/>
        <v>0</v>
      </c>
      <c r="U539" s="51"/>
      <c r="V539" s="541">
        <f>+'NF-KSF-TRIAL-BAL-2021'!O539+'RA-TRIAL-BAL-2021'!O539+'DES-TRIAL-BAL-2021'!O539+'DMP-TRIAL-BAL-2021'!O539</f>
        <v>0</v>
      </c>
      <c r="W539" s="529">
        <f>+'NF-KSF-TRIAL-BAL-2021'!P539+'RA-TRIAL-BAL-2021'!P539+'DES-TRIAL-BAL-2021'!P539+'DMP-TRIAL-BAL-2021'!P539</f>
        <v>0</v>
      </c>
      <c r="X539" s="528">
        <f>+'NF-KSF-TRIAL-BAL-2021'!Q539+'RA-TRIAL-BAL-2021'!Q539+'DES-TRIAL-BAL-2021'!Q539+'DMP-TRIAL-BAL-2021'!Q539</f>
        <v>0</v>
      </c>
      <c r="Y539" s="529">
        <f>+'NF-KSF-TRIAL-BAL-2021'!R539+'RA-TRIAL-BAL-2021'!R539+'DES-TRIAL-BAL-2021'!R539+'DMP-TRIAL-BAL-2021'!R539</f>
        <v>0</v>
      </c>
      <c r="Z539" s="528">
        <f>+'NF-KSF-TRIAL-BAL-2021'!S539+'RA-TRIAL-BAL-2021'!S539+'DES-TRIAL-BAL-2021'!S539+'DMP-TRIAL-BAL-2021'!S539</f>
        <v>0</v>
      </c>
      <c r="AA539" s="347">
        <f>+'NF-KSF-TRIAL-BAL-2021'!T539+'RA-TRIAL-BAL-2021'!T539+'DES-TRIAL-BAL-2021'!T539+'DMP-TRIAL-BAL-2021'!T539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97">
        <f t="shared" si="244"/>
        <v>6458</v>
      </c>
      <c r="AK539" s="8">
        <v>0</v>
      </c>
      <c r="AL539" s="9">
        <v>0</v>
      </c>
      <c r="AM539" s="326">
        <f t="shared" si="251"/>
        <v>0</v>
      </c>
      <c r="AN539" s="970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58">
        <f t="shared" si="264"/>
        <v>0</v>
      </c>
      <c r="AS539" s="359">
        <f t="shared" si="265"/>
        <v>0</v>
      </c>
      <c r="AT539" s="360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25"/>
      <c r="R540" s="324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41">
        <f>+'NF-KSF-TRIAL-BAL-2021'!O540+'RA-TRIAL-BAL-2021'!O540+'DES-TRIAL-BAL-2021'!O540+'DMP-TRIAL-BAL-2021'!O540</f>
        <v>0</v>
      </c>
      <c r="W540" s="529">
        <f>+'NF-KSF-TRIAL-BAL-2021'!P540+'RA-TRIAL-BAL-2021'!P540+'DES-TRIAL-BAL-2021'!P540+'DMP-TRIAL-BAL-2021'!P540</f>
        <v>0</v>
      </c>
      <c r="X540" s="528">
        <f>+'NF-KSF-TRIAL-BAL-2021'!Q540+'RA-TRIAL-BAL-2021'!Q540+'DES-TRIAL-BAL-2021'!Q540+'DMP-TRIAL-BAL-2021'!Q540</f>
        <v>0</v>
      </c>
      <c r="Y540" s="529">
        <f>+'NF-KSF-TRIAL-BAL-2021'!R540+'RA-TRIAL-BAL-2021'!R540+'DES-TRIAL-BAL-2021'!R540+'DMP-TRIAL-BAL-2021'!R540</f>
        <v>0</v>
      </c>
      <c r="Z540" s="528">
        <f>+'NF-KSF-TRIAL-BAL-2021'!S540+'RA-TRIAL-BAL-2021'!S540+'DES-TRIAL-BAL-2021'!S540+'DMP-TRIAL-BAL-2021'!S540</f>
        <v>0</v>
      </c>
      <c r="AA540" s="347">
        <f>+'NF-KSF-TRIAL-BAL-2021'!T540+'RA-TRIAL-BAL-2021'!T540+'DES-TRIAL-BAL-2021'!T540+'DMP-TRIAL-BAL-2021'!T540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97">
        <f t="shared" ref="AJ540:AJ549" si="272">+N540</f>
        <v>6460</v>
      </c>
      <c r="AK540" s="8">
        <v>0</v>
      </c>
      <c r="AL540" s="9">
        <v>0</v>
      </c>
      <c r="AM540" s="326">
        <f t="shared" ref="AM540:AM549" si="273">+ROUND(+Q540+X540+AE540,2)</f>
        <v>0</v>
      </c>
      <c r="AN540" s="970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58">
        <f t="shared" ref="AR540:AR549" si="275">+ROUND(+SUM(AK540-AL540)-SUM(O540-P540)-SUM(V540-W540)-SUM(AC540-AD540),2)</f>
        <v>0</v>
      </c>
      <c r="AS540" s="359">
        <f t="shared" ref="AS540:AS549" si="276">+ROUND(+SUM(AM540-AN540)-SUM(Q540-R540)-SUM(X540-Y540)-SUM(AE540-AF540),2)</f>
        <v>0</v>
      </c>
      <c r="AT540" s="360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25"/>
      <c r="R541" s="324"/>
      <c r="S541" s="27">
        <f t="shared" si="268"/>
        <v>0</v>
      </c>
      <c r="T541" s="28">
        <f t="shared" si="269"/>
        <v>0</v>
      </c>
      <c r="U541" s="51"/>
      <c r="V541" s="541">
        <f>+'NF-KSF-TRIAL-BAL-2021'!O541+'RA-TRIAL-BAL-2021'!O541+'DES-TRIAL-BAL-2021'!O541+'DMP-TRIAL-BAL-2021'!O541</f>
        <v>0</v>
      </c>
      <c r="W541" s="529">
        <f>+'NF-KSF-TRIAL-BAL-2021'!P541+'RA-TRIAL-BAL-2021'!P541+'DES-TRIAL-BAL-2021'!P541+'DMP-TRIAL-BAL-2021'!P541</f>
        <v>0</v>
      </c>
      <c r="X541" s="528">
        <f>+'NF-KSF-TRIAL-BAL-2021'!Q541+'RA-TRIAL-BAL-2021'!Q541+'DES-TRIAL-BAL-2021'!Q541+'DMP-TRIAL-BAL-2021'!Q541</f>
        <v>0</v>
      </c>
      <c r="Y541" s="529">
        <f>+'NF-KSF-TRIAL-BAL-2021'!R541+'RA-TRIAL-BAL-2021'!R541+'DES-TRIAL-BAL-2021'!R541+'DMP-TRIAL-BAL-2021'!R541</f>
        <v>0</v>
      </c>
      <c r="Z541" s="528">
        <f>+'NF-KSF-TRIAL-BAL-2021'!S541+'RA-TRIAL-BAL-2021'!S541+'DES-TRIAL-BAL-2021'!S541+'DMP-TRIAL-BAL-2021'!S541</f>
        <v>0</v>
      </c>
      <c r="AA541" s="347">
        <f>+'NF-KSF-TRIAL-BAL-2021'!T541+'RA-TRIAL-BAL-2021'!T541+'DES-TRIAL-BAL-2021'!T541+'DMP-TRIAL-BAL-2021'!T541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97">
        <f t="shared" si="272"/>
        <v>6461</v>
      </c>
      <c r="AK541" s="8">
        <v>0</v>
      </c>
      <c r="AL541" s="9">
        <v>0</v>
      </c>
      <c r="AM541" s="326">
        <f t="shared" si="273"/>
        <v>0</v>
      </c>
      <c r="AN541" s="970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58">
        <f t="shared" si="275"/>
        <v>0</v>
      </c>
      <c r="AS541" s="359">
        <f t="shared" si="276"/>
        <v>0</v>
      </c>
      <c r="AT541" s="360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25"/>
      <c r="R542" s="324"/>
      <c r="S542" s="27">
        <f t="shared" si="268"/>
        <v>0</v>
      </c>
      <c r="T542" s="28">
        <f t="shared" si="269"/>
        <v>0</v>
      </c>
      <c r="U542" s="51"/>
      <c r="V542" s="541">
        <f>+'NF-KSF-TRIAL-BAL-2021'!O542+'RA-TRIAL-BAL-2021'!O542+'DES-TRIAL-BAL-2021'!O542+'DMP-TRIAL-BAL-2021'!O542</f>
        <v>0</v>
      </c>
      <c r="W542" s="529">
        <f>+'NF-KSF-TRIAL-BAL-2021'!P542+'RA-TRIAL-BAL-2021'!P542+'DES-TRIAL-BAL-2021'!P542+'DMP-TRIAL-BAL-2021'!P542</f>
        <v>0</v>
      </c>
      <c r="X542" s="528">
        <f>+'NF-KSF-TRIAL-BAL-2021'!Q542+'RA-TRIAL-BAL-2021'!Q542+'DES-TRIAL-BAL-2021'!Q542+'DMP-TRIAL-BAL-2021'!Q542</f>
        <v>0</v>
      </c>
      <c r="Y542" s="529">
        <f>+'NF-KSF-TRIAL-BAL-2021'!R542+'RA-TRIAL-BAL-2021'!R542+'DES-TRIAL-BAL-2021'!R542+'DMP-TRIAL-BAL-2021'!R542</f>
        <v>0</v>
      </c>
      <c r="Z542" s="528">
        <f>+'NF-KSF-TRIAL-BAL-2021'!S542+'RA-TRIAL-BAL-2021'!S542+'DES-TRIAL-BAL-2021'!S542+'DMP-TRIAL-BAL-2021'!S542</f>
        <v>0</v>
      </c>
      <c r="AA542" s="347">
        <f>+'NF-KSF-TRIAL-BAL-2021'!T542+'RA-TRIAL-BAL-2021'!T542+'DES-TRIAL-BAL-2021'!T542+'DMP-TRIAL-BAL-2021'!T542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97">
        <f t="shared" si="272"/>
        <v>6462</v>
      </c>
      <c r="AK542" s="8">
        <v>0</v>
      </c>
      <c r="AL542" s="9">
        <v>0</v>
      </c>
      <c r="AM542" s="326">
        <f t="shared" si="273"/>
        <v>0</v>
      </c>
      <c r="AN542" s="970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58">
        <f t="shared" si="275"/>
        <v>0</v>
      </c>
      <c r="AS542" s="359">
        <f t="shared" si="276"/>
        <v>0</v>
      </c>
      <c r="AT542" s="360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25"/>
      <c r="R543" s="324"/>
      <c r="S543" s="27">
        <f t="shared" si="268"/>
        <v>0</v>
      </c>
      <c r="T543" s="28">
        <f t="shared" si="269"/>
        <v>0</v>
      </c>
      <c r="U543" s="51"/>
      <c r="V543" s="541">
        <f>+'NF-KSF-TRIAL-BAL-2021'!O543+'RA-TRIAL-BAL-2021'!O543+'DES-TRIAL-BAL-2021'!O543+'DMP-TRIAL-BAL-2021'!O543</f>
        <v>0</v>
      </c>
      <c r="W543" s="529">
        <f>+'NF-KSF-TRIAL-BAL-2021'!P543+'RA-TRIAL-BAL-2021'!P543+'DES-TRIAL-BAL-2021'!P543+'DMP-TRIAL-BAL-2021'!P543</f>
        <v>0</v>
      </c>
      <c r="X543" s="528">
        <f>+'NF-KSF-TRIAL-BAL-2021'!Q543+'RA-TRIAL-BAL-2021'!Q543+'DES-TRIAL-BAL-2021'!Q543+'DMP-TRIAL-BAL-2021'!Q543</f>
        <v>0</v>
      </c>
      <c r="Y543" s="529">
        <f>+'NF-KSF-TRIAL-BAL-2021'!R543+'RA-TRIAL-BAL-2021'!R543+'DES-TRIAL-BAL-2021'!R543+'DMP-TRIAL-BAL-2021'!R543</f>
        <v>0</v>
      </c>
      <c r="Z543" s="528">
        <f>+'NF-KSF-TRIAL-BAL-2021'!S543+'RA-TRIAL-BAL-2021'!S543+'DES-TRIAL-BAL-2021'!S543+'DMP-TRIAL-BAL-2021'!S543</f>
        <v>0</v>
      </c>
      <c r="AA543" s="347">
        <f>+'NF-KSF-TRIAL-BAL-2021'!T543+'RA-TRIAL-BAL-2021'!T543+'DES-TRIAL-BAL-2021'!T543+'DMP-TRIAL-BAL-2021'!T543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97">
        <f t="shared" si="272"/>
        <v>6463</v>
      </c>
      <c r="AK543" s="8">
        <v>0</v>
      </c>
      <c r="AL543" s="9">
        <v>0</v>
      </c>
      <c r="AM543" s="326">
        <f t="shared" si="273"/>
        <v>0</v>
      </c>
      <c r="AN543" s="970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58">
        <f t="shared" si="275"/>
        <v>0</v>
      </c>
      <c r="AS543" s="359">
        <f t="shared" si="276"/>
        <v>0</v>
      </c>
      <c r="AT543" s="360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25"/>
      <c r="R544" s="324"/>
      <c r="S544" s="27">
        <f t="shared" si="268"/>
        <v>0</v>
      </c>
      <c r="T544" s="28">
        <f t="shared" si="269"/>
        <v>0</v>
      </c>
      <c r="U544" s="51"/>
      <c r="V544" s="541">
        <f>+'NF-KSF-TRIAL-BAL-2021'!O544+'RA-TRIAL-BAL-2021'!O544+'DES-TRIAL-BAL-2021'!O544+'DMP-TRIAL-BAL-2021'!O544</f>
        <v>0</v>
      </c>
      <c r="W544" s="529">
        <f>+'NF-KSF-TRIAL-BAL-2021'!P544+'RA-TRIAL-BAL-2021'!P544+'DES-TRIAL-BAL-2021'!P544+'DMP-TRIAL-BAL-2021'!P544</f>
        <v>0</v>
      </c>
      <c r="X544" s="528">
        <f>+'NF-KSF-TRIAL-BAL-2021'!Q544+'RA-TRIAL-BAL-2021'!Q544+'DES-TRIAL-BAL-2021'!Q544+'DMP-TRIAL-BAL-2021'!Q544</f>
        <v>0</v>
      </c>
      <c r="Y544" s="529">
        <f>+'NF-KSF-TRIAL-BAL-2021'!R544+'RA-TRIAL-BAL-2021'!R544+'DES-TRIAL-BAL-2021'!R544+'DMP-TRIAL-BAL-2021'!R544</f>
        <v>0</v>
      </c>
      <c r="Z544" s="528">
        <f>+'NF-KSF-TRIAL-BAL-2021'!S544+'RA-TRIAL-BAL-2021'!S544+'DES-TRIAL-BAL-2021'!S544+'DMP-TRIAL-BAL-2021'!S544</f>
        <v>0</v>
      </c>
      <c r="AA544" s="347">
        <f>+'NF-KSF-TRIAL-BAL-2021'!T544+'RA-TRIAL-BAL-2021'!T544+'DES-TRIAL-BAL-2021'!T544+'DMP-TRIAL-BAL-2021'!T544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97">
        <f t="shared" si="272"/>
        <v>6464</v>
      </c>
      <c r="AK544" s="8">
        <v>0</v>
      </c>
      <c r="AL544" s="9">
        <v>0</v>
      </c>
      <c r="AM544" s="326">
        <f t="shared" si="273"/>
        <v>0</v>
      </c>
      <c r="AN544" s="970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58">
        <f t="shared" si="275"/>
        <v>0</v>
      </c>
      <c r="AS544" s="359">
        <f t="shared" si="276"/>
        <v>0</v>
      </c>
      <c r="AT544" s="360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25"/>
      <c r="R545" s="324"/>
      <c r="S545" s="27">
        <f t="shared" si="268"/>
        <v>0</v>
      </c>
      <c r="T545" s="28">
        <f t="shared" si="269"/>
        <v>0</v>
      </c>
      <c r="U545" s="51"/>
      <c r="V545" s="541">
        <f>+'NF-KSF-TRIAL-BAL-2021'!O545+'RA-TRIAL-BAL-2021'!O545+'DES-TRIAL-BAL-2021'!O545+'DMP-TRIAL-BAL-2021'!O545</f>
        <v>0</v>
      </c>
      <c r="W545" s="529">
        <f>+'NF-KSF-TRIAL-BAL-2021'!P545+'RA-TRIAL-BAL-2021'!P545+'DES-TRIAL-BAL-2021'!P545+'DMP-TRIAL-BAL-2021'!P545</f>
        <v>0</v>
      </c>
      <c r="X545" s="528">
        <f>+'NF-KSF-TRIAL-BAL-2021'!Q545+'RA-TRIAL-BAL-2021'!Q545+'DES-TRIAL-BAL-2021'!Q545+'DMP-TRIAL-BAL-2021'!Q545</f>
        <v>0</v>
      </c>
      <c r="Y545" s="529">
        <f>+'NF-KSF-TRIAL-BAL-2021'!R545+'RA-TRIAL-BAL-2021'!R545+'DES-TRIAL-BAL-2021'!R545+'DMP-TRIAL-BAL-2021'!R545</f>
        <v>0</v>
      </c>
      <c r="Z545" s="528">
        <f>+'NF-KSF-TRIAL-BAL-2021'!S545+'RA-TRIAL-BAL-2021'!S545+'DES-TRIAL-BAL-2021'!S545+'DMP-TRIAL-BAL-2021'!S545</f>
        <v>0</v>
      </c>
      <c r="AA545" s="347">
        <f>+'NF-KSF-TRIAL-BAL-2021'!T545+'RA-TRIAL-BAL-2021'!T545+'DES-TRIAL-BAL-2021'!T545+'DMP-TRIAL-BAL-2021'!T545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97">
        <f t="shared" si="272"/>
        <v>6465</v>
      </c>
      <c r="AK545" s="8">
        <v>0</v>
      </c>
      <c r="AL545" s="9">
        <v>0</v>
      </c>
      <c r="AM545" s="326">
        <f t="shared" si="273"/>
        <v>0</v>
      </c>
      <c r="AN545" s="970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58">
        <f t="shared" si="275"/>
        <v>0</v>
      </c>
      <c r="AS545" s="359">
        <f t="shared" si="276"/>
        <v>0</v>
      </c>
      <c r="AT545" s="360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25"/>
      <c r="R546" s="324"/>
      <c r="S546" s="27">
        <f t="shared" si="268"/>
        <v>0</v>
      </c>
      <c r="T546" s="28">
        <f t="shared" si="269"/>
        <v>0</v>
      </c>
      <c r="U546" s="51"/>
      <c r="V546" s="541">
        <f>+'NF-KSF-TRIAL-BAL-2021'!O546+'RA-TRIAL-BAL-2021'!O546+'DES-TRIAL-BAL-2021'!O546+'DMP-TRIAL-BAL-2021'!O546</f>
        <v>0</v>
      </c>
      <c r="W546" s="529">
        <f>+'NF-KSF-TRIAL-BAL-2021'!P546+'RA-TRIAL-BAL-2021'!P546+'DES-TRIAL-BAL-2021'!P546+'DMP-TRIAL-BAL-2021'!P546</f>
        <v>0</v>
      </c>
      <c r="X546" s="528">
        <f>+'NF-KSF-TRIAL-BAL-2021'!Q546+'RA-TRIAL-BAL-2021'!Q546+'DES-TRIAL-BAL-2021'!Q546+'DMP-TRIAL-BAL-2021'!Q546</f>
        <v>0</v>
      </c>
      <c r="Y546" s="529">
        <f>+'NF-KSF-TRIAL-BAL-2021'!R546+'RA-TRIAL-BAL-2021'!R546+'DES-TRIAL-BAL-2021'!R546+'DMP-TRIAL-BAL-2021'!R546</f>
        <v>0</v>
      </c>
      <c r="Z546" s="528">
        <f>+'NF-KSF-TRIAL-BAL-2021'!S546+'RA-TRIAL-BAL-2021'!S546+'DES-TRIAL-BAL-2021'!S546+'DMP-TRIAL-BAL-2021'!S546</f>
        <v>0</v>
      </c>
      <c r="AA546" s="347">
        <f>+'NF-KSF-TRIAL-BAL-2021'!T546+'RA-TRIAL-BAL-2021'!T546+'DES-TRIAL-BAL-2021'!T546+'DMP-TRIAL-BAL-2021'!T546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97">
        <f t="shared" si="272"/>
        <v>6466</v>
      </c>
      <c r="AK546" s="8">
        <v>0</v>
      </c>
      <c r="AL546" s="9">
        <v>0</v>
      </c>
      <c r="AM546" s="326">
        <f t="shared" si="273"/>
        <v>0</v>
      </c>
      <c r="AN546" s="970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58">
        <f t="shared" si="275"/>
        <v>0</v>
      </c>
      <c r="AS546" s="359">
        <f t="shared" si="276"/>
        <v>0</v>
      </c>
      <c r="AT546" s="360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25"/>
      <c r="R547" s="324"/>
      <c r="S547" s="27">
        <f t="shared" si="268"/>
        <v>0</v>
      </c>
      <c r="T547" s="28">
        <f t="shared" si="269"/>
        <v>0</v>
      </c>
      <c r="U547" s="51"/>
      <c r="V547" s="541">
        <f>+'NF-KSF-TRIAL-BAL-2021'!O547+'RA-TRIAL-BAL-2021'!O547+'DES-TRIAL-BAL-2021'!O547+'DMP-TRIAL-BAL-2021'!O547</f>
        <v>0</v>
      </c>
      <c r="W547" s="529">
        <f>+'NF-KSF-TRIAL-BAL-2021'!P547+'RA-TRIAL-BAL-2021'!P547+'DES-TRIAL-BAL-2021'!P547+'DMP-TRIAL-BAL-2021'!P547</f>
        <v>0</v>
      </c>
      <c r="X547" s="528">
        <f>+'NF-KSF-TRIAL-BAL-2021'!Q547+'RA-TRIAL-BAL-2021'!Q547+'DES-TRIAL-BAL-2021'!Q547+'DMP-TRIAL-BAL-2021'!Q547</f>
        <v>0</v>
      </c>
      <c r="Y547" s="529">
        <f>+'NF-KSF-TRIAL-BAL-2021'!R547+'RA-TRIAL-BAL-2021'!R547+'DES-TRIAL-BAL-2021'!R547+'DMP-TRIAL-BAL-2021'!R547</f>
        <v>0</v>
      </c>
      <c r="Z547" s="528">
        <f>+'NF-KSF-TRIAL-BAL-2021'!S547+'RA-TRIAL-BAL-2021'!S547+'DES-TRIAL-BAL-2021'!S547+'DMP-TRIAL-BAL-2021'!S547</f>
        <v>0</v>
      </c>
      <c r="AA547" s="347">
        <f>+'NF-KSF-TRIAL-BAL-2021'!T547+'RA-TRIAL-BAL-2021'!T547+'DES-TRIAL-BAL-2021'!T547+'DMP-TRIAL-BAL-2021'!T547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97">
        <f t="shared" si="272"/>
        <v>6467</v>
      </c>
      <c r="AK547" s="8">
        <v>0</v>
      </c>
      <c r="AL547" s="9">
        <v>0</v>
      </c>
      <c r="AM547" s="326">
        <f t="shared" si="273"/>
        <v>0</v>
      </c>
      <c r="AN547" s="970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58">
        <f t="shared" si="275"/>
        <v>0</v>
      </c>
      <c r="AS547" s="359">
        <f t="shared" si="276"/>
        <v>0</v>
      </c>
      <c r="AT547" s="360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25"/>
      <c r="R548" s="324"/>
      <c r="S548" s="27">
        <f t="shared" si="268"/>
        <v>0</v>
      </c>
      <c r="T548" s="28">
        <f t="shared" si="269"/>
        <v>0</v>
      </c>
      <c r="U548" s="51"/>
      <c r="V548" s="541">
        <f>+'NF-KSF-TRIAL-BAL-2021'!O548+'RA-TRIAL-BAL-2021'!O548+'DES-TRIAL-BAL-2021'!O548+'DMP-TRIAL-BAL-2021'!O548</f>
        <v>0</v>
      </c>
      <c r="W548" s="529">
        <f>+'NF-KSF-TRIAL-BAL-2021'!P548+'RA-TRIAL-BAL-2021'!P548+'DES-TRIAL-BAL-2021'!P548+'DMP-TRIAL-BAL-2021'!P548</f>
        <v>0</v>
      </c>
      <c r="X548" s="528">
        <f>+'NF-KSF-TRIAL-BAL-2021'!Q548+'RA-TRIAL-BAL-2021'!Q548+'DES-TRIAL-BAL-2021'!Q548+'DMP-TRIAL-BAL-2021'!Q548</f>
        <v>0</v>
      </c>
      <c r="Y548" s="529">
        <f>+'NF-KSF-TRIAL-BAL-2021'!R548+'RA-TRIAL-BAL-2021'!R548+'DES-TRIAL-BAL-2021'!R548+'DMP-TRIAL-BAL-2021'!R548</f>
        <v>0</v>
      </c>
      <c r="Z548" s="528">
        <f>+'NF-KSF-TRIAL-BAL-2021'!S548+'RA-TRIAL-BAL-2021'!S548+'DES-TRIAL-BAL-2021'!S548+'DMP-TRIAL-BAL-2021'!S548</f>
        <v>0</v>
      </c>
      <c r="AA548" s="347">
        <f>+'NF-KSF-TRIAL-BAL-2021'!T548+'RA-TRIAL-BAL-2021'!T548+'DES-TRIAL-BAL-2021'!T548+'DMP-TRIAL-BAL-2021'!T548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97">
        <f t="shared" si="272"/>
        <v>6468</v>
      </c>
      <c r="AK548" s="8">
        <v>0</v>
      </c>
      <c r="AL548" s="9">
        <v>0</v>
      </c>
      <c r="AM548" s="326">
        <f t="shared" si="273"/>
        <v>0</v>
      </c>
      <c r="AN548" s="970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58">
        <f t="shared" si="275"/>
        <v>0</v>
      </c>
      <c r="AS548" s="359">
        <f t="shared" si="276"/>
        <v>0</v>
      </c>
      <c r="AT548" s="360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25"/>
      <c r="R549" s="324"/>
      <c r="S549" s="27">
        <f t="shared" si="268"/>
        <v>0</v>
      </c>
      <c r="T549" s="28">
        <f t="shared" si="269"/>
        <v>0</v>
      </c>
      <c r="U549" s="51"/>
      <c r="V549" s="541">
        <f>+'NF-KSF-TRIAL-BAL-2021'!O549+'RA-TRIAL-BAL-2021'!O549+'DES-TRIAL-BAL-2021'!O549+'DMP-TRIAL-BAL-2021'!O549</f>
        <v>0</v>
      </c>
      <c r="W549" s="529">
        <f>+'NF-KSF-TRIAL-BAL-2021'!P549+'RA-TRIAL-BAL-2021'!P549+'DES-TRIAL-BAL-2021'!P549+'DMP-TRIAL-BAL-2021'!P549</f>
        <v>0</v>
      </c>
      <c r="X549" s="528">
        <f>+'NF-KSF-TRIAL-BAL-2021'!Q549+'RA-TRIAL-BAL-2021'!Q549+'DES-TRIAL-BAL-2021'!Q549+'DMP-TRIAL-BAL-2021'!Q549</f>
        <v>0</v>
      </c>
      <c r="Y549" s="529">
        <f>+'NF-KSF-TRIAL-BAL-2021'!R549+'RA-TRIAL-BAL-2021'!R549+'DES-TRIAL-BAL-2021'!R549+'DMP-TRIAL-BAL-2021'!R549</f>
        <v>0</v>
      </c>
      <c r="Z549" s="528">
        <f>+'NF-KSF-TRIAL-BAL-2021'!S549+'RA-TRIAL-BAL-2021'!S549+'DES-TRIAL-BAL-2021'!S549+'DMP-TRIAL-BAL-2021'!S549</f>
        <v>0</v>
      </c>
      <c r="AA549" s="347">
        <f>+'NF-KSF-TRIAL-BAL-2021'!T549+'RA-TRIAL-BAL-2021'!T549+'DES-TRIAL-BAL-2021'!T549+'DMP-TRIAL-BAL-2021'!T549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97">
        <f t="shared" si="272"/>
        <v>6469</v>
      </c>
      <c r="AK549" s="8">
        <v>0</v>
      </c>
      <c r="AL549" s="9">
        <v>0</v>
      </c>
      <c r="AM549" s="326">
        <f t="shared" si="273"/>
        <v>0</v>
      </c>
      <c r="AN549" s="970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58">
        <f t="shared" si="275"/>
        <v>0</v>
      </c>
      <c r="AS549" s="359">
        <f t="shared" si="276"/>
        <v>0</v>
      </c>
      <c r="AT549" s="360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25"/>
      <c r="R550" s="324"/>
      <c r="S550" s="27">
        <f t="shared" si="247"/>
        <v>0</v>
      </c>
      <c r="T550" s="28">
        <f t="shared" si="248"/>
        <v>0</v>
      </c>
      <c r="U550" s="51"/>
      <c r="V550" s="541">
        <f>+'NF-KSF-TRIAL-BAL-2021'!O550+'RA-TRIAL-BAL-2021'!O550+'DES-TRIAL-BAL-2021'!O550+'DMP-TRIAL-BAL-2021'!O550</f>
        <v>0</v>
      </c>
      <c r="W550" s="529">
        <f>+'NF-KSF-TRIAL-BAL-2021'!P550+'RA-TRIAL-BAL-2021'!P550+'DES-TRIAL-BAL-2021'!P550+'DMP-TRIAL-BAL-2021'!P550</f>
        <v>0</v>
      </c>
      <c r="X550" s="528">
        <f>+'NF-KSF-TRIAL-BAL-2021'!Q550+'RA-TRIAL-BAL-2021'!Q550+'DES-TRIAL-BAL-2021'!Q550+'DMP-TRIAL-BAL-2021'!Q550</f>
        <v>0</v>
      </c>
      <c r="Y550" s="529">
        <f>+'NF-KSF-TRIAL-BAL-2021'!R550+'RA-TRIAL-BAL-2021'!R550+'DES-TRIAL-BAL-2021'!R550+'DMP-TRIAL-BAL-2021'!R550</f>
        <v>0</v>
      </c>
      <c r="Z550" s="528">
        <f>+'NF-KSF-TRIAL-BAL-2021'!S550+'RA-TRIAL-BAL-2021'!S550+'DES-TRIAL-BAL-2021'!S550+'DMP-TRIAL-BAL-2021'!S550</f>
        <v>0</v>
      </c>
      <c r="AA550" s="347">
        <f>+'NF-KSF-TRIAL-BAL-2021'!T550+'RA-TRIAL-BAL-2021'!T550+'DES-TRIAL-BAL-2021'!T550+'DMP-TRIAL-BAL-2021'!T550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97">
        <f t="shared" si="244"/>
        <v>6471</v>
      </c>
      <c r="AK550" s="8">
        <v>0</v>
      </c>
      <c r="AL550" s="9">
        <v>0</v>
      </c>
      <c r="AM550" s="326">
        <f t="shared" si="251"/>
        <v>0</v>
      </c>
      <c r="AN550" s="970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58">
        <f t="shared" si="264"/>
        <v>0</v>
      </c>
      <c r="AS550" s="359">
        <f t="shared" si="265"/>
        <v>0</v>
      </c>
      <c r="AT550" s="360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25">
        <v>600</v>
      </c>
      <c r="R551" s="324"/>
      <c r="S551" s="27">
        <f t="shared" si="247"/>
        <v>600</v>
      </c>
      <c r="T551" s="28">
        <f t="shared" si="248"/>
        <v>0</v>
      </c>
      <c r="U551" s="51"/>
      <c r="V551" s="541">
        <f>+'NF-KSF-TRIAL-BAL-2021'!O551+'RA-TRIAL-BAL-2021'!O551+'DES-TRIAL-BAL-2021'!O551+'DMP-TRIAL-BAL-2021'!O551</f>
        <v>0</v>
      </c>
      <c r="W551" s="529">
        <f>+'NF-KSF-TRIAL-BAL-2021'!P551+'RA-TRIAL-BAL-2021'!P551+'DES-TRIAL-BAL-2021'!P551+'DMP-TRIAL-BAL-2021'!P551</f>
        <v>0</v>
      </c>
      <c r="X551" s="528">
        <f>+'NF-KSF-TRIAL-BAL-2021'!Q551+'RA-TRIAL-BAL-2021'!Q551+'DES-TRIAL-BAL-2021'!Q551+'DMP-TRIAL-BAL-2021'!Q551</f>
        <v>0</v>
      </c>
      <c r="Y551" s="529">
        <f>+'NF-KSF-TRIAL-BAL-2021'!R551+'RA-TRIAL-BAL-2021'!R551+'DES-TRIAL-BAL-2021'!R551+'DMP-TRIAL-BAL-2021'!R551</f>
        <v>0</v>
      </c>
      <c r="Z551" s="528">
        <f>+'NF-KSF-TRIAL-BAL-2021'!S551+'RA-TRIAL-BAL-2021'!S551+'DES-TRIAL-BAL-2021'!S551+'DMP-TRIAL-BAL-2021'!S551</f>
        <v>0</v>
      </c>
      <c r="AA551" s="347">
        <f>+'NF-KSF-TRIAL-BAL-2021'!T551+'RA-TRIAL-BAL-2021'!T551+'DES-TRIAL-BAL-2021'!T551+'DMP-TRIAL-BAL-2021'!T551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97">
        <f t="shared" si="244"/>
        <v>6473</v>
      </c>
      <c r="AK551" s="8">
        <v>0</v>
      </c>
      <c r="AL551" s="9">
        <v>0</v>
      </c>
      <c r="AM551" s="326">
        <f t="shared" si="251"/>
        <v>600</v>
      </c>
      <c r="AN551" s="970">
        <f t="shared" si="251"/>
        <v>0</v>
      </c>
      <c r="AO551" s="27">
        <f t="shared" si="278"/>
        <v>600</v>
      </c>
      <c r="AP551" s="28">
        <f t="shared" si="279"/>
        <v>0</v>
      </c>
      <c r="AQ551" s="43"/>
      <c r="AR551" s="358">
        <f t="shared" si="264"/>
        <v>0</v>
      </c>
      <c r="AS551" s="359">
        <f t="shared" si="265"/>
        <v>0</v>
      </c>
      <c r="AT551" s="360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25"/>
      <c r="R552" s="324"/>
      <c r="S552" s="27">
        <f t="shared" si="247"/>
        <v>0</v>
      </c>
      <c r="T552" s="28">
        <f t="shared" si="248"/>
        <v>0</v>
      </c>
      <c r="U552" s="51"/>
      <c r="V552" s="541">
        <f>+'NF-KSF-TRIAL-BAL-2021'!O552+'RA-TRIAL-BAL-2021'!O552+'DES-TRIAL-BAL-2021'!O552+'DMP-TRIAL-BAL-2021'!O552</f>
        <v>0</v>
      </c>
      <c r="W552" s="529">
        <f>+'NF-KSF-TRIAL-BAL-2021'!P552+'RA-TRIAL-BAL-2021'!P552+'DES-TRIAL-BAL-2021'!P552+'DMP-TRIAL-BAL-2021'!P552</f>
        <v>0</v>
      </c>
      <c r="X552" s="528">
        <f>+'NF-KSF-TRIAL-BAL-2021'!Q552+'RA-TRIAL-BAL-2021'!Q552+'DES-TRIAL-BAL-2021'!Q552+'DMP-TRIAL-BAL-2021'!Q552</f>
        <v>0</v>
      </c>
      <c r="Y552" s="529">
        <f>+'NF-KSF-TRIAL-BAL-2021'!R552+'RA-TRIAL-BAL-2021'!R552+'DES-TRIAL-BAL-2021'!R552+'DMP-TRIAL-BAL-2021'!R552</f>
        <v>0</v>
      </c>
      <c r="Z552" s="528">
        <f>+'NF-KSF-TRIAL-BAL-2021'!S552+'RA-TRIAL-BAL-2021'!S552+'DES-TRIAL-BAL-2021'!S552+'DMP-TRIAL-BAL-2021'!S552</f>
        <v>0</v>
      </c>
      <c r="AA552" s="347">
        <f>+'NF-KSF-TRIAL-BAL-2021'!T552+'RA-TRIAL-BAL-2021'!T552+'DES-TRIAL-BAL-2021'!T552+'DMP-TRIAL-BAL-2021'!T552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97">
        <f t="shared" si="244"/>
        <v>6475</v>
      </c>
      <c r="AK552" s="8">
        <v>0</v>
      </c>
      <c r="AL552" s="9">
        <v>0</v>
      </c>
      <c r="AM552" s="326">
        <f t="shared" si="251"/>
        <v>0</v>
      </c>
      <c r="AN552" s="970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58">
        <f t="shared" si="264"/>
        <v>0</v>
      </c>
      <c r="AS552" s="359">
        <f t="shared" si="265"/>
        <v>0</v>
      </c>
      <c r="AT552" s="360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25">
        <v>688</v>
      </c>
      <c r="R553" s="324"/>
      <c r="S553" s="27">
        <f t="shared" si="247"/>
        <v>688</v>
      </c>
      <c r="T553" s="28">
        <f t="shared" si="248"/>
        <v>0</v>
      </c>
      <c r="U553" s="51"/>
      <c r="V553" s="541">
        <f>+'NF-KSF-TRIAL-BAL-2021'!O553+'RA-TRIAL-BAL-2021'!O553+'DES-TRIAL-BAL-2021'!O553+'DMP-TRIAL-BAL-2021'!O553</f>
        <v>0</v>
      </c>
      <c r="W553" s="529">
        <f>+'NF-KSF-TRIAL-BAL-2021'!P553+'RA-TRIAL-BAL-2021'!P553+'DES-TRIAL-BAL-2021'!P553+'DMP-TRIAL-BAL-2021'!P553</f>
        <v>0</v>
      </c>
      <c r="X553" s="528">
        <f>+'NF-KSF-TRIAL-BAL-2021'!Q553+'RA-TRIAL-BAL-2021'!Q553+'DES-TRIAL-BAL-2021'!Q553+'DMP-TRIAL-BAL-2021'!Q553</f>
        <v>0</v>
      </c>
      <c r="Y553" s="529">
        <f>+'NF-KSF-TRIAL-BAL-2021'!R553+'RA-TRIAL-BAL-2021'!R553+'DES-TRIAL-BAL-2021'!R553+'DMP-TRIAL-BAL-2021'!R553</f>
        <v>0</v>
      </c>
      <c r="Z553" s="528">
        <f>+'NF-KSF-TRIAL-BAL-2021'!S553+'RA-TRIAL-BAL-2021'!S553+'DES-TRIAL-BAL-2021'!S553+'DMP-TRIAL-BAL-2021'!S553</f>
        <v>0</v>
      </c>
      <c r="AA553" s="347">
        <f>+'NF-KSF-TRIAL-BAL-2021'!T553+'RA-TRIAL-BAL-2021'!T553+'DES-TRIAL-BAL-2021'!T553+'DMP-TRIAL-BAL-2021'!T553</f>
        <v>0</v>
      </c>
      <c r="AB553" s="51"/>
      <c r="AC553" s="8">
        <v>0</v>
      </c>
      <c r="AD553" s="9">
        <v>0</v>
      </c>
      <c r="AE553" s="325"/>
      <c r="AF553" s="324"/>
      <c r="AG553" s="27">
        <f t="shared" si="249"/>
        <v>0</v>
      </c>
      <c r="AH553" s="28">
        <f t="shared" si="250"/>
        <v>0</v>
      </c>
      <c r="AI553" s="51"/>
      <c r="AJ553" s="1497">
        <f t="shared" si="244"/>
        <v>6477</v>
      </c>
      <c r="AK553" s="8">
        <v>0</v>
      </c>
      <c r="AL553" s="9">
        <v>0</v>
      </c>
      <c r="AM553" s="326">
        <f t="shared" si="251"/>
        <v>688</v>
      </c>
      <c r="AN553" s="970">
        <f t="shared" si="251"/>
        <v>0</v>
      </c>
      <c r="AO553" s="27">
        <f t="shared" si="278"/>
        <v>688</v>
      </c>
      <c r="AP553" s="28">
        <f t="shared" si="279"/>
        <v>0</v>
      </c>
      <c r="AQ553" s="43"/>
      <c r="AR553" s="358">
        <f t="shared" si="264"/>
        <v>0</v>
      </c>
      <c r="AS553" s="359">
        <f t="shared" si="265"/>
        <v>0</v>
      </c>
      <c r="AT553" s="360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25"/>
      <c r="R554" s="324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41">
        <f>+'NF-KSF-TRIAL-BAL-2021'!O554+'RA-TRIAL-BAL-2021'!O554+'DES-TRIAL-BAL-2021'!O554+'DMP-TRIAL-BAL-2021'!O554</f>
        <v>0</v>
      </c>
      <c r="W554" s="529">
        <f>+'NF-KSF-TRIAL-BAL-2021'!P554+'RA-TRIAL-BAL-2021'!P554+'DES-TRIAL-BAL-2021'!P554+'DMP-TRIAL-BAL-2021'!P554</f>
        <v>0</v>
      </c>
      <c r="X554" s="528">
        <f>+'NF-KSF-TRIAL-BAL-2021'!Q554+'RA-TRIAL-BAL-2021'!Q554+'DES-TRIAL-BAL-2021'!Q554+'DMP-TRIAL-BAL-2021'!Q554</f>
        <v>0</v>
      </c>
      <c r="Y554" s="529">
        <f>+'NF-KSF-TRIAL-BAL-2021'!R554+'RA-TRIAL-BAL-2021'!R554+'DES-TRIAL-BAL-2021'!R554+'DMP-TRIAL-BAL-2021'!R554</f>
        <v>0</v>
      </c>
      <c r="Z554" s="528">
        <f>+'NF-KSF-TRIAL-BAL-2021'!S554+'RA-TRIAL-BAL-2021'!S554+'DES-TRIAL-BAL-2021'!S554+'DMP-TRIAL-BAL-2021'!S554</f>
        <v>0</v>
      </c>
      <c r="AA554" s="347">
        <f>+'NF-KSF-TRIAL-BAL-2021'!T554+'RA-TRIAL-BAL-2021'!T554+'DES-TRIAL-BAL-2021'!T554+'DMP-TRIAL-BAL-2021'!T554</f>
        <v>0</v>
      </c>
      <c r="AB554" s="51"/>
      <c r="AC554" s="8">
        <v>0</v>
      </c>
      <c r="AD554" s="9">
        <v>0</v>
      </c>
      <c r="AE554" s="325"/>
      <c r="AF554" s="324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97">
        <f>+N554</f>
        <v>6479</v>
      </c>
      <c r="AK554" s="8">
        <v>0</v>
      </c>
      <c r="AL554" s="9">
        <v>0</v>
      </c>
      <c r="AM554" s="326">
        <f t="shared" si="251"/>
        <v>0</v>
      </c>
      <c r="AN554" s="970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58">
        <f>+ROUND(+SUM(AK554-AL554)-SUM(O554-P554)-SUM(V554-W554)-SUM(AC554-AD554),2)</f>
        <v>0</v>
      </c>
      <c r="AS554" s="359">
        <f>+ROUND(+SUM(AM554-AN554)-SUM(Q554-R554)-SUM(X554-Y554)-SUM(AE554-AF554),2)</f>
        <v>0</v>
      </c>
      <c r="AT554" s="360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25"/>
      <c r="R555" s="324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41">
        <f>+'NF-KSF-TRIAL-BAL-2021'!O555+'RA-TRIAL-BAL-2021'!O555+'DES-TRIAL-BAL-2021'!O555+'DMP-TRIAL-BAL-2021'!O555</f>
        <v>0</v>
      </c>
      <c r="W555" s="529">
        <f>+'NF-KSF-TRIAL-BAL-2021'!P555+'RA-TRIAL-BAL-2021'!P555+'DES-TRIAL-BAL-2021'!P555+'DMP-TRIAL-BAL-2021'!P555</f>
        <v>0</v>
      </c>
      <c r="X555" s="528">
        <f>+'NF-KSF-TRIAL-BAL-2021'!Q555+'RA-TRIAL-BAL-2021'!Q555+'DES-TRIAL-BAL-2021'!Q555+'DMP-TRIAL-BAL-2021'!Q555</f>
        <v>0</v>
      </c>
      <c r="Y555" s="529">
        <f>+'NF-KSF-TRIAL-BAL-2021'!R555+'RA-TRIAL-BAL-2021'!R555+'DES-TRIAL-BAL-2021'!R555+'DMP-TRIAL-BAL-2021'!R555</f>
        <v>0</v>
      </c>
      <c r="Z555" s="528">
        <f>+'NF-KSF-TRIAL-BAL-2021'!S555+'RA-TRIAL-BAL-2021'!S555+'DES-TRIAL-BAL-2021'!S555+'DMP-TRIAL-BAL-2021'!S555</f>
        <v>0</v>
      </c>
      <c r="AA555" s="347">
        <f>+'NF-KSF-TRIAL-BAL-2021'!T555+'RA-TRIAL-BAL-2021'!T555+'DES-TRIAL-BAL-2021'!T555+'DMP-TRIAL-BAL-2021'!T555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97">
        <f>+N555</f>
        <v>6480</v>
      </c>
      <c r="AK555" s="8">
        <v>0</v>
      </c>
      <c r="AL555" s="9">
        <v>0</v>
      </c>
      <c r="AM555" s="326">
        <f>+ROUND(+Q555+X555+AE555,2)</f>
        <v>0</v>
      </c>
      <c r="AN555" s="970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58">
        <f>+ROUND(+SUM(AK555-AL555)-SUM(O555-P555)-SUM(V555-W555)-SUM(AC555-AD555),2)</f>
        <v>0</v>
      </c>
      <c r="AS555" s="359">
        <f>+ROUND(+SUM(AM555-AN555)-SUM(Q555-R555)-SUM(X555-Y555)-SUM(AE555-AF555),2)</f>
        <v>0</v>
      </c>
      <c r="AT555" s="360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25"/>
      <c r="R556" s="324"/>
      <c r="S556" s="27">
        <f t="shared" si="247"/>
        <v>0</v>
      </c>
      <c r="T556" s="28">
        <f t="shared" si="248"/>
        <v>0</v>
      </c>
      <c r="U556" s="51"/>
      <c r="V556" s="541">
        <f>+'NF-KSF-TRIAL-BAL-2021'!O556+'RA-TRIAL-BAL-2021'!O556+'DES-TRIAL-BAL-2021'!O556+'DMP-TRIAL-BAL-2021'!O556</f>
        <v>0</v>
      </c>
      <c r="W556" s="529">
        <f>+'NF-KSF-TRIAL-BAL-2021'!P556+'RA-TRIAL-BAL-2021'!P556+'DES-TRIAL-BAL-2021'!P556+'DMP-TRIAL-BAL-2021'!P556</f>
        <v>0</v>
      </c>
      <c r="X556" s="528">
        <f>+'NF-KSF-TRIAL-BAL-2021'!Q556+'RA-TRIAL-BAL-2021'!Q556+'DES-TRIAL-BAL-2021'!Q556+'DMP-TRIAL-BAL-2021'!Q556</f>
        <v>0</v>
      </c>
      <c r="Y556" s="529">
        <f>+'NF-KSF-TRIAL-BAL-2021'!R556+'RA-TRIAL-BAL-2021'!R556+'DES-TRIAL-BAL-2021'!R556+'DMP-TRIAL-BAL-2021'!R556</f>
        <v>0</v>
      </c>
      <c r="Z556" s="528">
        <f>+'NF-KSF-TRIAL-BAL-2021'!S556+'RA-TRIAL-BAL-2021'!S556+'DES-TRIAL-BAL-2021'!S556+'DMP-TRIAL-BAL-2021'!S556</f>
        <v>0</v>
      </c>
      <c r="AA556" s="347">
        <f>+'NF-KSF-TRIAL-BAL-2021'!T556+'RA-TRIAL-BAL-2021'!T556+'DES-TRIAL-BAL-2021'!T556+'DMP-TRIAL-BAL-2021'!T556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97">
        <f t="shared" si="244"/>
        <v>6481</v>
      </c>
      <c r="AK556" s="8">
        <v>0</v>
      </c>
      <c r="AL556" s="9">
        <v>0</v>
      </c>
      <c r="AM556" s="326">
        <f t="shared" si="251"/>
        <v>0</v>
      </c>
      <c r="AN556" s="970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58">
        <f t="shared" si="264"/>
        <v>0</v>
      </c>
      <c r="AS556" s="359">
        <f t="shared" si="265"/>
        <v>0</v>
      </c>
      <c r="AT556" s="360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25"/>
      <c r="R557" s="324"/>
      <c r="S557" s="27">
        <f t="shared" si="247"/>
        <v>0</v>
      </c>
      <c r="T557" s="28">
        <f t="shared" si="248"/>
        <v>0</v>
      </c>
      <c r="U557" s="51"/>
      <c r="V557" s="541">
        <f>+'NF-KSF-TRIAL-BAL-2021'!O557+'RA-TRIAL-BAL-2021'!O557+'DES-TRIAL-BAL-2021'!O557+'DMP-TRIAL-BAL-2021'!O557</f>
        <v>0</v>
      </c>
      <c r="W557" s="529">
        <f>+'NF-KSF-TRIAL-BAL-2021'!P557+'RA-TRIAL-BAL-2021'!P557+'DES-TRIAL-BAL-2021'!P557+'DMP-TRIAL-BAL-2021'!P557</f>
        <v>0</v>
      </c>
      <c r="X557" s="528">
        <f>+'NF-KSF-TRIAL-BAL-2021'!Q557+'RA-TRIAL-BAL-2021'!Q557+'DES-TRIAL-BAL-2021'!Q557+'DMP-TRIAL-BAL-2021'!Q557</f>
        <v>0</v>
      </c>
      <c r="Y557" s="529">
        <f>+'NF-KSF-TRIAL-BAL-2021'!R557+'RA-TRIAL-BAL-2021'!R557+'DES-TRIAL-BAL-2021'!R557+'DMP-TRIAL-BAL-2021'!R557</f>
        <v>0</v>
      </c>
      <c r="Z557" s="528">
        <f>+'NF-KSF-TRIAL-BAL-2021'!S557+'RA-TRIAL-BAL-2021'!S557+'DES-TRIAL-BAL-2021'!S557+'DMP-TRIAL-BAL-2021'!S557</f>
        <v>0</v>
      </c>
      <c r="AA557" s="347">
        <f>+'NF-KSF-TRIAL-BAL-2021'!T557+'RA-TRIAL-BAL-2021'!T557+'DES-TRIAL-BAL-2021'!T557+'DMP-TRIAL-BAL-2021'!T557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97">
        <f t="shared" si="244"/>
        <v>6483</v>
      </c>
      <c r="AK557" s="8">
        <v>0</v>
      </c>
      <c r="AL557" s="9">
        <v>0</v>
      </c>
      <c r="AM557" s="326">
        <f t="shared" si="251"/>
        <v>0</v>
      </c>
      <c r="AN557" s="970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58">
        <f t="shared" si="264"/>
        <v>0</v>
      </c>
      <c r="AS557" s="359">
        <f t="shared" si="265"/>
        <v>0</v>
      </c>
      <c r="AT557" s="360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25"/>
      <c r="R558" s="324"/>
      <c r="S558" s="27">
        <f t="shared" si="247"/>
        <v>0</v>
      </c>
      <c r="T558" s="28">
        <f t="shared" si="248"/>
        <v>0</v>
      </c>
      <c r="U558" s="51"/>
      <c r="V558" s="541">
        <f>+'NF-KSF-TRIAL-BAL-2021'!O558+'RA-TRIAL-BAL-2021'!O558+'DES-TRIAL-BAL-2021'!O558+'DMP-TRIAL-BAL-2021'!O558</f>
        <v>0</v>
      </c>
      <c r="W558" s="529">
        <f>+'NF-KSF-TRIAL-BAL-2021'!P558+'RA-TRIAL-BAL-2021'!P558+'DES-TRIAL-BAL-2021'!P558+'DMP-TRIAL-BAL-2021'!P558</f>
        <v>0</v>
      </c>
      <c r="X558" s="528">
        <f>+'NF-KSF-TRIAL-BAL-2021'!Q558+'RA-TRIAL-BAL-2021'!Q558+'DES-TRIAL-BAL-2021'!Q558+'DMP-TRIAL-BAL-2021'!Q558</f>
        <v>0</v>
      </c>
      <c r="Y558" s="529">
        <f>+'NF-KSF-TRIAL-BAL-2021'!R558+'RA-TRIAL-BAL-2021'!R558+'DES-TRIAL-BAL-2021'!R558+'DMP-TRIAL-BAL-2021'!R558</f>
        <v>0</v>
      </c>
      <c r="Z558" s="528">
        <f>+'NF-KSF-TRIAL-BAL-2021'!S558+'RA-TRIAL-BAL-2021'!S558+'DES-TRIAL-BAL-2021'!S558+'DMP-TRIAL-BAL-2021'!S558</f>
        <v>0</v>
      </c>
      <c r="AA558" s="347">
        <f>+'NF-KSF-TRIAL-BAL-2021'!T558+'RA-TRIAL-BAL-2021'!T558+'DES-TRIAL-BAL-2021'!T558+'DMP-TRIAL-BAL-2021'!T558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97">
        <f t="shared" ref="AJ558:AJ624" si="280">+N558</f>
        <v>6485</v>
      </c>
      <c r="AK558" s="8">
        <v>0</v>
      </c>
      <c r="AL558" s="9">
        <v>0</v>
      </c>
      <c r="AM558" s="326">
        <f t="shared" si="251"/>
        <v>0</v>
      </c>
      <c r="AN558" s="970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58">
        <f t="shared" si="264"/>
        <v>0</v>
      </c>
      <c r="AS558" s="359">
        <f t="shared" si="265"/>
        <v>0</v>
      </c>
      <c r="AT558" s="360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25"/>
      <c r="R559" s="324"/>
      <c r="S559" s="27">
        <f t="shared" si="247"/>
        <v>0</v>
      </c>
      <c r="T559" s="28">
        <f t="shared" si="248"/>
        <v>0</v>
      </c>
      <c r="U559" s="51"/>
      <c r="V559" s="541">
        <f>+'NF-KSF-TRIAL-BAL-2021'!O559+'RA-TRIAL-BAL-2021'!O559+'DES-TRIAL-BAL-2021'!O559+'DMP-TRIAL-BAL-2021'!O559</f>
        <v>0</v>
      </c>
      <c r="W559" s="529">
        <f>+'NF-KSF-TRIAL-BAL-2021'!P559+'RA-TRIAL-BAL-2021'!P559+'DES-TRIAL-BAL-2021'!P559+'DMP-TRIAL-BAL-2021'!P559</f>
        <v>0</v>
      </c>
      <c r="X559" s="528">
        <f>+'NF-KSF-TRIAL-BAL-2021'!Q559+'RA-TRIAL-BAL-2021'!Q559+'DES-TRIAL-BAL-2021'!Q559+'DMP-TRIAL-BAL-2021'!Q559</f>
        <v>0</v>
      </c>
      <c r="Y559" s="529">
        <f>+'NF-KSF-TRIAL-BAL-2021'!R559+'RA-TRIAL-BAL-2021'!R559+'DES-TRIAL-BAL-2021'!R559+'DMP-TRIAL-BAL-2021'!R559</f>
        <v>0</v>
      </c>
      <c r="Z559" s="528">
        <f>+'NF-KSF-TRIAL-BAL-2021'!S559+'RA-TRIAL-BAL-2021'!S559+'DES-TRIAL-BAL-2021'!S559+'DMP-TRIAL-BAL-2021'!S559</f>
        <v>0</v>
      </c>
      <c r="AA559" s="347">
        <f>+'NF-KSF-TRIAL-BAL-2021'!T559+'RA-TRIAL-BAL-2021'!T559+'DES-TRIAL-BAL-2021'!T559+'DMP-TRIAL-BAL-2021'!T559</f>
        <v>0</v>
      </c>
      <c r="AB559" s="51"/>
      <c r="AC559" s="8">
        <v>0</v>
      </c>
      <c r="AD559" s="9">
        <v>0</v>
      </c>
      <c r="AE559" s="325"/>
      <c r="AF559" s="324"/>
      <c r="AG559" s="27">
        <f t="shared" si="249"/>
        <v>0</v>
      </c>
      <c r="AH559" s="28">
        <f t="shared" si="250"/>
        <v>0</v>
      </c>
      <c r="AI559" s="51"/>
      <c r="AJ559" s="1497">
        <f t="shared" si="280"/>
        <v>6487</v>
      </c>
      <c r="AK559" s="8">
        <v>0</v>
      </c>
      <c r="AL559" s="9">
        <v>0</v>
      </c>
      <c r="AM559" s="326">
        <f t="shared" si="251"/>
        <v>0</v>
      </c>
      <c r="AN559" s="970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58">
        <f t="shared" si="264"/>
        <v>0</v>
      </c>
      <c r="AS559" s="359">
        <f t="shared" si="265"/>
        <v>0</v>
      </c>
      <c r="AT559" s="360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25"/>
      <c r="R560" s="324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41">
        <f>+'NF-KSF-TRIAL-BAL-2021'!O560+'RA-TRIAL-BAL-2021'!O560+'DES-TRIAL-BAL-2021'!O560+'DMP-TRIAL-BAL-2021'!O560</f>
        <v>0</v>
      </c>
      <c r="W560" s="529">
        <f>+'NF-KSF-TRIAL-BAL-2021'!P560+'RA-TRIAL-BAL-2021'!P560+'DES-TRIAL-BAL-2021'!P560+'DMP-TRIAL-BAL-2021'!P560</f>
        <v>0</v>
      </c>
      <c r="X560" s="528">
        <f>+'NF-KSF-TRIAL-BAL-2021'!Q560+'RA-TRIAL-BAL-2021'!Q560+'DES-TRIAL-BAL-2021'!Q560+'DMP-TRIAL-BAL-2021'!Q560</f>
        <v>0</v>
      </c>
      <c r="Y560" s="529">
        <f>+'NF-KSF-TRIAL-BAL-2021'!R560+'RA-TRIAL-BAL-2021'!R560+'DES-TRIAL-BAL-2021'!R560+'DMP-TRIAL-BAL-2021'!R560</f>
        <v>0</v>
      </c>
      <c r="Z560" s="528">
        <f>+'NF-KSF-TRIAL-BAL-2021'!S560+'RA-TRIAL-BAL-2021'!S560+'DES-TRIAL-BAL-2021'!S560+'DMP-TRIAL-BAL-2021'!S560</f>
        <v>0</v>
      </c>
      <c r="AA560" s="347">
        <f>+'NF-KSF-TRIAL-BAL-2021'!T560+'RA-TRIAL-BAL-2021'!T560+'DES-TRIAL-BAL-2021'!T560+'DMP-TRIAL-BAL-2021'!T560</f>
        <v>0</v>
      </c>
      <c r="AB560" s="51"/>
      <c r="AC560" s="8">
        <v>0</v>
      </c>
      <c r="AD560" s="9">
        <v>0</v>
      </c>
      <c r="AE560" s="325"/>
      <c r="AF560" s="324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97">
        <f>+N560</f>
        <v>6489</v>
      </c>
      <c r="AK560" s="8">
        <v>0</v>
      </c>
      <c r="AL560" s="9">
        <v>0</v>
      </c>
      <c r="AM560" s="326">
        <f t="shared" si="251"/>
        <v>0</v>
      </c>
      <c r="AN560" s="970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58">
        <f>+ROUND(+SUM(AK560-AL560)-SUM(O560-P560)-SUM(V560-W560)-SUM(AC560-AD560),2)</f>
        <v>0</v>
      </c>
      <c r="AS560" s="359">
        <f>+ROUND(+SUM(AM560-AN560)-SUM(Q560-R560)-SUM(X560-Y560)-SUM(AE560-AF560),2)</f>
        <v>0</v>
      </c>
      <c r="AT560" s="360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25"/>
      <c r="R561" s="324"/>
      <c r="S561" s="27">
        <f t="shared" si="247"/>
        <v>0</v>
      </c>
      <c r="T561" s="28">
        <f t="shared" si="248"/>
        <v>0</v>
      </c>
      <c r="U561" s="51"/>
      <c r="V561" s="541">
        <f>+'NF-KSF-TRIAL-BAL-2021'!O561+'RA-TRIAL-BAL-2021'!O561+'DES-TRIAL-BAL-2021'!O561+'DMP-TRIAL-BAL-2021'!O561</f>
        <v>0</v>
      </c>
      <c r="W561" s="529">
        <f>+'NF-KSF-TRIAL-BAL-2021'!P561+'RA-TRIAL-BAL-2021'!P561+'DES-TRIAL-BAL-2021'!P561+'DMP-TRIAL-BAL-2021'!P561</f>
        <v>0</v>
      </c>
      <c r="X561" s="528">
        <f>+'NF-KSF-TRIAL-BAL-2021'!Q561+'RA-TRIAL-BAL-2021'!Q561+'DES-TRIAL-BAL-2021'!Q561+'DMP-TRIAL-BAL-2021'!Q561</f>
        <v>0</v>
      </c>
      <c r="Y561" s="529">
        <f>+'NF-KSF-TRIAL-BAL-2021'!R561+'RA-TRIAL-BAL-2021'!R561+'DES-TRIAL-BAL-2021'!R561+'DMP-TRIAL-BAL-2021'!R561</f>
        <v>0</v>
      </c>
      <c r="Z561" s="528">
        <f>+'NF-KSF-TRIAL-BAL-2021'!S561+'RA-TRIAL-BAL-2021'!S561+'DES-TRIAL-BAL-2021'!S561+'DMP-TRIAL-BAL-2021'!S561</f>
        <v>0</v>
      </c>
      <c r="AA561" s="347">
        <f>+'NF-KSF-TRIAL-BAL-2021'!T561+'RA-TRIAL-BAL-2021'!T561+'DES-TRIAL-BAL-2021'!T561+'DMP-TRIAL-BAL-2021'!T561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97">
        <f t="shared" si="280"/>
        <v>6491</v>
      </c>
      <c r="AK561" s="8">
        <v>0</v>
      </c>
      <c r="AL561" s="9">
        <v>0</v>
      </c>
      <c r="AM561" s="326">
        <f t="shared" si="251"/>
        <v>0</v>
      </c>
      <c r="AN561" s="970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58">
        <f t="shared" si="264"/>
        <v>0</v>
      </c>
      <c r="AS561" s="359">
        <f t="shared" si="265"/>
        <v>0</v>
      </c>
      <c r="AT561" s="360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25"/>
      <c r="R562" s="324"/>
      <c r="S562" s="27">
        <f t="shared" si="247"/>
        <v>0</v>
      </c>
      <c r="T562" s="28">
        <f t="shared" si="248"/>
        <v>0</v>
      </c>
      <c r="U562" s="51"/>
      <c r="V562" s="541">
        <f>+'NF-KSF-TRIAL-BAL-2021'!O562+'RA-TRIAL-BAL-2021'!O562+'DES-TRIAL-BAL-2021'!O562+'DMP-TRIAL-BAL-2021'!O562</f>
        <v>0</v>
      </c>
      <c r="W562" s="529">
        <f>+'NF-KSF-TRIAL-BAL-2021'!P562+'RA-TRIAL-BAL-2021'!P562+'DES-TRIAL-BAL-2021'!P562+'DMP-TRIAL-BAL-2021'!P562</f>
        <v>0</v>
      </c>
      <c r="X562" s="528">
        <f>+'NF-KSF-TRIAL-BAL-2021'!Q562+'RA-TRIAL-BAL-2021'!Q562+'DES-TRIAL-BAL-2021'!Q562+'DMP-TRIAL-BAL-2021'!Q562</f>
        <v>0</v>
      </c>
      <c r="Y562" s="529">
        <f>+'NF-KSF-TRIAL-BAL-2021'!R562+'RA-TRIAL-BAL-2021'!R562+'DES-TRIAL-BAL-2021'!R562+'DMP-TRIAL-BAL-2021'!R562</f>
        <v>0</v>
      </c>
      <c r="Z562" s="528">
        <f>+'NF-KSF-TRIAL-BAL-2021'!S562+'RA-TRIAL-BAL-2021'!S562+'DES-TRIAL-BAL-2021'!S562+'DMP-TRIAL-BAL-2021'!S562</f>
        <v>0</v>
      </c>
      <c r="AA562" s="347">
        <f>+'NF-KSF-TRIAL-BAL-2021'!T562+'RA-TRIAL-BAL-2021'!T562+'DES-TRIAL-BAL-2021'!T562+'DMP-TRIAL-BAL-2021'!T562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97">
        <f t="shared" si="280"/>
        <v>6493</v>
      </c>
      <c r="AK562" s="8">
        <v>0</v>
      </c>
      <c r="AL562" s="9">
        <v>0</v>
      </c>
      <c r="AM562" s="326">
        <f t="shared" si="251"/>
        <v>0</v>
      </c>
      <c r="AN562" s="970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58">
        <f t="shared" si="264"/>
        <v>0</v>
      </c>
      <c r="AS562" s="359">
        <f t="shared" si="265"/>
        <v>0</v>
      </c>
      <c r="AT562" s="360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25"/>
      <c r="R563" s="324"/>
      <c r="S563" s="27">
        <f t="shared" si="247"/>
        <v>0</v>
      </c>
      <c r="T563" s="28">
        <f t="shared" si="248"/>
        <v>0</v>
      </c>
      <c r="U563" s="51"/>
      <c r="V563" s="541">
        <f>+'NF-KSF-TRIAL-BAL-2021'!O563+'RA-TRIAL-BAL-2021'!O563+'DES-TRIAL-BAL-2021'!O563+'DMP-TRIAL-BAL-2021'!O563</f>
        <v>0</v>
      </c>
      <c r="W563" s="529">
        <f>+'NF-KSF-TRIAL-BAL-2021'!P563+'RA-TRIAL-BAL-2021'!P563+'DES-TRIAL-BAL-2021'!P563+'DMP-TRIAL-BAL-2021'!P563</f>
        <v>0</v>
      </c>
      <c r="X563" s="528">
        <f>+'NF-KSF-TRIAL-BAL-2021'!Q563+'RA-TRIAL-BAL-2021'!Q563+'DES-TRIAL-BAL-2021'!Q563+'DMP-TRIAL-BAL-2021'!Q563</f>
        <v>0</v>
      </c>
      <c r="Y563" s="529">
        <f>+'NF-KSF-TRIAL-BAL-2021'!R563+'RA-TRIAL-BAL-2021'!R563+'DES-TRIAL-BAL-2021'!R563+'DMP-TRIAL-BAL-2021'!R563</f>
        <v>0</v>
      </c>
      <c r="Z563" s="528">
        <f>+'NF-KSF-TRIAL-BAL-2021'!S563+'RA-TRIAL-BAL-2021'!S563+'DES-TRIAL-BAL-2021'!S563+'DMP-TRIAL-BAL-2021'!S563</f>
        <v>0</v>
      </c>
      <c r="AA563" s="347">
        <f>+'NF-KSF-TRIAL-BAL-2021'!T563+'RA-TRIAL-BAL-2021'!T563+'DES-TRIAL-BAL-2021'!T563+'DMP-TRIAL-BAL-2021'!T563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97">
        <f t="shared" si="280"/>
        <v>6495</v>
      </c>
      <c r="AK563" s="8">
        <v>0</v>
      </c>
      <c r="AL563" s="9">
        <v>0</v>
      </c>
      <c r="AM563" s="326">
        <f t="shared" si="251"/>
        <v>0</v>
      </c>
      <c r="AN563" s="970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58">
        <f t="shared" si="264"/>
        <v>0</v>
      </c>
      <c r="AS563" s="359">
        <f t="shared" si="265"/>
        <v>0</v>
      </c>
      <c r="AT563" s="360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25"/>
      <c r="R564" s="324"/>
      <c r="S564" s="27">
        <f t="shared" si="247"/>
        <v>0</v>
      </c>
      <c r="T564" s="28">
        <f t="shared" si="248"/>
        <v>0</v>
      </c>
      <c r="U564" s="51"/>
      <c r="V564" s="541">
        <f>+'NF-KSF-TRIAL-BAL-2021'!O564+'RA-TRIAL-BAL-2021'!O564+'DES-TRIAL-BAL-2021'!O564+'DMP-TRIAL-BAL-2021'!O564</f>
        <v>0</v>
      </c>
      <c r="W564" s="529">
        <f>+'NF-KSF-TRIAL-BAL-2021'!P564+'RA-TRIAL-BAL-2021'!P564+'DES-TRIAL-BAL-2021'!P564+'DMP-TRIAL-BAL-2021'!P564</f>
        <v>0</v>
      </c>
      <c r="X564" s="528">
        <f>+'NF-KSF-TRIAL-BAL-2021'!Q564+'RA-TRIAL-BAL-2021'!Q564+'DES-TRIAL-BAL-2021'!Q564+'DMP-TRIAL-BAL-2021'!Q564</f>
        <v>0</v>
      </c>
      <c r="Y564" s="529">
        <f>+'NF-KSF-TRIAL-BAL-2021'!R564+'RA-TRIAL-BAL-2021'!R564+'DES-TRIAL-BAL-2021'!R564+'DMP-TRIAL-BAL-2021'!R564</f>
        <v>0</v>
      </c>
      <c r="Z564" s="528">
        <f>+'NF-KSF-TRIAL-BAL-2021'!S564+'RA-TRIAL-BAL-2021'!S564+'DES-TRIAL-BAL-2021'!S564+'DMP-TRIAL-BAL-2021'!S564</f>
        <v>0</v>
      </c>
      <c r="AA564" s="347">
        <f>+'NF-KSF-TRIAL-BAL-2021'!T564+'RA-TRIAL-BAL-2021'!T564+'DES-TRIAL-BAL-2021'!T564+'DMP-TRIAL-BAL-2021'!T564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97">
        <f t="shared" si="280"/>
        <v>6497</v>
      </c>
      <c r="AK564" s="8">
        <v>0</v>
      </c>
      <c r="AL564" s="9">
        <v>0</v>
      </c>
      <c r="AM564" s="326">
        <f t="shared" si="251"/>
        <v>0</v>
      </c>
      <c r="AN564" s="970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58">
        <f t="shared" si="264"/>
        <v>0</v>
      </c>
      <c r="AS564" s="359">
        <f t="shared" si="265"/>
        <v>0</v>
      </c>
      <c r="AT564" s="360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25"/>
      <c r="R565" s="324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41">
        <f>+'NF-KSF-TRIAL-BAL-2021'!O565+'RA-TRIAL-BAL-2021'!O565+'DES-TRIAL-BAL-2021'!O565+'DMP-TRIAL-BAL-2021'!O565</f>
        <v>0</v>
      </c>
      <c r="W565" s="529">
        <f>+'NF-KSF-TRIAL-BAL-2021'!P565+'RA-TRIAL-BAL-2021'!P565+'DES-TRIAL-BAL-2021'!P565+'DMP-TRIAL-BAL-2021'!P565</f>
        <v>0</v>
      </c>
      <c r="X565" s="528">
        <f>+'NF-KSF-TRIAL-BAL-2021'!Q565+'RA-TRIAL-BAL-2021'!Q565+'DES-TRIAL-BAL-2021'!Q565+'DMP-TRIAL-BAL-2021'!Q565</f>
        <v>0</v>
      </c>
      <c r="Y565" s="529">
        <f>+'NF-KSF-TRIAL-BAL-2021'!R565+'RA-TRIAL-BAL-2021'!R565+'DES-TRIAL-BAL-2021'!R565+'DMP-TRIAL-BAL-2021'!R565</f>
        <v>0</v>
      </c>
      <c r="Z565" s="528">
        <f>+'NF-KSF-TRIAL-BAL-2021'!S565+'RA-TRIAL-BAL-2021'!S565+'DES-TRIAL-BAL-2021'!S565+'DMP-TRIAL-BAL-2021'!S565</f>
        <v>0</v>
      </c>
      <c r="AA565" s="347">
        <f>+'NF-KSF-TRIAL-BAL-2021'!T565+'RA-TRIAL-BAL-2021'!T565+'DES-TRIAL-BAL-2021'!T565+'DMP-TRIAL-BAL-2021'!T565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97">
        <f>+N565</f>
        <v>6499</v>
      </c>
      <c r="AK565" s="8">
        <v>0</v>
      </c>
      <c r="AL565" s="9">
        <v>0</v>
      </c>
      <c r="AM565" s="326">
        <f>+ROUND(+Q565+X565+AE565,2)</f>
        <v>0</v>
      </c>
      <c r="AN565" s="970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58">
        <f>+ROUND(+SUM(AK565-AL565)-SUM(O565-P565)-SUM(V565-W565)-SUM(AC565-AD565),2)</f>
        <v>0</v>
      </c>
      <c r="AS565" s="359">
        <f>+ROUND(+SUM(AM565-AN565)-SUM(Q565-R565)-SUM(X565-Y565)-SUM(AE565-AF565),2)</f>
        <v>0</v>
      </c>
      <c r="AT565" s="360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25"/>
      <c r="R566" s="324"/>
      <c r="S566" s="29">
        <v>0</v>
      </c>
      <c r="T566" s="347">
        <f t="shared" si="248"/>
        <v>0</v>
      </c>
      <c r="U566" s="51"/>
      <c r="V566" s="541">
        <f>+'NF-KSF-TRIAL-BAL-2021'!O566+'RA-TRIAL-BAL-2021'!O566+'DES-TRIAL-BAL-2021'!O566+'DMP-TRIAL-BAL-2021'!O566</f>
        <v>0</v>
      </c>
      <c r="W566" s="529">
        <f>+'NF-KSF-TRIAL-BAL-2021'!P566+'RA-TRIAL-BAL-2021'!P566+'DES-TRIAL-BAL-2021'!P566+'DMP-TRIAL-BAL-2021'!P566</f>
        <v>0</v>
      </c>
      <c r="X566" s="528">
        <f>+'NF-KSF-TRIAL-BAL-2021'!Q566+'RA-TRIAL-BAL-2021'!Q566+'DES-TRIAL-BAL-2021'!Q566+'DMP-TRIAL-BAL-2021'!Q566</f>
        <v>0</v>
      </c>
      <c r="Y566" s="529">
        <f>+'NF-KSF-TRIAL-BAL-2021'!R566+'RA-TRIAL-BAL-2021'!R566+'DES-TRIAL-BAL-2021'!R566+'DMP-TRIAL-BAL-2021'!R566</f>
        <v>0</v>
      </c>
      <c r="Z566" s="528">
        <f>+'NF-KSF-TRIAL-BAL-2021'!S566+'RA-TRIAL-BAL-2021'!S566+'DES-TRIAL-BAL-2021'!S566+'DMP-TRIAL-BAL-2021'!S566</f>
        <v>0</v>
      </c>
      <c r="AA566" s="347">
        <f>+'NF-KSF-TRIAL-BAL-2021'!T566+'RA-TRIAL-BAL-2021'!T566+'DES-TRIAL-BAL-2021'!T566+'DMP-TRIAL-BAL-2021'!T566</f>
        <v>0</v>
      </c>
      <c r="AB566" s="51"/>
      <c r="AC566" s="8">
        <v>0</v>
      </c>
      <c r="AD566" s="9">
        <v>0</v>
      </c>
      <c r="AE566" s="122"/>
      <c r="AF566" s="324"/>
      <c r="AG566" s="29">
        <v>0</v>
      </c>
      <c r="AH566" s="347">
        <f>+IF(ABS(+AC566+AE566)&lt;=ABS(AD566+AF566),-AC566+AD566-AE566+AF566,0)</f>
        <v>0</v>
      </c>
      <c r="AI566" s="51"/>
      <c r="AJ566" s="1497">
        <f t="shared" si="280"/>
        <v>6501</v>
      </c>
      <c r="AK566" s="8">
        <v>0</v>
      </c>
      <c r="AL566" s="9">
        <v>0</v>
      </c>
      <c r="AM566" s="326">
        <f t="shared" si="251"/>
        <v>0</v>
      </c>
      <c r="AN566" s="970">
        <f t="shared" si="251"/>
        <v>0</v>
      </c>
      <c r="AO566" s="29">
        <v>0</v>
      </c>
      <c r="AP566" s="347">
        <f t="shared" si="279"/>
        <v>0</v>
      </c>
      <c r="AQ566" s="43"/>
      <c r="AR566" s="358">
        <f t="shared" si="264"/>
        <v>0</v>
      </c>
      <c r="AS566" s="359">
        <f t="shared" si="265"/>
        <v>0</v>
      </c>
      <c r="AT566" s="360">
        <f t="shared" si="266"/>
        <v>0</v>
      </c>
      <c r="AU566" s="43"/>
      <c r="AV566" s="2119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119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25"/>
      <c r="R567" s="324"/>
      <c r="S567" s="29">
        <v>0</v>
      </c>
      <c r="T567" s="347">
        <f t="shared" si="248"/>
        <v>0</v>
      </c>
      <c r="U567" s="51"/>
      <c r="V567" s="541">
        <f>+'NF-KSF-TRIAL-BAL-2021'!O567+'RA-TRIAL-BAL-2021'!O567+'DES-TRIAL-BAL-2021'!O567+'DMP-TRIAL-BAL-2021'!O567</f>
        <v>0</v>
      </c>
      <c r="W567" s="529">
        <f>+'NF-KSF-TRIAL-BAL-2021'!P567+'RA-TRIAL-BAL-2021'!P567+'DES-TRIAL-BAL-2021'!P567+'DMP-TRIAL-BAL-2021'!P567</f>
        <v>0</v>
      </c>
      <c r="X567" s="528">
        <f>+'NF-KSF-TRIAL-BAL-2021'!Q567+'RA-TRIAL-BAL-2021'!Q567+'DES-TRIAL-BAL-2021'!Q567+'DMP-TRIAL-BAL-2021'!Q567</f>
        <v>0</v>
      </c>
      <c r="Y567" s="529">
        <f>+'NF-KSF-TRIAL-BAL-2021'!R567+'RA-TRIAL-BAL-2021'!R567+'DES-TRIAL-BAL-2021'!R567+'DMP-TRIAL-BAL-2021'!R567</f>
        <v>0</v>
      </c>
      <c r="Z567" s="528">
        <f>+'NF-KSF-TRIAL-BAL-2021'!S567+'RA-TRIAL-BAL-2021'!S567+'DES-TRIAL-BAL-2021'!S567+'DMP-TRIAL-BAL-2021'!S567</f>
        <v>0</v>
      </c>
      <c r="AA567" s="347">
        <f>+'NF-KSF-TRIAL-BAL-2021'!T567+'RA-TRIAL-BAL-2021'!T567+'DES-TRIAL-BAL-2021'!T567+'DMP-TRIAL-BAL-2021'!T567</f>
        <v>0</v>
      </c>
      <c r="AB567" s="51"/>
      <c r="AC567" s="8">
        <v>0</v>
      </c>
      <c r="AD567" s="9">
        <v>0</v>
      </c>
      <c r="AE567" s="122"/>
      <c r="AF567" s="324"/>
      <c r="AG567" s="29">
        <v>0</v>
      </c>
      <c r="AH567" s="347">
        <f>+IF(ABS(+AC567+AE567)&lt;=ABS(AD567+AF567),-AC567+AD567-AE567+AF567,0)</f>
        <v>0</v>
      </c>
      <c r="AI567" s="51"/>
      <c r="AJ567" s="1497">
        <f t="shared" si="280"/>
        <v>6502</v>
      </c>
      <c r="AK567" s="8">
        <v>0</v>
      </c>
      <c r="AL567" s="9">
        <v>0</v>
      </c>
      <c r="AM567" s="326">
        <f t="shared" si="251"/>
        <v>0</v>
      </c>
      <c r="AN567" s="970">
        <f t="shared" si="251"/>
        <v>0</v>
      </c>
      <c r="AO567" s="29">
        <v>0</v>
      </c>
      <c r="AP567" s="347">
        <f t="shared" si="279"/>
        <v>0</v>
      </c>
      <c r="AQ567" s="43"/>
      <c r="AR567" s="358">
        <f t="shared" si="264"/>
        <v>0</v>
      </c>
      <c r="AS567" s="359">
        <f t="shared" si="265"/>
        <v>0</v>
      </c>
      <c r="AT567" s="360">
        <f t="shared" si="266"/>
        <v>0</v>
      </c>
      <c r="AU567" s="43"/>
      <c r="AV567" s="2119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119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25"/>
      <c r="R568" s="324"/>
      <c r="S568" s="29">
        <v>0</v>
      </c>
      <c r="T568" s="347">
        <f t="shared" si="248"/>
        <v>0</v>
      </c>
      <c r="U568" s="51"/>
      <c r="V568" s="541">
        <f>+'NF-KSF-TRIAL-BAL-2021'!O568+'RA-TRIAL-BAL-2021'!O568+'DES-TRIAL-BAL-2021'!O568+'DMP-TRIAL-BAL-2021'!O568</f>
        <v>0</v>
      </c>
      <c r="W568" s="529">
        <f>+'NF-KSF-TRIAL-BAL-2021'!P568+'RA-TRIAL-BAL-2021'!P568+'DES-TRIAL-BAL-2021'!P568+'DMP-TRIAL-BAL-2021'!P568</f>
        <v>0</v>
      </c>
      <c r="X568" s="528">
        <f>+'NF-KSF-TRIAL-BAL-2021'!Q568+'RA-TRIAL-BAL-2021'!Q568+'DES-TRIAL-BAL-2021'!Q568+'DMP-TRIAL-BAL-2021'!Q568</f>
        <v>0</v>
      </c>
      <c r="Y568" s="529">
        <f>+'NF-KSF-TRIAL-BAL-2021'!R568+'RA-TRIAL-BAL-2021'!R568+'DES-TRIAL-BAL-2021'!R568+'DMP-TRIAL-BAL-2021'!R568</f>
        <v>0</v>
      </c>
      <c r="Z568" s="528">
        <f>+'NF-KSF-TRIAL-BAL-2021'!S568+'RA-TRIAL-BAL-2021'!S568+'DES-TRIAL-BAL-2021'!S568+'DMP-TRIAL-BAL-2021'!S568</f>
        <v>0</v>
      </c>
      <c r="AA568" s="347">
        <f>+'NF-KSF-TRIAL-BAL-2021'!T568+'RA-TRIAL-BAL-2021'!T568+'DES-TRIAL-BAL-2021'!T568+'DMP-TRIAL-BAL-2021'!T568</f>
        <v>0</v>
      </c>
      <c r="AB568" s="51"/>
      <c r="AC568" s="8">
        <v>0</v>
      </c>
      <c r="AD568" s="9">
        <v>0</v>
      </c>
      <c r="AE568" s="122"/>
      <c r="AF568" s="324"/>
      <c r="AG568" s="29">
        <v>0</v>
      </c>
      <c r="AH568" s="347">
        <f>+IF(ABS(+AC568+AE568)&lt;=ABS(AD568+AF568),-AC568+AD568-AE568+AF568,0)</f>
        <v>0</v>
      </c>
      <c r="AI568" s="51"/>
      <c r="AJ568" s="1497">
        <f t="shared" si="280"/>
        <v>6503</v>
      </c>
      <c r="AK568" s="8">
        <v>0</v>
      </c>
      <c r="AL568" s="9">
        <v>0</v>
      </c>
      <c r="AM568" s="326">
        <f t="shared" si="251"/>
        <v>0</v>
      </c>
      <c r="AN568" s="970">
        <f t="shared" si="251"/>
        <v>0</v>
      </c>
      <c r="AO568" s="29">
        <v>0</v>
      </c>
      <c r="AP568" s="347">
        <f t="shared" si="279"/>
        <v>0</v>
      </c>
      <c r="AQ568" s="43"/>
      <c r="AR568" s="358">
        <f t="shared" si="264"/>
        <v>0</v>
      </c>
      <c r="AS568" s="359">
        <f t="shared" si="265"/>
        <v>0</v>
      </c>
      <c r="AT568" s="360">
        <f t="shared" si="266"/>
        <v>0</v>
      </c>
      <c r="AU568" s="43"/>
      <c r="AV568" s="2119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119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25"/>
      <c r="R569" s="324"/>
      <c r="S569" s="29">
        <v>0</v>
      </c>
      <c r="T569" s="347">
        <f>+IF(ABS(+O569+Q569)&lt;=ABS(P569+R569),-O569+P569-Q569+R569,0)</f>
        <v>0</v>
      </c>
      <c r="U569" s="51"/>
      <c r="V569" s="541">
        <f>+'NF-KSF-TRIAL-BAL-2021'!O569+'RA-TRIAL-BAL-2021'!O569+'DES-TRIAL-BAL-2021'!O569+'DMP-TRIAL-BAL-2021'!O569</f>
        <v>0</v>
      </c>
      <c r="W569" s="529">
        <f>+'NF-KSF-TRIAL-BAL-2021'!P569+'RA-TRIAL-BAL-2021'!P569+'DES-TRIAL-BAL-2021'!P569+'DMP-TRIAL-BAL-2021'!P569</f>
        <v>0</v>
      </c>
      <c r="X569" s="528">
        <f>+'NF-KSF-TRIAL-BAL-2021'!Q569+'RA-TRIAL-BAL-2021'!Q569+'DES-TRIAL-BAL-2021'!Q569+'DMP-TRIAL-BAL-2021'!Q569</f>
        <v>0</v>
      </c>
      <c r="Y569" s="529">
        <f>+'NF-KSF-TRIAL-BAL-2021'!R569+'RA-TRIAL-BAL-2021'!R569+'DES-TRIAL-BAL-2021'!R569+'DMP-TRIAL-BAL-2021'!R569</f>
        <v>0</v>
      </c>
      <c r="Z569" s="528">
        <f>+'NF-KSF-TRIAL-BAL-2021'!S569+'RA-TRIAL-BAL-2021'!S569+'DES-TRIAL-BAL-2021'!S569+'DMP-TRIAL-BAL-2021'!S569</f>
        <v>0</v>
      </c>
      <c r="AA569" s="347">
        <f>+'NF-KSF-TRIAL-BAL-2021'!T569+'RA-TRIAL-BAL-2021'!T569+'DES-TRIAL-BAL-2021'!T569+'DMP-TRIAL-BAL-2021'!T569</f>
        <v>0</v>
      </c>
      <c r="AB569" s="51"/>
      <c r="AC569" s="8">
        <v>0</v>
      </c>
      <c r="AD569" s="9">
        <v>0</v>
      </c>
      <c r="AE569" s="122"/>
      <c r="AF569" s="324"/>
      <c r="AG569" s="29">
        <v>0</v>
      </c>
      <c r="AH569" s="347">
        <f>+IF(ABS(+AC569+AE569)&lt;=ABS(AD569+AF569),-AC569+AD569-AE569+AF569,0)</f>
        <v>0</v>
      </c>
      <c r="AI569" s="51"/>
      <c r="AJ569" s="1497">
        <f t="shared" si="280"/>
        <v>6504</v>
      </c>
      <c r="AK569" s="8">
        <v>0</v>
      </c>
      <c r="AL569" s="9">
        <v>0</v>
      </c>
      <c r="AM569" s="326">
        <f t="shared" ref="AM569:AN593" si="281">+ROUND(+Q569+X569+AE569,2)</f>
        <v>0</v>
      </c>
      <c r="AN569" s="970">
        <f t="shared" si="281"/>
        <v>0</v>
      </c>
      <c r="AO569" s="29">
        <v>0</v>
      </c>
      <c r="AP569" s="347">
        <f t="shared" si="279"/>
        <v>0</v>
      </c>
      <c r="AQ569" s="43"/>
      <c r="AR569" s="358">
        <f t="shared" si="264"/>
        <v>0</v>
      </c>
      <c r="AS569" s="359">
        <f t="shared" si="265"/>
        <v>0</v>
      </c>
      <c r="AT569" s="360">
        <f t="shared" si="266"/>
        <v>0</v>
      </c>
      <c r="AU569" s="43"/>
      <c r="AV569" s="2119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119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25"/>
      <c r="R570" s="324"/>
      <c r="S570" s="2114">
        <v>0</v>
      </c>
      <c r="T570" s="2115">
        <v>0</v>
      </c>
      <c r="U570" s="51"/>
      <c r="V570" s="541">
        <f>+'NF-KSF-TRIAL-BAL-2021'!O570+'RA-TRIAL-BAL-2021'!O570+'DES-TRIAL-BAL-2021'!O570+'DMP-TRIAL-BAL-2021'!O570</f>
        <v>0</v>
      </c>
      <c r="W570" s="529">
        <f>+'NF-KSF-TRIAL-BAL-2021'!P570+'RA-TRIAL-BAL-2021'!P570+'DES-TRIAL-BAL-2021'!P570+'DMP-TRIAL-BAL-2021'!P570</f>
        <v>0</v>
      </c>
      <c r="X570" s="528">
        <f>+'NF-KSF-TRIAL-BAL-2021'!Q570+'RA-TRIAL-BAL-2021'!Q570+'DES-TRIAL-BAL-2021'!Q570+'DMP-TRIAL-BAL-2021'!Q570</f>
        <v>0</v>
      </c>
      <c r="Y570" s="529">
        <f>+'NF-KSF-TRIAL-BAL-2021'!R570+'RA-TRIAL-BAL-2021'!R570+'DES-TRIAL-BAL-2021'!R570+'DMP-TRIAL-BAL-2021'!R570</f>
        <v>0</v>
      </c>
      <c r="Z570" s="528">
        <f>+'NF-KSF-TRIAL-BAL-2021'!S570+'RA-TRIAL-BAL-2021'!S570+'DES-TRIAL-BAL-2021'!S570+'DMP-TRIAL-BAL-2021'!S570</f>
        <v>0</v>
      </c>
      <c r="AA570" s="347">
        <f>+'NF-KSF-TRIAL-BAL-2021'!T570+'RA-TRIAL-BAL-2021'!T570+'DES-TRIAL-BAL-2021'!T570+'DMP-TRIAL-BAL-2021'!T570</f>
        <v>0</v>
      </c>
      <c r="AB570" s="51"/>
      <c r="AC570" s="8">
        <v>0</v>
      </c>
      <c r="AD570" s="9">
        <v>0</v>
      </c>
      <c r="AE570" s="122"/>
      <c r="AF570" s="121"/>
      <c r="AG570" s="2114">
        <v>0</v>
      </c>
      <c r="AH570" s="2115">
        <v>0</v>
      </c>
      <c r="AI570" s="51"/>
      <c r="AJ570" s="1497">
        <f t="shared" si="280"/>
        <v>6506</v>
      </c>
      <c r="AK570" s="8">
        <v>0</v>
      </c>
      <c r="AL570" s="9">
        <v>0</v>
      </c>
      <c r="AM570" s="326">
        <f t="shared" si="281"/>
        <v>0</v>
      </c>
      <c r="AN570" s="970">
        <f t="shared" si="281"/>
        <v>0</v>
      </c>
      <c r="AO570" s="29">
        <v>0</v>
      </c>
      <c r="AP570" s="30">
        <v>0</v>
      </c>
      <c r="AQ570" s="43"/>
      <c r="AR570" s="358">
        <f t="shared" si="264"/>
        <v>0</v>
      </c>
      <c r="AS570" s="359">
        <f t="shared" si="265"/>
        <v>0</v>
      </c>
      <c r="AT570" s="360">
        <f t="shared" si="266"/>
        <v>0</v>
      </c>
      <c r="AU570" s="43"/>
      <c r="AV570" s="2125">
        <f>+IF(Q570=R570,0,+Q570-R570)</f>
        <v>0</v>
      </c>
      <c r="AW570" s="119"/>
      <c r="AX570" s="2120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25"/>
      <c r="R571" s="324"/>
      <c r="S571" s="29">
        <v>0</v>
      </c>
      <c r="T571" s="347">
        <f>+IF(ABS(+O571+Q571)&lt;=ABS(P571+R571),-O571+P571-Q571+R571,0)</f>
        <v>0</v>
      </c>
      <c r="U571" s="51"/>
      <c r="V571" s="541">
        <f>+'NF-KSF-TRIAL-BAL-2021'!O571+'RA-TRIAL-BAL-2021'!O571+'DES-TRIAL-BAL-2021'!O571+'DMP-TRIAL-BAL-2021'!O571</f>
        <v>0</v>
      </c>
      <c r="W571" s="529">
        <f>+'NF-KSF-TRIAL-BAL-2021'!P571+'RA-TRIAL-BAL-2021'!P571+'DES-TRIAL-BAL-2021'!P571+'DMP-TRIAL-BAL-2021'!P571</f>
        <v>0</v>
      </c>
      <c r="X571" s="528">
        <f>+'NF-KSF-TRIAL-BAL-2021'!Q571+'RA-TRIAL-BAL-2021'!Q571+'DES-TRIAL-BAL-2021'!Q571+'DMP-TRIAL-BAL-2021'!Q571</f>
        <v>0</v>
      </c>
      <c r="Y571" s="529">
        <f>+'NF-KSF-TRIAL-BAL-2021'!R571+'RA-TRIAL-BAL-2021'!R571+'DES-TRIAL-BAL-2021'!R571+'DMP-TRIAL-BAL-2021'!R571</f>
        <v>0</v>
      </c>
      <c r="Z571" s="528">
        <f>+'NF-KSF-TRIAL-BAL-2021'!S571+'RA-TRIAL-BAL-2021'!S571+'DES-TRIAL-BAL-2021'!S571+'DMP-TRIAL-BAL-2021'!S571</f>
        <v>0</v>
      </c>
      <c r="AA571" s="347">
        <f>+'NF-KSF-TRIAL-BAL-2021'!T571+'RA-TRIAL-BAL-2021'!T571+'DES-TRIAL-BAL-2021'!T571+'DMP-TRIAL-BAL-2021'!T571</f>
        <v>0</v>
      </c>
      <c r="AB571" s="51"/>
      <c r="AC571" s="8">
        <v>0</v>
      </c>
      <c r="AD571" s="9">
        <v>0</v>
      </c>
      <c r="AE571" s="325"/>
      <c r="AF571" s="324"/>
      <c r="AG571" s="29">
        <v>0</v>
      </c>
      <c r="AH571" s="347">
        <f>+IF(ABS(+AC571+AE571)&lt;=ABS(AD571+AF571),-AC571+AD571-AE571+AF571,0)</f>
        <v>0</v>
      </c>
      <c r="AI571" s="51"/>
      <c r="AJ571" s="1497">
        <f t="shared" si="280"/>
        <v>6507</v>
      </c>
      <c r="AK571" s="8">
        <v>0</v>
      </c>
      <c r="AL571" s="9">
        <v>0</v>
      </c>
      <c r="AM571" s="326">
        <f t="shared" si="281"/>
        <v>0</v>
      </c>
      <c r="AN571" s="970">
        <f t="shared" si="281"/>
        <v>0</v>
      </c>
      <c r="AO571" s="29">
        <v>0</v>
      </c>
      <c r="AP571" s="347">
        <f t="shared" si="279"/>
        <v>0</v>
      </c>
      <c r="AQ571" s="43"/>
      <c r="AR571" s="358">
        <f t="shared" si="264"/>
        <v>0</v>
      </c>
      <c r="AS571" s="359">
        <f t="shared" si="265"/>
        <v>0</v>
      </c>
      <c r="AT571" s="360">
        <f t="shared" si="266"/>
        <v>0</v>
      </c>
      <c r="AU571" s="43"/>
      <c r="AV571" s="2119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119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25"/>
      <c r="R572" s="324"/>
      <c r="S572" s="29">
        <v>0</v>
      </c>
      <c r="T572" s="347">
        <f>+IF(ABS(+O572+Q572)&lt;=ABS(P572+R572),-O572+P572-Q572+R572,0)</f>
        <v>0</v>
      </c>
      <c r="U572" s="51"/>
      <c r="V572" s="541">
        <f>+'NF-KSF-TRIAL-BAL-2021'!O572+'RA-TRIAL-BAL-2021'!O572+'DES-TRIAL-BAL-2021'!O572+'DMP-TRIAL-BAL-2021'!O572</f>
        <v>0</v>
      </c>
      <c r="W572" s="529">
        <f>+'NF-KSF-TRIAL-BAL-2021'!P572+'RA-TRIAL-BAL-2021'!P572+'DES-TRIAL-BAL-2021'!P572+'DMP-TRIAL-BAL-2021'!P572</f>
        <v>0</v>
      </c>
      <c r="X572" s="528">
        <f>+'NF-KSF-TRIAL-BAL-2021'!Q572+'RA-TRIAL-BAL-2021'!Q572+'DES-TRIAL-BAL-2021'!Q572+'DMP-TRIAL-BAL-2021'!Q572</f>
        <v>0</v>
      </c>
      <c r="Y572" s="529">
        <f>+'NF-KSF-TRIAL-BAL-2021'!R572+'RA-TRIAL-BAL-2021'!R572+'DES-TRIAL-BAL-2021'!R572+'DMP-TRIAL-BAL-2021'!R572</f>
        <v>0</v>
      </c>
      <c r="Z572" s="528">
        <f>+'NF-KSF-TRIAL-BAL-2021'!S572+'RA-TRIAL-BAL-2021'!S572+'DES-TRIAL-BAL-2021'!S572+'DMP-TRIAL-BAL-2021'!S572</f>
        <v>0</v>
      </c>
      <c r="AA572" s="347">
        <f>+'NF-KSF-TRIAL-BAL-2021'!T572+'RA-TRIAL-BAL-2021'!T572+'DES-TRIAL-BAL-2021'!T572+'DMP-TRIAL-BAL-2021'!T572</f>
        <v>0</v>
      </c>
      <c r="AB572" s="51"/>
      <c r="AC572" s="8">
        <v>0</v>
      </c>
      <c r="AD572" s="9">
        <v>0</v>
      </c>
      <c r="AE572" s="325"/>
      <c r="AF572" s="324"/>
      <c r="AG572" s="29">
        <v>0</v>
      </c>
      <c r="AH572" s="347">
        <f>+IF(ABS(+AC572+AE572)&lt;=ABS(AD572+AF572),-AC572+AD572-AE572+AF572,0)</f>
        <v>0</v>
      </c>
      <c r="AI572" s="51"/>
      <c r="AJ572" s="1497">
        <f t="shared" si="280"/>
        <v>6508</v>
      </c>
      <c r="AK572" s="8">
        <v>0</v>
      </c>
      <c r="AL572" s="9">
        <v>0</v>
      </c>
      <c r="AM572" s="326">
        <f t="shared" si="281"/>
        <v>0</v>
      </c>
      <c r="AN572" s="970">
        <f t="shared" si="281"/>
        <v>0</v>
      </c>
      <c r="AO572" s="29">
        <v>0</v>
      </c>
      <c r="AP572" s="347">
        <f t="shared" si="279"/>
        <v>0</v>
      </c>
      <c r="AQ572" s="43"/>
      <c r="AR572" s="358">
        <f t="shared" si="264"/>
        <v>0</v>
      </c>
      <c r="AS572" s="359">
        <f t="shared" si="265"/>
        <v>0</v>
      </c>
      <c r="AT572" s="360">
        <f t="shared" si="266"/>
        <v>0</v>
      </c>
      <c r="AU572" s="43"/>
      <c r="AV572" s="2119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119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25"/>
      <c r="R573" s="324"/>
      <c r="S573" s="27">
        <f>+IF(ABS(+O573+Q573)&gt;=ABS(P573+R573),+O573-P573+Q573-R573,0)</f>
        <v>0</v>
      </c>
      <c r="T573" s="30">
        <v>0</v>
      </c>
      <c r="U573" s="51"/>
      <c r="V573" s="541">
        <f>+'NF-KSF-TRIAL-BAL-2021'!O573+'RA-TRIAL-BAL-2021'!O573+'DES-TRIAL-BAL-2021'!O573+'DMP-TRIAL-BAL-2021'!O573</f>
        <v>0</v>
      </c>
      <c r="W573" s="529">
        <f>+'NF-KSF-TRIAL-BAL-2021'!P573+'RA-TRIAL-BAL-2021'!P573+'DES-TRIAL-BAL-2021'!P573+'DMP-TRIAL-BAL-2021'!P573</f>
        <v>0</v>
      </c>
      <c r="X573" s="528">
        <f>+'NF-KSF-TRIAL-BAL-2021'!Q573+'RA-TRIAL-BAL-2021'!Q573+'DES-TRIAL-BAL-2021'!Q573+'DMP-TRIAL-BAL-2021'!Q573</f>
        <v>0</v>
      </c>
      <c r="Y573" s="529">
        <f>+'NF-KSF-TRIAL-BAL-2021'!R573+'RA-TRIAL-BAL-2021'!R573+'DES-TRIAL-BAL-2021'!R573+'DMP-TRIAL-BAL-2021'!R573</f>
        <v>0</v>
      </c>
      <c r="Z573" s="528">
        <f>+'NF-KSF-TRIAL-BAL-2021'!S573+'RA-TRIAL-BAL-2021'!S573+'DES-TRIAL-BAL-2021'!S573+'DMP-TRIAL-BAL-2021'!S573</f>
        <v>0</v>
      </c>
      <c r="AA573" s="347">
        <f>+'NF-KSF-TRIAL-BAL-2021'!T573+'RA-TRIAL-BAL-2021'!T573+'DES-TRIAL-BAL-2021'!T573+'DMP-TRIAL-BAL-2021'!T573</f>
        <v>0</v>
      </c>
      <c r="AB573" s="51"/>
      <c r="AC573" s="8">
        <v>0</v>
      </c>
      <c r="AD573" s="9">
        <v>0</v>
      </c>
      <c r="AE573" s="122"/>
      <c r="AF573" s="324"/>
      <c r="AG573" s="27">
        <f>+IF(ABS(+AC573+AE573)&gt;=ABS(AD573+AF573),+AC573-AD573+AE573-AF573,0)</f>
        <v>0</v>
      </c>
      <c r="AH573" s="30">
        <v>0</v>
      </c>
      <c r="AI573" s="51"/>
      <c r="AJ573" s="1497">
        <f t="shared" si="280"/>
        <v>6711</v>
      </c>
      <c r="AK573" s="8">
        <v>0</v>
      </c>
      <c r="AL573" s="9">
        <v>0</v>
      </c>
      <c r="AM573" s="326">
        <f t="shared" si="281"/>
        <v>0</v>
      </c>
      <c r="AN573" s="970">
        <f t="shared" si="281"/>
        <v>0</v>
      </c>
      <c r="AO573" s="27">
        <f>+S573+Z573+AG573</f>
        <v>0</v>
      </c>
      <c r="AP573" s="30">
        <v>0</v>
      </c>
      <c r="AQ573" s="43"/>
      <c r="AR573" s="358">
        <f t="shared" si="264"/>
        <v>0</v>
      </c>
      <c r="AS573" s="359">
        <f t="shared" si="265"/>
        <v>0</v>
      </c>
      <c r="AT573" s="360">
        <f t="shared" si="266"/>
        <v>0</v>
      </c>
      <c r="AU573" s="43"/>
      <c r="AV573" s="2120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120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25"/>
      <c r="R574" s="324"/>
      <c r="S574" s="27">
        <f>+IF(ABS(+O574+Q574)&gt;=ABS(P574+R574),+O574-P574+Q574-R574,0)</f>
        <v>0</v>
      </c>
      <c r="T574" s="30">
        <v>0</v>
      </c>
      <c r="U574" s="51"/>
      <c r="V574" s="541">
        <f>+'NF-KSF-TRIAL-BAL-2021'!O574+'RA-TRIAL-BAL-2021'!O574+'DES-TRIAL-BAL-2021'!O574+'DMP-TRIAL-BAL-2021'!O574</f>
        <v>0</v>
      </c>
      <c r="W574" s="529">
        <f>+'NF-KSF-TRIAL-BAL-2021'!P574+'RA-TRIAL-BAL-2021'!P574+'DES-TRIAL-BAL-2021'!P574+'DMP-TRIAL-BAL-2021'!P574</f>
        <v>0</v>
      </c>
      <c r="X574" s="528">
        <f>+'NF-KSF-TRIAL-BAL-2021'!Q574+'RA-TRIAL-BAL-2021'!Q574+'DES-TRIAL-BAL-2021'!Q574+'DMP-TRIAL-BAL-2021'!Q574</f>
        <v>0</v>
      </c>
      <c r="Y574" s="529">
        <f>+'NF-KSF-TRIAL-BAL-2021'!R574+'RA-TRIAL-BAL-2021'!R574+'DES-TRIAL-BAL-2021'!R574+'DMP-TRIAL-BAL-2021'!R574</f>
        <v>0</v>
      </c>
      <c r="Z574" s="528">
        <f>+'NF-KSF-TRIAL-BAL-2021'!S574+'RA-TRIAL-BAL-2021'!S574+'DES-TRIAL-BAL-2021'!S574+'DMP-TRIAL-BAL-2021'!S574</f>
        <v>0</v>
      </c>
      <c r="AA574" s="347">
        <f>+'NF-KSF-TRIAL-BAL-2021'!T574+'RA-TRIAL-BAL-2021'!T574+'DES-TRIAL-BAL-2021'!T574+'DMP-TRIAL-BAL-2021'!T574</f>
        <v>0</v>
      </c>
      <c r="AB574" s="51"/>
      <c r="AC574" s="8">
        <v>0</v>
      </c>
      <c r="AD574" s="9">
        <v>0</v>
      </c>
      <c r="AE574" s="122"/>
      <c r="AF574" s="324"/>
      <c r="AG574" s="27">
        <f>+IF(ABS(+AC574+AE574)&gt;=ABS(AD574+AF574),+AC574-AD574+AE574-AF574,0)</f>
        <v>0</v>
      </c>
      <c r="AH574" s="30">
        <v>0</v>
      </c>
      <c r="AI574" s="51"/>
      <c r="AJ574" s="1497">
        <f t="shared" si="280"/>
        <v>6713</v>
      </c>
      <c r="AK574" s="8">
        <v>0</v>
      </c>
      <c r="AL574" s="9">
        <v>0</v>
      </c>
      <c r="AM574" s="326">
        <f t="shared" si="281"/>
        <v>0</v>
      </c>
      <c r="AN574" s="970">
        <f t="shared" si="281"/>
        <v>0</v>
      </c>
      <c r="AO574" s="27">
        <f>+S574+Z574+AG574</f>
        <v>0</v>
      </c>
      <c r="AP574" s="30">
        <v>0</v>
      </c>
      <c r="AQ574" s="43"/>
      <c r="AR574" s="358">
        <f t="shared" si="264"/>
        <v>0</v>
      </c>
      <c r="AS574" s="359">
        <f t="shared" si="265"/>
        <v>0</v>
      </c>
      <c r="AT574" s="360">
        <f t="shared" si="266"/>
        <v>0</v>
      </c>
      <c r="AU574" s="43"/>
      <c r="AV574" s="2120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120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25"/>
      <c r="R575" s="324"/>
      <c r="S575" s="27">
        <f>+IF(ABS(+O575+Q575)&gt;=ABS(P575+R575),+O575-P575+Q575-R575,0)</f>
        <v>0</v>
      </c>
      <c r="T575" s="30">
        <v>0</v>
      </c>
      <c r="U575" s="51"/>
      <c r="V575" s="541">
        <f>+'NF-KSF-TRIAL-BAL-2021'!O575+'RA-TRIAL-BAL-2021'!O575+'DES-TRIAL-BAL-2021'!O575+'DMP-TRIAL-BAL-2021'!O575</f>
        <v>0</v>
      </c>
      <c r="W575" s="529">
        <f>+'NF-KSF-TRIAL-BAL-2021'!P575+'RA-TRIAL-BAL-2021'!P575+'DES-TRIAL-BAL-2021'!P575+'DMP-TRIAL-BAL-2021'!P575</f>
        <v>0</v>
      </c>
      <c r="X575" s="528">
        <f>+'NF-KSF-TRIAL-BAL-2021'!Q575+'RA-TRIAL-BAL-2021'!Q575+'DES-TRIAL-BAL-2021'!Q575+'DMP-TRIAL-BAL-2021'!Q575</f>
        <v>0</v>
      </c>
      <c r="Y575" s="529">
        <f>+'NF-KSF-TRIAL-BAL-2021'!R575+'RA-TRIAL-BAL-2021'!R575+'DES-TRIAL-BAL-2021'!R575+'DMP-TRIAL-BAL-2021'!R575</f>
        <v>0</v>
      </c>
      <c r="Z575" s="528">
        <f>+'NF-KSF-TRIAL-BAL-2021'!S575+'RA-TRIAL-BAL-2021'!S575+'DES-TRIAL-BAL-2021'!S575+'DMP-TRIAL-BAL-2021'!S575</f>
        <v>0</v>
      </c>
      <c r="AA575" s="347">
        <f>+'NF-KSF-TRIAL-BAL-2021'!T575+'RA-TRIAL-BAL-2021'!T575+'DES-TRIAL-BAL-2021'!T575+'DMP-TRIAL-BAL-2021'!T575</f>
        <v>0</v>
      </c>
      <c r="AB575" s="51"/>
      <c r="AC575" s="8">
        <v>0</v>
      </c>
      <c r="AD575" s="9">
        <v>0</v>
      </c>
      <c r="AE575" s="122"/>
      <c r="AF575" s="324"/>
      <c r="AG575" s="27">
        <f>+IF(ABS(+AC575+AE575)&gt;=ABS(AD575+AF575),+AC575-AD575+AE575-AF575,0)</f>
        <v>0</v>
      </c>
      <c r="AH575" s="30">
        <v>0</v>
      </c>
      <c r="AI575" s="51"/>
      <c r="AJ575" s="1497">
        <f t="shared" si="280"/>
        <v>6717</v>
      </c>
      <c r="AK575" s="8">
        <v>0</v>
      </c>
      <c r="AL575" s="9">
        <v>0</v>
      </c>
      <c r="AM575" s="326">
        <f t="shared" si="281"/>
        <v>0</v>
      </c>
      <c r="AN575" s="970">
        <f t="shared" si="281"/>
        <v>0</v>
      </c>
      <c r="AO575" s="27">
        <f>+S575+Z575+AG575</f>
        <v>0</v>
      </c>
      <c r="AP575" s="30">
        <v>0</v>
      </c>
      <c r="AQ575" s="43"/>
      <c r="AR575" s="358">
        <f t="shared" si="264"/>
        <v>0</v>
      </c>
      <c r="AS575" s="359">
        <f t="shared" si="265"/>
        <v>0</v>
      </c>
      <c r="AT575" s="360">
        <f t="shared" si="266"/>
        <v>0</v>
      </c>
      <c r="AU575" s="43"/>
      <c r="AV575" s="2120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120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25"/>
      <c r="R576" s="324"/>
      <c r="S576" s="29">
        <v>0</v>
      </c>
      <c r="T576" s="28">
        <f>+IF(ABS(+O576+Q576)&lt;=ABS(P576+R576),-O576+P576-Q576+R576,0)</f>
        <v>0</v>
      </c>
      <c r="U576" s="51"/>
      <c r="V576" s="541">
        <f>+'NF-KSF-TRIAL-BAL-2021'!O576+'RA-TRIAL-BAL-2021'!O576+'DES-TRIAL-BAL-2021'!O576+'DMP-TRIAL-BAL-2021'!O576</f>
        <v>0</v>
      </c>
      <c r="W576" s="529">
        <f>+'NF-KSF-TRIAL-BAL-2021'!P576+'RA-TRIAL-BAL-2021'!P576+'DES-TRIAL-BAL-2021'!P576+'DMP-TRIAL-BAL-2021'!P576</f>
        <v>0</v>
      </c>
      <c r="X576" s="528">
        <f>+'NF-KSF-TRIAL-BAL-2021'!Q576+'RA-TRIAL-BAL-2021'!Q576+'DES-TRIAL-BAL-2021'!Q576+'DMP-TRIAL-BAL-2021'!Q576</f>
        <v>0</v>
      </c>
      <c r="Y576" s="529">
        <f>+'NF-KSF-TRIAL-BAL-2021'!R576+'RA-TRIAL-BAL-2021'!R576+'DES-TRIAL-BAL-2021'!R576+'DMP-TRIAL-BAL-2021'!R576</f>
        <v>0</v>
      </c>
      <c r="Z576" s="528">
        <f>+'NF-KSF-TRIAL-BAL-2021'!S576+'RA-TRIAL-BAL-2021'!S576+'DES-TRIAL-BAL-2021'!S576+'DMP-TRIAL-BAL-2021'!S576</f>
        <v>0</v>
      </c>
      <c r="AA576" s="347">
        <f>+'NF-KSF-TRIAL-BAL-2021'!T576+'RA-TRIAL-BAL-2021'!T576+'DES-TRIAL-BAL-2021'!T576+'DMP-TRIAL-BAL-2021'!T576</f>
        <v>0</v>
      </c>
      <c r="AB576" s="51"/>
      <c r="AC576" s="8">
        <v>0</v>
      </c>
      <c r="AD576" s="9">
        <v>0</v>
      </c>
      <c r="AE576" s="122"/>
      <c r="AF576" s="324"/>
      <c r="AG576" s="29">
        <v>0</v>
      </c>
      <c r="AH576" s="28">
        <f>+IF(ABS(+AC576+AE576)&lt;=ABS(AD576+AF576),-AC576+AD576-AE576+AF576,0)</f>
        <v>0</v>
      </c>
      <c r="AI576" s="51"/>
      <c r="AJ576" s="1497">
        <f t="shared" si="280"/>
        <v>6721</v>
      </c>
      <c r="AK576" s="8">
        <v>0</v>
      </c>
      <c r="AL576" s="9">
        <v>0</v>
      </c>
      <c r="AM576" s="326">
        <f t="shared" si="281"/>
        <v>0</v>
      </c>
      <c r="AN576" s="970">
        <f t="shared" si="281"/>
        <v>0</v>
      </c>
      <c r="AO576" s="29">
        <v>0</v>
      </c>
      <c r="AP576" s="347">
        <f>+T576+AA576+AH576</f>
        <v>0</v>
      </c>
      <c r="AQ576" s="43"/>
      <c r="AR576" s="358">
        <f t="shared" si="264"/>
        <v>0</v>
      </c>
      <c r="AS576" s="359">
        <f t="shared" si="265"/>
        <v>0</v>
      </c>
      <c r="AT576" s="360">
        <f t="shared" si="266"/>
        <v>0</v>
      </c>
      <c r="AU576" s="43"/>
      <c r="AV576" s="2119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119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25"/>
      <c r="R577" s="324"/>
      <c r="S577" s="29">
        <v>0</v>
      </c>
      <c r="T577" s="28">
        <f>+IF(ABS(+O577+Q577)&lt;=ABS(P577+R577),-O577+P577-Q577+R577,0)</f>
        <v>0</v>
      </c>
      <c r="U577" s="51"/>
      <c r="V577" s="541">
        <f>+'NF-KSF-TRIAL-BAL-2021'!O577+'RA-TRIAL-BAL-2021'!O577+'DES-TRIAL-BAL-2021'!O577+'DMP-TRIAL-BAL-2021'!O577</f>
        <v>0</v>
      </c>
      <c r="W577" s="529">
        <f>+'NF-KSF-TRIAL-BAL-2021'!P577+'RA-TRIAL-BAL-2021'!P577+'DES-TRIAL-BAL-2021'!P577+'DMP-TRIAL-BAL-2021'!P577</f>
        <v>0</v>
      </c>
      <c r="X577" s="528">
        <f>+'NF-KSF-TRIAL-BAL-2021'!Q577+'RA-TRIAL-BAL-2021'!Q577+'DES-TRIAL-BAL-2021'!Q577+'DMP-TRIAL-BAL-2021'!Q577</f>
        <v>0</v>
      </c>
      <c r="Y577" s="529">
        <f>+'NF-KSF-TRIAL-BAL-2021'!R577+'RA-TRIAL-BAL-2021'!R577+'DES-TRIAL-BAL-2021'!R577+'DMP-TRIAL-BAL-2021'!R577</f>
        <v>0</v>
      </c>
      <c r="Z577" s="528">
        <f>+'NF-KSF-TRIAL-BAL-2021'!S577+'RA-TRIAL-BAL-2021'!S577+'DES-TRIAL-BAL-2021'!S577+'DMP-TRIAL-BAL-2021'!S577</f>
        <v>0</v>
      </c>
      <c r="AA577" s="347">
        <f>+'NF-KSF-TRIAL-BAL-2021'!T577+'RA-TRIAL-BAL-2021'!T577+'DES-TRIAL-BAL-2021'!T577+'DMP-TRIAL-BAL-2021'!T577</f>
        <v>0</v>
      </c>
      <c r="AB577" s="51"/>
      <c r="AC577" s="8">
        <v>0</v>
      </c>
      <c r="AD577" s="9">
        <v>0</v>
      </c>
      <c r="AE577" s="122"/>
      <c r="AF577" s="324"/>
      <c r="AG577" s="29">
        <v>0</v>
      </c>
      <c r="AH577" s="28">
        <f>+IF(ABS(+AC577+AE577)&lt;=ABS(AD577+AF577),-AC577+AD577-AE577+AF577,0)</f>
        <v>0</v>
      </c>
      <c r="AI577" s="51"/>
      <c r="AJ577" s="1497">
        <f t="shared" si="280"/>
        <v>6723</v>
      </c>
      <c r="AK577" s="8">
        <v>0</v>
      </c>
      <c r="AL577" s="9">
        <v>0</v>
      </c>
      <c r="AM577" s="326">
        <f t="shared" si="281"/>
        <v>0</v>
      </c>
      <c r="AN577" s="970">
        <f t="shared" si="281"/>
        <v>0</v>
      </c>
      <c r="AO577" s="29">
        <v>0</v>
      </c>
      <c r="AP577" s="347">
        <f>+T577+AA577+AH577</f>
        <v>0</v>
      </c>
      <c r="AQ577" s="43"/>
      <c r="AR577" s="358">
        <f t="shared" si="264"/>
        <v>0</v>
      </c>
      <c r="AS577" s="359">
        <f t="shared" si="265"/>
        <v>0</v>
      </c>
      <c r="AT577" s="360">
        <f t="shared" si="266"/>
        <v>0</v>
      </c>
      <c r="AU577" s="43"/>
      <c r="AV577" s="2119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119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25"/>
      <c r="R578" s="324"/>
      <c r="S578" s="29">
        <v>0</v>
      </c>
      <c r="T578" s="28">
        <f>+IF(ABS(+O578+Q578)&lt;=ABS(P578+R578),-O578+P578-Q578+R578,0)</f>
        <v>0</v>
      </c>
      <c r="U578" s="51"/>
      <c r="V578" s="541">
        <f>+'NF-KSF-TRIAL-BAL-2021'!O578+'RA-TRIAL-BAL-2021'!O578+'DES-TRIAL-BAL-2021'!O578+'DMP-TRIAL-BAL-2021'!O578</f>
        <v>0</v>
      </c>
      <c r="W578" s="529">
        <f>+'NF-KSF-TRIAL-BAL-2021'!P578+'RA-TRIAL-BAL-2021'!P578+'DES-TRIAL-BAL-2021'!P578+'DMP-TRIAL-BAL-2021'!P578</f>
        <v>0</v>
      </c>
      <c r="X578" s="528">
        <f>+'NF-KSF-TRIAL-BAL-2021'!Q578+'RA-TRIAL-BAL-2021'!Q578+'DES-TRIAL-BAL-2021'!Q578+'DMP-TRIAL-BAL-2021'!Q578</f>
        <v>0</v>
      </c>
      <c r="Y578" s="529">
        <f>+'NF-KSF-TRIAL-BAL-2021'!R578+'RA-TRIAL-BAL-2021'!R578+'DES-TRIAL-BAL-2021'!R578+'DMP-TRIAL-BAL-2021'!R578</f>
        <v>0</v>
      </c>
      <c r="Z578" s="528">
        <f>+'NF-KSF-TRIAL-BAL-2021'!S578+'RA-TRIAL-BAL-2021'!S578+'DES-TRIAL-BAL-2021'!S578+'DMP-TRIAL-BAL-2021'!S578</f>
        <v>0</v>
      </c>
      <c r="AA578" s="347">
        <f>+'NF-KSF-TRIAL-BAL-2021'!T578+'RA-TRIAL-BAL-2021'!T578+'DES-TRIAL-BAL-2021'!T578+'DMP-TRIAL-BAL-2021'!T578</f>
        <v>0</v>
      </c>
      <c r="AB578" s="51"/>
      <c r="AC578" s="8">
        <v>0</v>
      </c>
      <c r="AD578" s="9">
        <v>0</v>
      </c>
      <c r="AE578" s="122"/>
      <c r="AF578" s="324"/>
      <c r="AG578" s="29">
        <v>0</v>
      </c>
      <c r="AH578" s="28">
        <f>+IF(ABS(+AC578+AE578)&lt;=ABS(AD578+AF578),-AC578+AD578-AE578+AF578,0)</f>
        <v>0</v>
      </c>
      <c r="AI578" s="51"/>
      <c r="AJ578" s="1497">
        <f t="shared" si="280"/>
        <v>6727</v>
      </c>
      <c r="AK578" s="8">
        <v>0</v>
      </c>
      <c r="AL578" s="9">
        <v>0</v>
      </c>
      <c r="AM578" s="326">
        <f t="shared" si="281"/>
        <v>0</v>
      </c>
      <c r="AN578" s="970">
        <f t="shared" si="281"/>
        <v>0</v>
      </c>
      <c r="AO578" s="29">
        <v>0</v>
      </c>
      <c r="AP578" s="347">
        <f>+T578+AA578+AH578</f>
        <v>0</v>
      </c>
      <c r="AQ578" s="43"/>
      <c r="AR578" s="358">
        <f t="shared" si="264"/>
        <v>0</v>
      </c>
      <c r="AS578" s="359">
        <f t="shared" si="265"/>
        <v>0</v>
      </c>
      <c r="AT578" s="360">
        <f t="shared" si="266"/>
        <v>0</v>
      </c>
      <c r="AU578" s="43"/>
      <c r="AV578" s="2119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119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25"/>
      <c r="R579" s="324"/>
      <c r="S579" s="27">
        <f>+IF(ABS(+O579+Q579)&gt;=ABS(P579+R579),+O579-P579+Q579-R579,0)</f>
        <v>0</v>
      </c>
      <c r="T579" s="30">
        <v>0</v>
      </c>
      <c r="U579" s="51"/>
      <c r="V579" s="541">
        <f>+'NF-KSF-TRIAL-BAL-2021'!O579+'RA-TRIAL-BAL-2021'!O579+'DES-TRIAL-BAL-2021'!O579+'DMP-TRIAL-BAL-2021'!O579</f>
        <v>0</v>
      </c>
      <c r="W579" s="529">
        <f>+'NF-KSF-TRIAL-BAL-2021'!P579+'RA-TRIAL-BAL-2021'!P579+'DES-TRIAL-BAL-2021'!P579+'DMP-TRIAL-BAL-2021'!P579</f>
        <v>0</v>
      </c>
      <c r="X579" s="528">
        <f>+'NF-KSF-TRIAL-BAL-2021'!Q579+'RA-TRIAL-BAL-2021'!Q579+'DES-TRIAL-BAL-2021'!Q579+'DMP-TRIAL-BAL-2021'!Q579</f>
        <v>0</v>
      </c>
      <c r="Y579" s="529">
        <f>+'NF-KSF-TRIAL-BAL-2021'!R579+'RA-TRIAL-BAL-2021'!R579+'DES-TRIAL-BAL-2021'!R579+'DMP-TRIAL-BAL-2021'!R579</f>
        <v>0</v>
      </c>
      <c r="Z579" s="528">
        <f>+'NF-KSF-TRIAL-BAL-2021'!S579+'RA-TRIAL-BAL-2021'!S579+'DES-TRIAL-BAL-2021'!S579+'DMP-TRIAL-BAL-2021'!S579</f>
        <v>0</v>
      </c>
      <c r="AA579" s="347">
        <f>+'NF-KSF-TRIAL-BAL-2021'!T579+'RA-TRIAL-BAL-2021'!T579+'DES-TRIAL-BAL-2021'!T579+'DMP-TRIAL-BAL-2021'!T579</f>
        <v>0</v>
      </c>
      <c r="AB579" s="51"/>
      <c r="AC579" s="8">
        <v>0</v>
      </c>
      <c r="AD579" s="9">
        <v>0</v>
      </c>
      <c r="AE579" s="122"/>
      <c r="AF579" s="324"/>
      <c r="AG579" s="27">
        <f>+IF(ABS(+AC579+AE579)&gt;=ABS(AD579+AF579),+AC579-AD579+AE579-AF579,0)</f>
        <v>0</v>
      </c>
      <c r="AH579" s="30">
        <v>0</v>
      </c>
      <c r="AI579" s="51"/>
      <c r="AJ579" s="1497">
        <f t="shared" si="280"/>
        <v>6791</v>
      </c>
      <c r="AK579" s="8">
        <v>0</v>
      </c>
      <c r="AL579" s="9">
        <v>0</v>
      </c>
      <c r="AM579" s="326">
        <f t="shared" si="281"/>
        <v>0</v>
      </c>
      <c r="AN579" s="970">
        <f t="shared" si="281"/>
        <v>0</v>
      </c>
      <c r="AO579" s="27">
        <f>+S579+Z579+AG579</f>
        <v>0</v>
      </c>
      <c r="AP579" s="30">
        <v>0</v>
      </c>
      <c r="AQ579" s="43"/>
      <c r="AR579" s="358">
        <f t="shared" si="264"/>
        <v>0</v>
      </c>
      <c r="AS579" s="359">
        <f t="shared" si="265"/>
        <v>0</v>
      </c>
      <c r="AT579" s="360">
        <f t="shared" si="266"/>
        <v>0</v>
      </c>
      <c r="AU579" s="43"/>
      <c r="AV579" s="2120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120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25"/>
      <c r="R580" s="324"/>
      <c r="S580" s="29">
        <v>0</v>
      </c>
      <c r="T580" s="28">
        <f t="shared" ref="T580:T587" si="282">+IF(ABS(+O580+Q580)&lt;=ABS(P580+R580),-O580+P580-Q580+R580,0)</f>
        <v>0</v>
      </c>
      <c r="U580" s="51"/>
      <c r="V580" s="541">
        <f>+'NF-KSF-TRIAL-BAL-2021'!O580+'RA-TRIAL-BAL-2021'!O580+'DES-TRIAL-BAL-2021'!O580+'DMP-TRIAL-BAL-2021'!O580</f>
        <v>0</v>
      </c>
      <c r="W580" s="529">
        <f>+'NF-KSF-TRIAL-BAL-2021'!P580+'RA-TRIAL-BAL-2021'!P580+'DES-TRIAL-BAL-2021'!P580+'DMP-TRIAL-BAL-2021'!P580</f>
        <v>0</v>
      </c>
      <c r="X580" s="528">
        <f>+'NF-KSF-TRIAL-BAL-2021'!Q580+'RA-TRIAL-BAL-2021'!Q580+'DES-TRIAL-BAL-2021'!Q580+'DMP-TRIAL-BAL-2021'!Q580</f>
        <v>0</v>
      </c>
      <c r="Y580" s="529">
        <f>+'NF-KSF-TRIAL-BAL-2021'!R580+'RA-TRIAL-BAL-2021'!R580+'DES-TRIAL-BAL-2021'!R580+'DMP-TRIAL-BAL-2021'!R580</f>
        <v>0</v>
      </c>
      <c r="Z580" s="528">
        <f>+'NF-KSF-TRIAL-BAL-2021'!S580+'RA-TRIAL-BAL-2021'!S580+'DES-TRIAL-BAL-2021'!S580+'DMP-TRIAL-BAL-2021'!S580</f>
        <v>0</v>
      </c>
      <c r="AA580" s="347">
        <f>+'NF-KSF-TRIAL-BAL-2021'!T580+'RA-TRIAL-BAL-2021'!T580+'DES-TRIAL-BAL-2021'!T580+'DMP-TRIAL-BAL-2021'!T580</f>
        <v>0</v>
      </c>
      <c r="AB580" s="51"/>
      <c r="AC580" s="8">
        <v>0</v>
      </c>
      <c r="AD580" s="9">
        <v>0</v>
      </c>
      <c r="AE580" s="122"/>
      <c r="AF580" s="324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97">
        <f t="shared" si="280"/>
        <v>6799</v>
      </c>
      <c r="AK580" s="8">
        <v>0</v>
      </c>
      <c r="AL580" s="9">
        <v>0</v>
      </c>
      <c r="AM580" s="326">
        <f t="shared" si="281"/>
        <v>0</v>
      </c>
      <c r="AN580" s="970">
        <f t="shared" si="281"/>
        <v>0</v>
      </c>
      <c r="AO580" s="29">
        <v>0</v>
      </c>
      <c r="AP580" s="347">
        <f t="shared" ref="AP580:AP600" si="284">+T580+AA580+AH580</f>
        <v>0</v>
      </c>
      <c r="AQ580" s="43"/>
      <c r="AR580" s="358">
        <f t="shared" si="264"/>
        <v>0</v>
      </c>
      <c r="AS580" s="359">
        <f t="shared" si="265"/>
        <v>0</v>
      </c>
      <c r="AT580" s="360">
        <f t="shared" si="266"/>
        <v>0</v>
      </c>
      <c r="AU580" s="43"/>
      <c r="AV580" s="2119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119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25"/>
      <c r="R581" s="324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41">
        <f>+'NF-KSF-TRIAL-BAL-2021'!O581+'RA-TRIAL-BAL-2021'!O581+'DES-TRIAL-BAL-2021'!O581+'DMP-TRIAL-BAL-2021'!O581</f>
        <v>0</v>
      </c>
      <c r="W581" s="529">
        <f>+'NF-KSF-TRIAL-BAL-2021'!P581+'RA-TRIAL-BAL-2021'!P581+'DES-TRIAL-BAL-2021'!P581+'DMP-TRIAL-BAL-2021'!P581</f>
        <v>0</v>
      </c>
      <c r="X581" s="528">
        <f>+'NF-KSF-TRIAL-BAL-2021'!Q581+'RA-TRIAL-BAL-2021'!Q581+'DES-TRIAL-BAL-2021'!Q581+'DMP-TRIAL-BAL-2021'!Q581</f>
        <v>0</v>
      </c>
      <c r="Y581" s="529">
        <f>+'NF-KSF-TRIAL-BAL-2021'!R581+'RA-TRIAL-BAL-2021'!R581+'DES-TRIAL-BAL-2021'!R581+'DMP-TRIAL-BAL-2021'!R581</f>
        <v>0</v>
      </c>
      <c r="Z581" s="528">
        <f>+'NF-KSF-TRIAL-BAL-2021'!S581+'RA-TRIAL-BAL-2021'!S581+'DES-TRIAL-BAL-2021'!S581+'DMP-TRIAL-BAL-2021'!S581</f>
        <v>0</v>
      </c>
      <c r="AA581" s="347">
        <f>+'NF-KSF-TRIAL-BAL-2021'!T581+'RA-TRIAL-BAL-2021'!T581+'DES-TRIAL-BAL-2021'!T581+'DMP-TRIAL-BAL-2021'!T581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97">
        <f t="shared" ref="AJ581:AJ587" si="288">+N581</f>
        <v>6901</v>
      </c>
      <c r="AK581" s="8">
        <v>0</v>
      </c>
      <c r="AL581" s="9">
        <v>0</v>
      </c>
      <c r="AM581" s="326">
        <f t="shared" si="281"/>
        <v>0</v>
      </c>
      <c r="AN581" s="970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58">
        <f t="shared" ref="AR581:AR587" si="290">+ROUND(+SUM(AK581-AL581)-SUM(O581-P581)-SUM(V581-W581)-SUM(AC581-AD581),2)</f>
        <v>0</v>
      </c>
      <c r="AS581" s="359">
        <f t="shared" ref="AS581:AS587" si="291">+ROUND(+SUM(AM581-AN581)-SUM(Q581-R581)-SUM(X581-Y581)-SUM(AE581-AF581),2)</f>
        <v>0</v>
      </c>
      <c r="AT581" s="360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25"/>
      <c r="R582" s="324"/>
      <c r="S582" s="27">
        <f t="shared" si="286"/>
        <v>0</v>
      </c>
      <c r="T582" s="28">
        <f t="shared" si="282"/>
        <v>0</v>
      </c>
      <c r="U582" s="51"/>
      <c r="V582" s="541">
        <f>+'NF-KSF-TRIAL-BAL-2021'!O582+'RA-TRIAL-BAL-2021'!O582+'DES-TRIAL-BAL-2021'!O582+'DMP-TRIAL-BAL-2021'!O582</f>
        <v>0</v>
      </c>
      <c r="W582" s="529">
        <f>+'NF-KSF-TRIAL-BAL-2021'!P582+'RA-TRIAL-BAL-2021'!P582+'DES-TRIAL-BAL-2021'!P582+'DMP-TRIAL-BAL-2021'!P582</f>
        <v>0</v>
      </c>
      <c r="X582" s="528">
        <f>+'NF-KSF-TRIAL-BAL-2021'!Q582+'RA-TRIAL-BAL-2021'!Q582+'DES-TRIAL-BAL-2021'!Q582+'DMP-TRIAL-BAL-2021'!Q582</f>
        <v>0</v>
      </c>
      <c r="Y582" s="529">
        <f>+'NF-KSF-TRIAL-BAL-2021'!R582+'RA-TRIAL-BAL-2021'!R582+'DES-TRIAL-BAL-2021'!R582+'DMP-TRIAL-BAL-2021'!R582</f>
        <v>0</v>
      </c>
      <c r="Z582" s="528">
        <f>+'NF-KSF-TRIAL-BAL-2021'!S582+'RA-TRIAL-BAL-2021'!S582+'DES-TRIAL-BAL-2021'!S582+'DMP-TRIAL-BAL-2021'!S582</f>
        <v>0</v>
      </c>
      <c r="AA582" s="347">
        <f>+'NF-KSF-TRIAL-BAL-2021'!T582+'RA-TRIAL-BAL-2021'!T582+'DES-TRIAL-BAL-2021'!T582+'DMP-TRIAL-BAL-2021'!T582</f>
        <v>0</v>
      </c>
      <c r="AB582" s="51"/>
      <c r="AC582" s="8">
        <v>0</v>
      </c>
      <c r="AD582" s="9">
        <v>0</v>
      </c>
      <c r="AE582" s="325"/>
      <c r="AF582" s="324"/>
      <c r="AG582" s="27">
        <f t="shared" si="287"/>
        <v>0</v>
      </c>
      <c r="AH582" s="28">
        <f t="shared" si="283"/>
        <v>0</v>
      </c>
      <c r="AI582" s="51"/>
      <c r="AJ582" s="1497">
        <f t="shared" si="288"/>
        <v>6902</v>
      </c>
      <c r="AK582" s="8">
        <v>0</v>
      </c>
      <c r="AL582" s="9">
        <v>0</v>
      </c>
      <c r="AM582" s="326">
        <f t="shared" si="281"/>
        <v>0</v>
      </c>
      <c r="AN582" s="970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58">
        <f t="shared" si="290"/>
        <v>0</v>
      </c>
      <c r="AS582" s="359">
        <f t="shared" si="291"/>
        <v>0</v>
      </c>
      <c r="AT582" s="360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25"/>
      <c r="R583" s="324"/>
      <c r="S583" s="27">
        <f t="shared" si="286"/>
        <v>0</v>
      </c>
      <c r="T583" s="28">
        <f t="shared" si="282"/>
        <v>0</v>
      </c>
      <c r="U583" s="51"/>
      <c r="V583" s="541">
        <f>+'NF-KSF-TRIAL-BAL-2021'!O583+'RA-TRIAL-BAL-2021'!O583+'DES-TRIAL-BAL-2021'!O583+'DMP-TRIAL-BAL-2021'!O583</f>
        <v>0</v>
      </c>
      <c r="W583" s="529">
        <f>+'NF-KSF-TRIAL-BAL-2021'!P583+'RA-TRIAL-BAL-2021'!P583+'DES-TRIAL-BAL-2021'!P583+'DMP-TRIAL-BAL-2021'!P583</f>
        <v>0</v>
      </c>
      <c r="X583" s="528">
        <f>+'NF-KSF-TRIAL-BAL-2021'!Q583+'RA-TRIAL-BAL-2021'!Q583+'DES-TRIAL-BAL-2021'!Q583+'DMP-TRIAL-BAL-2021'!Q583</f>
        <v>0</v>
      </c>
      <c r="Y583" s="529">
        <f>+'NF-KSF-TRIAL-BAL-2021'!R583+'RA-TRIAL-BAL-2021'!R583+'DES-TRIAL-BAL-2021'!R583+'DMP-TRIAL-BAL-2021'!R583</f>
        <v>0</v>
      </c>
      <c r="Z583" s="528">
        <f>+'NF-KSF-TRIAL-BAL-2021'!S583+'RA-TRIAL-BAL-2021'!S583+'DES-TRIAL-BAL-2021'!S583+'DMP-TRIAL-BAL-2021'!S583</f>
        <v>0</v>
      </c>
      <c r="AA583" s="347">
        <f>+'NF-KSF-TRIAL-BAL-2021'!T583+'RA-TRIAL-BAL-2021'!T583+'DES-TRIAL-BAL-2021'!T583+'DMP-TRIAL-BAL-2021'!T583</f>
        <v>0</v>
      </c>
      <c r="AB583" s="51"/>
      <c r="AC583" s="8">
        <v>0</v>
      </c>
      <c r="AD583" s="9">
        <v>0</v>
      </c>
      <c r="AE583" s="325"/>
      <c r="AF583" s="324"/>
      <c r="AG583" s="27">
        <f t="shared" si="287"/>
        <v>0</v>
      </c>
      <c r="AH583" s="28">
        <f t="shared" si="283"/>
        <v>0</v>
      </c>
      <c r="AI583" s="51"/>
      <c r="AJ583" s="1497">
        <f t="shared" si="288"/>
        <v>6903</v>
      </c>
      <c r="AK583" s="8">
        <v>0</v>
      </c>
      <c r="AL583" s="9">
        <v>0</v>
      </c>
      <c r="AM583" s="326">
        <f t="shared" si="281"/>
        <v>0</v>
      </c>
      <c r="AN583" s="970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58">
        <f t="shared" si="290"/>
        <v>0</v>
      </c>
      <c r="AS583" s="359">
        <f t="shared" si="291"/>
        <v>0</v>
      </c>
      <c r="AT583" s="360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25"/>
      <c r="R584" s="324"/>
      <c r="S584" s="27">
        <f t="shared" si="286"/>
        <v>0</v>
      </c>
      <c r="T584" s="28">
        <f t="shared" si="282"/>
        <v>0</v>
      </c>
      <c r="U584" s="51"/>
      <c r="V584" s="541">
        <f>+'NF-KSF-TRIAL-BAL-2021'!O584+'RA-TRIAL-BAL-2021'!O584+'DES-TRIAL-BAL-2021'!O584+'DMP-TRIAL-BAL-2021'!O584</f>
        <v>0</v>
      </c>
      <c r="W584" s="529">
        <f>+'NF-KSF-TRIAL-BAL-2021'!P584+'RA-TRIAL-BAL-2021'!P584+'DES-TRIAL-BAL-2021'!P584+'DMP-TRIAL-BAL-2021'!P584</f>
        <v>0</v>
      </c>
      <c r="X584" s="528">
        <f>+'NF-KSF-TRIAL-BAL-2021'!Q584+'RA-TRIAL-BAL-2021'!Q584+'DES-TRIAL-BAL-2021'!Q584+'DMP-TRIAL-BAL-2021'!Q584</f>
        <v>0</v>
      </c>
      <c r="Y584" s="529">
        <f>+'NF-KSF-TRIAL-BAL-2021'!R584+'RA-TRIAL-BAL-2021'!R584+'DES-TRIAL-BAL-2021'!R584+'DMP-TRIAL-BAL-2021'!R584</f>
        <v>0</v>
      </c>
      <c r="Z584" s="528">
        <f>+'NF-KSF-TRIAL-BAL-2021'!S584+'RA-TRIAL-BAL-2021'!S584+'DES-TRIAL-BAL-2021'!S584+'DMP-TRIAL-BAL-2021'!S584</f>
        <v>0</v>
      </c>
      <c r="AA584" s="347">
        <f>+'NF-KSF-TRIAL-BAL-2021'!T584+'RA-TRIAL-BAL-2021'!T584+'DES-TRIAL-BAL-2021'!T584+'DMP-TRIAL-BAL-2021'!T584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97">
        <f t="shared" si="288"/>
        <v>6904</v>
      </c>
      <c r="AK584" s="8">
        <v>0</v>
      </c>
      <c r="AL584" s="9">
        <v>0</v>
      </c>
      <c r="AM584" s="326">
        <f t="shared" si="281"/>
        <v>0</v>
      </c>
      <c r="AN584" s="970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58">
        <f t="shared" si="290"/>
        <v>0</v>
      </c>
      <c r="AS584" s="359">
        <f t="shared" si="291"/>
        <v>0</v>
      </c>
      <c r="AT584" s="360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25"/>
      <c r="R585" s="324"/>
      <c r="S585" s="27">
        <f t="shared" si="286"/>
        <v>0</v>
      </c>
      <c r="T585" s="28">
        <f t="shared" si="282"/>
        <v>0</v>
      </c>
      <c r="U585" s="51"/>
      <c r="V585" s="541">
        <f>+'NF-KSF-TRIAL-BAL-2021'!O585+'RA-TRIAL-BAL-2021'!O585+'DES-TRIAL-BAL-2021'!O585+'DMP-TRIAL-BAL-2021'!O585</f>
        <v>0</v>
      </c>
      <c r="W585" s="529">
        <f>+'NF-KSF-TRIAL-BAL-2021'!P585+'RA-TRIAL-BAL-2021'!P585+'DES-TRIAL-BAL-2021'!P585+'DMP-TRIAL-BAL-2021'!P585</f>
        <v>0</v>
      </c>
      <c r="X585" s="528">
        <f>+'NF-KSF-TRIAL-BAL-2021'!Q585+'RA-TRIAL-BAL-2021'!Q585+'DES-TRIAL-BAL-2021'!Q585+'DMP-TRIAL-BAL-2021'!Q585</f>
        <v>0</v>
      </c>
      <c r="Y585" s="529">
        <f>+'NF-KSF-TRIAL-BAL-2021'!R585+'RA-TRIAL-BAL-2021'!R585+'DES-TRIAL-BAL-2021'!R585+'DMP-TRIAL-BAL-2021'!R585</f>
        <v>0</v>
      </c>
      <c r="Z585" s="528">
        <f>+'NF-KSF-TRIAL-BAL-2021'!S585+'RA-TRIAL-BAL-2021'!S585+'DES-TRIAL-BAL-2021'!S585+'DMP-TRIAL-BAL-2021'!S585</f>
        <v>0</v>
      </c>
      <c r="AA585" s="347">
        <f>+'NF-KSF-TRIAL-BAL-2021'!T585+'RA-TRIAL-BAL-2021'!T585+'DES-TRIAL-BAL-2021'!T585+'DMP-TRIAL-BAL-2021'!T585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97">
        <f t="shared" si="288"/>
        <v>6905</v>
      </c>
      <c r="AK585" s="8">
        <v>0</v>
      </c>
      <c r="AL585" s="9">
        <v>0</v>
      </c>
      <c r="AM585" s="326">
        <f t="shared" si="281"/>
        <v>0</v>
      </c>
      <c r="AN585" s="970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58">
        <f t="shared" si="290"/>
        <v>0</v>
      </c>
      <c r="AS585" s="359">
        <f t="shared" si="291"/>
        <v>0</v>
      </c>
      <c r="AT585" s="360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25"/>
      <c r="R586" s="324"/>
      <c r="S586" s="27">
        <f t="shared" si="286"/>
        <v>0</v>
      </c>
      <c r="T586" s="28">
        <f t="shared" si="282"/>
        <v>0</v>
      </c>
      <c r="U586" s="51"/>
      <c r="V586" s="541">
        <f>+'NF-KSF-TRIAL-BAL-2021'!O586+'RA-TRIAL-BAL-2021'!O586+'DES-TRIAL-BAL-2021'!O586+'DMP-TRIAL-BAL-2021'!O586</f>
        <v>0</v>
      </c>
      <c r="W586" s="529">
        <f>+'NF-KSF-TRIAL-BAL-2021'!P586+'RA-TRIAL-BAL-2021'!P586+'DES-TRIAL-BAL-2021'!P586+'DMP-TRIAL-BAL-2021'!P586</f>
        <v>0</v>
      </c>
      <c r="X586" s="528">
        <f>+'NF-KSF-TRIAL-BAL-2021'!Q586+'RA-TRIAL-BAL-2021'!Q586+'DES-TRIAL-BAL-2021'!Q586+'DMP-TRIAL-BAL-2021'!Q586</f>
        <v>0</v>
      </c>
      <c r="Y586" s="529">
        <f>+'NF-KSF-TRIAL-BAL-2021'!R586+'RA-TRIAL-BAL-2021'!R586+'DES-TRIAL-BAL-2021'!R586+'DMP-TRIAL-BAL-2021'!R586</f>
        <v>0</v>
      </c>
      <c r="Z586" s="528">
        <f>+'NF-KSF-TRIAL-BAL-2021'!S586+'RA-TRIAL-BAL-2021'!S586+'DES-TRIAL-BAL-2021'!S586+'DMP-TRIAL-BAL-2021'!S586</f>
        <v>0</v>
      </c>
      <c r="AA586" s="347">
        <f>+'NF-KSF-TRIAL-BAL-2021'!T586+'RA-TRIAL-BAL-2021'!T586+'DES-TRIAL-BAL-2021'!T586+'DMP-TRIAL-BAL-2021'!T586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97">
        <f t="shared" si="288"/>
        <v>6906</v>
      </c>
      <c r="AK586" s="8">
        <v>0</v>
      </c>
      <c r="AL586" s="9">
        <v>0</v>
      </c>
      <c r="AM586" s="326">
        <f t="shared" si="281"/>
        <v>0</v>
      </c>
      <c r="AN586" s="970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58">
        <f t="shared" si="290"/>
        <v>0</v>
      </c>
      <c r="AS586" s="359">
        <f t="shared" si="291"/>
        <v>0</v>
      </c>
      <c r="AT586" s="360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25"/>
      <c r="R587" s="324"/>
      <c r="S587" s="27">
        <f t="shared" si="286"/>
        <v>0</v>
      </c>
      <c r="T587" s="28">
        <f t="shared" si="282"/>
        <v>0</v>
      </c>
      <c r="U587" s="51"/>
      <c r="V587" s="541">
        <f>+'NF-KSF-TRIAL-BAL-2021'!O587+'RA-TRIAL-BAL-2021'!O587+'DES-TRIAL-BAL-2021'!O587+'DMP-TRIAL-BAL-2021'!O587</f>
        <v>0</v>
      </c>
      <c r="W587" s="529">
        <f>+'NF-KSF-TRIAL-BAL-2021'!P587+'RA-TRIAL-BAL-2021'!P587+'DES-TRIAL-BAL-2021'!P587+'DMP-TRIAL-BAL-2021'!P587</f>
        <v>0</v>
      </c>
      <c r="X587" s="528">
        <f>+'NF-KSF-TRIAL-BAL-2021'!Q587+'RA-TRIAL-BAL-2021'!Q587+'DES-TRIAL-BAL-2021'!Q587+'DMP-TRIAL-BAL-2021'!Q587</f>
        <v>0</v>
      </c>
      <c r="Y587" s="529">
        <f>+'NF-KSF-TRIAL-BAL-2021'!R587+'RA-TRIAL-BAL-2021'!R587+'DES-TRIAL-BAL-2021'!R587+'DMP-TRIAL-BAL-2021'!R587</f>
        <v>0</v>
      </c>
      <c r="Z587" s="528">
        <f>+'NF-KSF-TRIAL-BAL-2021'!S587+'RA-TRIAL-BAL-2021'!S587+'DES-TRIAL-BAL-2021'!S587+'DMP-TRIAL-BAL-2021'!S587</f>
        <v>0</v>
      </c>
      <c r="AA587" s="347">
        <f>+'NF-KSF-TRIAL-BAL-2021'!T587+'RA-TRIAL-BAL-2021'!T587+'DES-TRIAL-BAL-2021'!T587+'DMP-TRIAL-BAL-2021'!T587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97">
        <f t="shared" si="288"/>
        <v>6910</v>
      </c>
      <c r="AK587" s="8">
        <v>0</v>
      </c>
      <c r="AL587" s="9">
        <v>0</v>
      </c>
      <c r="AM587" s="326">
        <f>+ROUND(+Q587+X587+AE587,2)</f>
        <v>0</v>
      </c>
      <c r="AN587" s="970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58">
        <f t="shared" si="290"/>
        <v>0</v>
      </c>
      <c r="AS587" s="359">
        <f t="shared" si="291"/>
        <v>0</v>
      </c>
      <c r="AT587" s="360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25"/>
      <c r="R588" s="324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41">
        <f>+'NF-KSF-TRIAL-BAL-2021'!O588+'RA-TRIAL-BAL-2021'!O588+'DES-TRIAL-BAL-2021'!O588+'DMP-TRIAL-BAL-2021'!O588</f>
        <v>0</v>
      </c>
      <c r="W588" s="529">
        <f>+'NF-KSF-TRIAL-BAL-2021'!P588+'RA-TRIAL-BAL-2021'!P588+'DES-TRIAL-BAL-2021'!P588+'DMP-TRIAL-BAL-2021'!P588</f>
        <v>0</v>
      </c>
      <c r="X588" s="528">
        <f>+'NF-KSF-TRIAL-BAL-2021'!Q588+'RA-TRIAL-BAL-2021'!Q588+'DES-TRIAL-BAL-2021'!Q588+'DMP-TRIAL-BAL-2021'!Q588</f>
        <v>0</v>
      </c>
      <c r="Y588" s="529">
        <f>+'NF-KSF-TRIAL-BAL-2021'!R588+'RA-TRIAL-BAL-2021'!R588+'DES-TRIAL-BAL-2021'!R588+'DMP-TRIAL-BAL-2021'!R588</f>
        <v>0</v>
      </c>
      <c r="Z588" s="528">
        <f>+'NF-KSF-TRIAL-BAL-2021'!S588+'RA-TRIAL-BAL-2021'!S588+'DES-TRIAL-BAL-2021'!S588+'DMP-TRIAL-BAL-2021'!S588</f>
        <v>0</v>
      </c>
      <c r="AA588" s="347">
        <f>+'NF-KSF-TRIAL-BAL-2021'!T588+'RA-TRIAL-BAL-2021'!T588+'DES-TRIAL-BAL-2021'!T588+'DMP-TRIAL-BAL-2021'!T588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97">
        <f t="shared" si="280"/>
        <v>6911</v>
      </c>
      <c r="AK588" s="8">
        <v>0</v>
      </c>
      <c r="AL588" s="9">
        <v>0</v>
      </c>
      <c r="AM588" s="326">
        <f t="shared" si="281"/>
        <v>0</v>
      </c>
      <c r="AN588" s="970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58">
        <f t="shared" si="264"/>
        <v>0</v>
      </c>
      <c r="AS588" s="359">
        <f t="shared" si="265"/>
        <v>0</v>
      </c>
      <c r="AT588" s="360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25"/>
      <c r="R589" s="324"/>
      <c r="S589" s="27">
        <f t="shared" si="293"/>
        <v>0</v>
      </c>
      <c r="T589" s="28">
        <f t="shared" si="294"/>
        <v>0</v>
      </c>
      <c r="U589" s="51"/>
      <c r="V589" s="541">
        <f>+'NF-KSF-TRIAL-BAL-2021'!O589+'RA-TRIAL-BAL-2021'!O589+'DES-TRIAL-BAL-2021'!O589+'DMP-TRIAL-BAL-2021'!O589</f>
        <v>0</v>
      </c>
      <c r="W589" s="529">
        <f>+'NF-KSF-TRIAL-BAL-2021'!P589+'RA-TRIAL-BAL-2021'!P589+'DES-TRIAL-BAL-2021'!P589+'DMP-TRIAL-BAL-2021'!P589</f>
        <v>0</v>
      </c>
      <c r="X589" s="528">
        <f>+'NF-KSF-TRIAL-BAL-2021'!Q589+'RA-TRIAL-BAL-2021'!Q589+'DES-TRIAL-BAL-2021'!Q589+'DMP-TRIAL-BAL-2021'!Q589</f>
        <v>0</v>
      </c>
      <c r="Y589" s="529">
        <f>+'NF-KSF-TRIAL-BAL-2021'!R589+'RA-TRIAL-BAL-2021'!R589+'DES-TRIAL-BAL-2021'!R589+'DMP-TRIAL-BAL-2021'!R589</f>
        <v>0</v>
      </c>
      <c r="Z589" s="528">
        <f>+'NF-KSF-TRIAL-BAL-2021'!S589+'RA-TRIAL-BAL-2021'!S589+'DES-TRIAL-BAL-2021'!S589+'DMP-TRIAL-BAL-2021'!S589</f>
        <v>0</v>
      </c>
      <c r="AA589" s="347">
        <f>+'NF-KSF-TRIAL-BAL-2021'!T589+'RA-TRIAL-BAL-2021'!T589+'DES-TRIAL-BAL-2021'!T589+'DMP-TRIAL-BAL-2021'!T589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97">
        <f t="shared" si="280"/>
        <v>6912</v>
      </c>
      <c r="AK589" s="8">
        <v>0</v>
      </c>
      <c r="AL589" s="9">
        <v>0</v>
      </c>
      <c r="AM589" s="326">
        <f t="shared" si="281"/>
        <v>0</v>
      </c>
      <c r="AN589" s="970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58">
        <f t="shared" si="264"/>
        <v>0</v>
      </c>
      <c r="AS589" s="359">
        <f t="shared" si="265"/>
        <v>0</v>
      </c>
      <c r="AT589" s="360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25"/>
      <c r="R590" s="324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41">
        <f>+'NF-KSF-TRIAL-BAL-2021'!O590+'RA-TRIAL-BAL-2021'!O590+'DES-TRIAL-BAL-2021'!O590+'DMP-TRIAL-BAL-2021'!O590</f>
        <v>0</v>
      </c>
      <c r="W590" s="529">
        <f>+'NF-KSF-TRIAL-BAL-2021'!P590+'RA-TRIAL-BAL-2021'!P590+'DES-TRIAL-BAL-2021'!P590+'DMP-TRIAL-BAL-2021'!P590</f>
        <v>0</v>
      </c>
      <c r="X590" s="528">
        <f>+'NF-KSF-TRIAL-BAL-2021'!Q590+'RA-TRIAL-BAL-2021'!Q590+'DES-TRIAL-BAL-2021'!Q590+'DMP-TRIAL-BAL-2021'!Q590</f>
        <v>0</v>
      </c>
      <c r="Y590" s="529">
        <f>+'NF-KSF-TRIAL-BAL-2021'!R590+'RA-TRIAL-BAL-2021'!R590+'DES-TRIAL-BAL-2021'!R590+'DMP-TRIAL-BAL-2021'!R590</f>
        <v>0</v>
      </c>
      <c r="Z590" s="528">
        <f>+'NF-KSF-TRIAL-BAL-2021'!S590+'RA-TRIAL-BAL-2021'!S590+'DES-TRIAL-BAL-2021'!S590+'DMP-TRIAL-BAL-2021'!S590</f>
        <v>0</v>
      </c>
      <c r="AA590" s="347">
        <f>+'NF-KSF-TRIAL-BAL-2021'!T590+'RA-TRIAL-BAL-2021'!T590+'DES-TRIAL-BAL-2021'!T590+'DMP-TRIAL-BAL-2021'!T590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97">
        <f>+N590</f>
        <v>6915</v>
      </c>
      <c r="AK590" s="8">
        <v>0</v>
      </c>
      <c r="AL590" s="9">
        <v>0</v>
      </c>
      <c r="AM590" s="326">
        <f>+ROUND(+Q590+X590+AE590,2)</f>
        <v>0</v>
      </c>
      <c r="AN590" s="970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58">
        <f>+ROUND(+SUM(AK590-AL590)-SUM(O590-P590)-SUM(V590-W590)-SUM(AC590-AD590),2)</f>
        <v>0</v>
      </c>
      <c r="AS590" s="359">
        <f>+ROUND(+SUM(AM590-AN590)-SUM(Q590-R590)-SUM(X590-Y590)-SUM(AE590-AF590),2)</f>
        <v>0</v>
      </c>
      <c r="AT590" s="360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25"/>
      <c r="R591" s="324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41">
        <f>+'NF-KSF-TRIAL-BAL-2021'!O591+'RA-TRIAL-BAL-2021'!O591+'DES-TRIAL-BAL-2021'!O591+'DMP-TRIAL-BAL-2021'!O591</f>
        <v>0</v>
      </c>
      <c r="W591" s="529">
        <f>+'NF-KSF-TRIAL-BAL-2021'!P591+'RA-TRIAL-BAL-2021'!P591+'DES-TRIAL-BAL-2021'!P591+'DMP-TRIAL-BAL-2021'!P591</f>
        <v>0</v>
      </c>
      <c r="X591" s="528">
        <f>+'NF-KSF-TRIAL-BAL-2021'!Q591+'RA-TRIAL-BAL-2021'!Q591+'DES-TRIAL-BAL-2021'!Q591+'DMP-TRIAL-BAL-2021'!Q591</f>
        <v>0</v>
      </c>
      <c r="Y591" s="529">
        <f>+'NF-KSF-TRIAL-BAL-2021'!R591+'RA-TRIAL-BAL-2021'!R591+'DES-TRIAL-BAL-2021'!R591+'DMP-TRIAL-BAL-2021'!R591</f>
        <v>0</v>
      </c>
      <c r="Z591" s="528">
        <f>+'NF-KSF-TRIAL-BAL-2021'!S591+'RA-TRIAL-BAL-2021'!S591+'DES-TRIAL-BAL-2021'!S591+'DMP-TRIAL-BAL-2021'!S591</f>
        <v>0</v>
      </c>
      <c r="AA591" s="347">
        <f>+'NF-KSF-TRIAL-BAL-2021'!T591+'RA-TRIAL-BAL-2021'!T591+'DES-TRIAL-BAL-2021'!T591+'DMP-TRIAL-BAL-2021'!T591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97">
        <f>+N591</f>
        <v>6916</v>
      </c>
      <c r="AK591" s="8">
        <v>0</v>
      </c>
      <c r="AL591" s="9">
        <v>0</v>
      </c>
      <c r="AM591" s="326">
        <f>+ROUND(+Q591+X591+AE591,2)</f>
        <v>0</v>
      </c>
      <c r="AN591" s="970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58">
        <f>+ROUND(+SUM(AK591-AL591)-SUM(O591-P591)-SUM(V591-W591)-SUM(AC591-AD591),2)</f>
        <v>0</v>
      </c>
      <c r="AS591" s="359">
        <f>+ROUND(+SUM(AM591-AN591)-SUM(Q591-R591)-SUM(X591-Y591)-SUM(AE591-AF591),2)</f>
        <v>0</v>
      </c>
      <c r="AT591" s="360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25"/>
      <c r="R592" s="324"/>
      <c r="S592" s="27">
        <f t="shared" si="293"/>
        <v>0</v>
      </c>
      <c r="T592" s="28">
        <f t="shared" si="294"/>
        <v>0</v>
      </c>
      <c r="U592" s="51"/>
      <c r="V592" s="541">
        <f>+'NF-KSF-TRIAL-BAL-2021'!O592+'RA-TRIAL-BAL-2021'!O592+'DES-TRIAL-BAL-2021'!O592+'DMP-TRIAL-BAL-2021'!O592</f>
        <v>0</v>
      </c>
      <c r="W592" s="529">
        <f>+'NF-KSF-TRIAL-BAL-2021'!P592+'RA-TRIAL-BAL-2021'!P592+'DES-TRIAL-BAL-2021'!P592+'DMP-TRIAL-BAL-2021'!P592</f>
        <v>0</v>
      </c>
      <c r="X592" s="528">
        <f>+'NF-KSF-TRIAL-BAL-2021'!Q592+'RA-TRIAL-BAL-2021'!Q592+'DES-TRIAL-BAL-2021'!Q592+'DMP-TRIAL-BAL-2021'!Q592</f>
        <v>0</v>
      </c>
      <c r="Y592" s="529">
        <f>+'NF-KSF-TRIAL-BAL-2021'!R592+'RA-TRIAL-BAL-2021'!R592+'DES-TRIAL-BAL-2021'!R592+'DMP-TRIAL-BAL-2021'!R592</f>
        <v>0</v>
      </c>
      <c r="Z592" s="528">
        <f>+'NF-KSF-TRIAL-BAL-2021'!S592+'RA-TRIAL-BAL-2021'!S592+'DES-TRIAL-BAL-2021'!S592+'DMP-TRIAL-BAL-2021'!S592</f>
        <v>0</v>
      </c>
      <c r="AA592" s="347">
        <f>+'NF-KSF-TRIAL-BAL-2021'!T592+'RA-TRIAL-BAL-2021'!T592+'DES-TRIAL-BAL-2021'!T592+'DMP-TRIAL-BAL-2021'!T592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97">
        <f t="shared" si="280"/>
        <v>6917</v>
      </c>
      <c r="AK592" s="8">
        <v>0</v>
      </c>
      <c r="AL592" s="9">
        <v>0</v>
      </c>
      <c r="AM592" s="326">
        <f t="shared" si="281"/>
        <v>0</v>
      </c>
      <c r="AN592" s="970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58">
        <f t="shared" si="264"/>
        <v>0</v>
      </c>
      <c r="AS592" s="359">
        <f t="shared" si="265"/>
        <v>0</v>
      </c>
      <c r="AT592" s="360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25"/>
      <c r="R593" s="324"/>
      <c r="S593" s="27">
        <f t="shared" si="293"/>
        <v>0</v>
      </c>
      <c r="T593" s="28">
        <f t="shared" si="294"/>
        <v>0</v>
      </c>
      <c r="U593" s="51"/>
      <c r="V593" s="541">
        <f>+'NF-KSF-TRIAL-BAL-2021'!O593+'RA-TRIAL-BAL-2021'!O593+'DES-TRIAL-BAL-2021'!O593+'DMP-TRIAL-BAL-2021'!O593</f>
        <v>0</v>
      </c>
      <c r="W593" s="529">
        <f>+'NF-KSF-TRIAL-BAL-2021'!P593+'RA-TRIAL-BAL-2021'!P593+'DES-TRIAL-BAL-2021'!P593+'DMP-TRIAL-BAL-2021'!P593</f>
        <v>0</v>
      </c>
      <c r="X593" s="528">
        <f>+'NF-KSF-TRIAL-BAL-2021'!Q593+'RA-TRIAL-BAL-2021'!Q593+'DES-TRIAL-BAL-2021'!Q593+'DMP-TRIAL-BAL-2021'!Q593</f>
        <v>0</v>
      </c>
      <c r="Y593" s="529">
        <f>+'NF-KSF-TRIAL-BAL-2021'!R593+'RA-TRIAL-BAL-2021'!R593+'DES-TRIAL-BAL-2021'!R593+'DMP-TRIAL-BAL-2021'!R593</f>
        <v>0</v>
      </c>
      <c r="Z593" s="528">
        <f>+'NF-KSF-TRIAL-BAL-2021'!S593+'RA-TRIAL-BAL-2021'!S593+'DES-TRIAL-BAL-2021'!S593+'DMP-TRIAL-BAL-2021'!S593</f>
        <v>0</v>
      </c>
      <c r="AA593" s="347">
        <f>+'NF-KSF-TRIAL-BAL-2021'!T593+'RA-TRIAL-BAL-2021'!T593+'DES-TRIAL-BAL-2021'!T593+'DMP-TRIAL-BAL-2021'!T593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97">
        <f t="shared" si="280"/>
        <v>6918</v>
      </c>
      <c r="AK593" s="8">
        <v>0</v>
      </c>
      <c r="AL593" s="9">
        <v>0</v>
      </c>
      <c r="AM593" s="326">
        <f t="shared" si="281"/>
        <v>0</v>
      </c>
      <c r="AN593" s="970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58">
        <f t="shared" si="264"/>
        <v>0</v>
      </c>
      <c r="AS593" s="359">
        <f t="shared" si="265"/>
        <v>0</v>
      </c>
      <c r="AT593" s="360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25"/>
      <c r="R594" s="324"/>
      <c r="S594" s="27">
        <f t="shared" ref="S594:S600" si="298">+IF(ABS(+O594+Q594)&gt;=ABS(P594+R594),+O594-P594+Q594-R594,0)</f>
        <v>0</v>
      </c>
      <c r="T594" s="28">
        <f t="shared" ref="T594:T600" si="299">+IF(ABS(+O594+Q594)&lt;=ABS(P594+R594),-O594+P594-Q594+R594,0)</f>
        <v>0</v>
      </c>
      <c r="U594" s="51"/>
      <c r="V594" s="541">
        <f>+'NF-KSF-TRIAL-BAL-2021'!O594+'RA-TRIAL-BAL-2021'!O594+'DES-TRIAL-BAL-2021'!O594+'DMP-TRIAL-BAL-2021'!O594</f>
        <v>0</v>
      </c>
      <c r="W594" s="529">
        <f>+'NF-KSF-TRIAL-BAL-2021'!P594+'RA-TRIAL-BAL-2021'!P594+'DES-TRIAL-BAL-2021'!P594+'DMP-TRIAL-BAL-2021'!P594</f>
        <v>0</v>
      </c>
      <c r="X594" s="528">
        <f>+'NF-KSF-TRIAL-BAL-2021'!Q594+'RA-TRIAL-BAL-2021'!Q594+'DES-TRIAL-BAL-2021'!Q594+'DMP-TRIAL-BAL-2021'!Q594</f>
        <v>0</v>
      </c>
      <c r="Y594" s="529">
        <f>+'NF-KSF-TRIAL-BAL-2021'!R594+'RA-TRIAL-BAL-2021'!R594+'DES-TRIAL-BAL-2021'!R594+'DMP-TRIAL-BAL-2021'!R594</f>
        <v>0</v>
      </c>
      <c r="Z594" s="528">
        <f>+'NF-KSF-TRIAL-BAL-2021'!S594+'RA-TRIAL-BAL-2021'!S594+'DES-TRIAL-BAL-2021'!S594+'DMP-TRIAL-BAL-2021'!S594</f>
        <v>0</v>
      </c>
      <c r="AA594" s="347">
        <f>+'NF-KSF-TRIAL-BAL-2021'!T594+'RA-TRIAL-BAL-2021'!T594+'DES-TRIAL-BAL-2021'!T594+'DMP-TRIAL-BAL-2021'!T594</f>
        <v>0</v>
      </c>
      <c r="AB594" s="51"/>
      <c r="AC594" s="8">
        <v>0</v>
      </c>
      <c r="AD594" s="9">
        <v>0</v>
      </c>
      <c r="AE594" s="122"/>
      <c r="AF594" s="121"/>
      <c r="AG594" s="27">
        <f t="shared" ref="AG594:AG600" si="300">+IF(ABS(+AC594+AE594)&gt;=ABS(AD594+AF594),+AC594-AD594+AE594-AF594,0)</f>
        <v>0</v>
      </c>
      <c r="AH594" s="28">
        <f t="shared" ref="AH594:AH600" si="301">+IF(ABS(+AC594+AE594)&lt;=ABS(AD594+AF594),-AC594+AD594-AE594+AF594,0)</f>
        <v>0</v>
      </c>
      <c r="AI594" s="51"/>
      <c r="AJ594" s="1497">
        <f t="shared" ref="AJ594:AJ600" si="302">+N594</f>
        <v>6992</v>
      </c>
      <c r="AK594" s="8">
        <v>0</v>
      </c>
      <c r="AL594" s="9">
        <v>0</v>
      </c>
      <c r="AM594" s="326">
        <f t="shared" ref="AM594:AM600" si="303">+ROUND(+Q594+X594+AE594,2)</f>
        <v>0</v>
      </c>
      <c r="AN594" s="970">
        <f t="shared" ref="AN594:AN600" si="304">+ROUND(+R594+Y594+AF594,2)</f>
        <v>0</v>
      </c>
      <c r="AO594" s="27">
        <f t="shared" si="289"/>
        <v>0</v>
      </c>
      <c r="AP594" s="28">
        <f t="shared" si="284"/>
        <v>0</v>
      </c>
      <c r="AQ594" s="43"/>
      <c r="AR594" s="358">
        <f t="shared" ref="AR594:AR600" si="305">+ROUND(+SUM(AK594-AL594)-SUM(O594-P594)-SUM(V594-W594)-SUM(AC594-AD594),2)</f>
        <v>0</v>
      </c>
      <c r="AS594" s="359">
        <f t="shared" ref="AS594:AS600" si="306">+ROUND(+SUM(AM594-AN594)-SUM(Q594-R594)-SUM(X594-Y594)-SUM(AE594-AF594),2)</f>
        <v>0</v>
      </c>
      <c r="AT594" s="360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25">
        <v>52.96</v>
      </c>
      <c r="R595" s="324"/>
      <c r="S595" s="27">
        <f t="shared" si="298"/>
        <v>52.96</v>
      </c>
      <c r="T595" s="28">
        <f t="shared" si="299"/>
        <v>0</v>
      </c>
      <c r="U595" s="51"/>
      <c r="V595" s="541">
        <f>+'NF-KSF-TRIAL-BAL-2021'!O595+'RA-TRIAL-BAL-2021'!O595+'DES-TRIAL-BAL-2021'!O595+'DMP-TRIAL-BAL-2021'!O595</f>
        <v>0</v>
      </c>
      <c r="W595" s="529">
        <f>+'NF-KSF-TRIAL-BAL-2021'!P595+'RA-TRIAL-BAL-2021'!P595+'DES-TRIAL-BAL-2021'!P595+'DMP-TRIAL-BAL-2021'!P595</f>
        <v>0</v>
      </c>
      <c r="X595" s="528">
        <f>+'NF-KSF-TRIAL-BAL-2021'!Q595+'RA-TRIAL-BAL-2021'!Q595+'DES-TRIAL-BAL-2021'!Q595+'DMP-TRIAL-BAL-2021'!Q595</f>
        <v>0</v>
      </c>
      <c r="Y595" s="529">
        <f>+'NF-KSF-TRIAL-BAL-2021'!R595+'RA-TRIAL-BAL-2021'!R595+'DES-TRIAL-BAL-2021'!R595+'DMP-TRIAL-BAL-2021'!R595</f>
        <v>0</v>
      </c>
      <c r="Z595" s="528">
        <f>+'NF-KSF-TRIAL-BAL-2021'!S595+'RA-TRIAL-BAL-2021'!S595+'DES-TRIAL-BAL-2021'!S595+'DMP-TRIAL-BAL-2021'!S595</f>
        <v>0</v>
      </c>
      <c r="AA595" s="347">
        <f>+'NF-KSF-TRIAL-BAL-2021'!T595+'RA-TRIAL-BAL-2021'!T595+'DES-TRIAL-BAL-2021'!T595+'DMP-TRIAL-BAL-2021'!T595</f>
        <v>0</v>
      </c>
      <c r="AB595" s="51"/>
      <c r="AC595" s="8">
        <v>0</v>
      </c>
      <c r="AD595" s="9">
        <v>0</v>
      </c>
      <c r="AE595" s="325"/>
      <c r="AF595" s="324"/>
      <c r="AG595" s="27">
        <f t="shared" si="300"/>
        <v>0</v>
      </c>
      <c r="AH595" s="28">
        <f t="shared" si="301"/>
        <v>0</v>
      </c>
      <c r="AI595" s="51"/>
      <c r="AJ595" s="1497">
        <f t="shared" si="302"/>
        <v>6993</v>
      </c>
      <c r="AK595" s="8">
        <v>0</v>
      </c>
      <c r="AL595" s="9">
        <v>0</v>
      </c>
      <c r="AM595" s="326">
        <f t="shared" si="303"/>
        <v>52.96</v>
      </c>
      <c r="AN595" s="970">
        <f t="shared" si="304"/>
        <v>0</v>
      </c>
      <c r="AO595" s="27">
        <f t="shared" si="289"/>
        <v>52.96</v>
      </c>
      <c r="AP595" s="28">
        <f t="shared" si="284"/>
        <v>0</v>
      </c>
      <c r="AQ595" s="43"/>
      <c r="AR595" s="358">
        <f t="shared" si="305"/>
        <v>0</v>
      </c>
      <c r="AS595" s="359">
        <f t="shared" si="306"/>
        <v>0</v>
      </c>
      <c r="AT595" s="360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25"/>
      <c r="R596" s="324"/>
      <c r="S596" s="27">
        <f t="shared" si="298"/>
        <v>0</v>
      </c>
      <c r="T596" s="28">
        <f t="shared" si="299"/>
        <v>0</v>
      </c>
      <c r="U596" s="51"/>
      <c r="V596" s="541">
        <f>+'NF-KSF-TRIAL-BAL-2021'!O596+'RA-TRIAL-BAL-2021'!O596+'DES-TRIAL-BAL-2021'!O596+'DMP-TRIAL-BAL-2021'!O596</f>
        <v>0</v>
      </c>
      <c r="W596" s="529">
        <f>+'NF-KSF-TRIAL-BAL-2021'!P596+'RA-TRIAL-BAL-2021'!P596+'DES-TRIAL-BAL-2021'!P596+'DMP-TRIAL-BAL-2021'!P596</f>
        <v>0</v>
      </c>
      <c r="X596" s="528">
        <f>+'NF-KSF-TRIAL-BAL-2021'!Q596+'RA-TRIAL-BAL-2021'!Q596+'DES-TRIAL-BAL-2021'!Q596+'DMP-TRIAL-BAL-2021'!Q596</f>
        <v>0</v>
      </c>
      <c r="Y596" s="529">
        <f>+'NF-KSF-TRIAL-BAL-2021'!R596+'RA-TRIAL-BAL-2021'!R596+'DES-TRIAL-BAL-2021'!R596+'DMP-TRIAL-BAL-2021'!R596</f>
        <v>0</v>
      </c>
      <c r="Z596" s="528">
        <f>+'NF-KSF-TRIAL-BAL-2021'!S596+'RA-TRIAL-BAL-2021'!S596+'DES-TRIAL-BAL-2021'!S596+'DMP-TRIAL-BAL-2021'!S596</f>
        <v>0</v>
      </c>
      <c r="AA596" s="347">
        <f>+'NF-KSF-TRIAL-BAL-2021'!T596+'RA-TRIAL-BAL-2021'!T596+'DES-TRIAL-BAL-2021'!T596+'DMP-TRIAL-BAL-2021'!T596</f>
        <v>0</v>
      </c>
      <c r="AB596" s="51"/>
      <c r="AC596" s="8">
        <v>0</v>
      </c>
      <c r="AD596" s="9">
        <v>0</v>
      </c>
      <c r="AE596" s="325"/>
      <c r="AF596" s="324"/>
      <c r="AG596" s="27">
        <f t="shared" si="300"/>
        <v>0</v>
      </c>
      <c r="AH596" s="28">
        <f t="shared" si="301"/>
        <v>0</v>
      </c>
      <c r="AI596" s="51"/>
      <c r="AJ596" s="1497">
        <f t="shared" si="302"/>
        <v>6994</v>
      </c>
      <c r="AK596" s="8">
        <v>0</v>
      </c>
      <c r="AL596" s="9">
        <v>0</v>
      </c>
      <c r="AM596" s="326">
        <f t="shared" si="303"/>
        <v>0</v>
      </c>
      <c r="AN596" s="970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58">
        <f t="shared" si="305"/>
        <v>0</v>
      </c>
      <c r="AS596" s="359">
        <f t="shared" si="306"/>
        <v>0</v>
      </c>
      <c r="AT596" s="360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25"/>
      <c r="R597" s="324"/>
      <c r="S597" s="27">
        <f t="shared" si="298"/>
        <v>0</v>
      </c>
      <c r="T597" s="28">
        <f t="shared" si="299"/>
        <v>0</v>
      </c>
      <c r="U597" s="51"/>
      <c r="V597" s="541">
        <f>+'NF-KSF-TRIAL-BAL-2021'!O597+'RA-TRIAL-BAL-2021'!O597+'DES-TRIAL-BAL-2021'!O597+'DMP-TRIAL-BAL-2021'!O597</f>
        <v>0</v>
      </c>
      <c r="W597" s="529">
        <f>+'NF-KSF-TRIAL-BAL-2021'!P597+'RA-TRIAL-BAL-2021'!P597+'DES-TRIAL-BAL-2021'!P597+'DMP-TRIAL-BAL-2021'!P597</f>
        <v>0</v>
      </c>
      <c r="X597" s="528">
        <f>+'NF-KSF-TRIAL-BAL-2021'!Q597+'RA-TRIAL-BAL-2021'!Q597+'DES-TRIAL-BAL-2021'!Q597+'DMP-TRIAL-BAL-2021'!Q597</f>
        <v>0</v>
      </c>
      <c r="Y597" s="529">
        <f>+'NF-KSF-TRIAL-BAL-2021'!R597+'RA-TRIAL-BAL-2021'!R597+'DES-TRIAL-BAL-2021'!R597+'DMP-TRIAL-BAL-2021'!R597</f>
        <v>0</v>
      </c>
      <c r="Z597" s="528">
        <f>+'NF-KSF-TRIAL-BAL-2021'!S597+'RA-TRIAL-BAL-2021'!S597+'DES-TRIAL-BAL-2021'!S597+'DMP-TRIAL-BAL-2021'!S597</f>
        <v>0</v>
      </c>
      <c r="AA597" s="347">
        <f>+'NF-KSF-TRIAL-BAL-2021'!T597+'RA-TRIAL-BAL-2021'!T597+'DES-TRIAL-BAL-2021'!T597+'DMP-TRIAL-BAL-2021'!T597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97">
        <f t="shared" si="302"/>
        <v>6995</v>
      </c>
      <c r="AK597" s="8">
        <v>0</v>
      </c>
      <c r="AL597" s="9">
        <v>0</v>
      </c>
      <c r="AM597" s="326">
        <f t="shared" si="303"/>
        <v>0</v>
      </c>
      <c r="AN597" s="970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58">
        <f t="shared" si="305"/>
        <v>0</v>
      </c>
      <c r="AS597" s="359">
        <f t="shared" si="306"/>
        <v>0</v>
      </c>
      <c r="AT597" s="360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25"/>
      <c r="R598" s="324"/>
      <c r="S598" s="27">
        <f t="shared" si="298"/>
        <v>0</v>
      </c>
      <c r="T598" s="28">
        <f t="shared" si="299"/>
        <v>0</v>
      </c>
      <c r="U598" s="51"/>
      <c r="V598" s="541">
        <f>+'NF-KSF-TRIAL-BAL-2021'!O598+'RA-TRIAL-BAL-2021'!O598+'DES-TRIAL-BAL-2021'!O598+'DMP-TRIAL-BAL-2021'!O598</f>
        <v>0</v>
      </c>
      <c r="W598" s="529">
        <f>+'NF-KSF-TRIAL-BAL-2021'!P598+'RA-TRIAL-BAL-2021'!P598+'DES-TRIAL-BAL-2021'!P598+'DMP-TRIAL-BAL-2021'!P598</f>
        <v>0</v>
      </c>
      <c r="X598" s="528">
        <f>+'NF-KSF-TRIAL-BAL-2021'!Q598+'RA-TRIAL-BAL-2021'!Q598+'DES-TRIAL-BAL-2021'!Q598+'DMP-TRIAL-BAL-2021'!Q598</f>
        <v>0</v>
      </c>
      <c r="Y598" s="529">
        <f>+'NF-KSF-TRIAL-BAL-2021'!R598+'RA-TRIAL-BAL-2021'!R598+'DES-TRIAL-BAL-2021'!R598+'DMP-TRIAL-BAL-2021'!R598</f>
        <v>0</v>
      </c>
      <c r="Z598" s="528">
        <f>+'NF-KSF-TRIAL-BAL-2021'!S598+'RA-TRIAL-BAL-2021'!S598+'DES-TRIAL-BAL-2021'!S598+'DMP-TRIAL-BAL-2021'!S598</f>
        <v>0</v>
      </c>
      <c r="AA598" s="347">
        <f>+'NF-KSF-TRIAL-BAL-2021'!T598+'RA-TRIAL-BAL-2021'!T598+'DES-TRIAL-BAL-2021'!T598+'DMP-TRIAL-BAL-2021'!T598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97">
        <f t="shared" si="302"/>
        <v>6996</v>
      </c>
      <c r="AK598" s="8">
        <v>0</v>
      </c>
      <c r="AL598" s="9">
        <v>0</v>
      </c>
      <c r="AM598" s="326">
        <f t="shared" si="303"/>
        <v>0</v>
      </c>
      <c r="AN598" s="970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58">
        <f t="shared" si="305"/>
        <v>0</v>
      </c>
      <c r="AS598" s="359">
        <f t="shared" si="306"/>
        <v>0</v>
      </c>
      <c r="AT598" s="360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25"/>
      <c r="R599" s="324"/>
      <c r="S599" s="27">
        <f t="shared" si="298"/>
        <v>0</v>
      </c>
      <c r="T599" s="28">
        <f t="shared" si="299"/>
        <v>0</v>
      </c>
      <c r="U599" s="51"/>
      <c r="V599" s="541">
        <f>+'NF-KSF-TRIAL-BAL-2021'!O599+'RA-TRIAL-BAL-2021'!O599+'DES-TRIAL-BAL-2021'!O599+'DMP-TRIAL-BAL-2021'!O599</f>
        <v>0</v>
      </c>
      <c r="W599" s="529">
        <f>+'NF-KSF-TRIAL-BAL-2021'!P599+'RA-TRIAL-BAL-2021'!P599+'DES-TRIAL-BAL-2021'!P599+'DMP-TRIAL-BAL-2021'!P599</f>
        <v>0</v>
      </c>
      <c r="X599" s="528">
        <f>+'NF-KSF-TRIAL-BAL-2021'!Q599+'RA-TRIAL-BAL-2021'!Q599+'DES-TRIAL-BAL-2021'!Q599+'DMP-TRIAL-BAL-2021'!Q599</f>
        <v>0</v>
      </c>
      <c r="Y599" s="529">
        <f>+'NF-KSF-TRIAL-BAL-2021'!R599+'RA-TRIAL-BAL-2021'!R599+'DES-TRIAL-BAL-2021'!R599+'DMP-TRIAL-BAL-2021'!R599</f>
        <v>0</v>
      </c>
      <c r="Z599" s="528">
        <f>+'NF-KSF-TRIAL-BAL-2021'!S599+'RA-TRIAL-BAL-2021'!S599+'DES-TRIAL-BAL-2021'!S599+'DMP-TRIAL-BAL-2021'!S599</f>
        <v>0</v>
      </c>
      <c r="AA599" s="347">
        <f>+'NF-KSF-TRIAL-BAL-2021'!T599+'RA-TRIAL-BAL-2021'!T599+'DES-TRIAL-BAL-2021'!T599+'DMP-TRIAL-BAL-2021'!T599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97">
        <f t="shared" si="302"/>
        <v>6997</v>
      </c>
      <c r="AK599" s="8">
        <v>0</v>
      </c>
      <c r="AL599" s="9">
        <v>0</v>
      </c>
      <c r="AM599" s="326">
        <f t="shared" si="303"/>
        <v>0</v>
      </c>
      <c r="AN599" s="970">
        <f t="shared" si="304"/>
        <v>0</v>
      </c>
      <c r="AO599" s="27">
        <f t="shared" si="289"/>
        <v>0</v>
      </c>
      <c r="AP599" s="28">
        <f t="shared" si="284"/>
        <v>0</v>
      </c>
      <c r="AQ599" s="43"/>
      <c r="AR599" s="358">
        <f t="shared" si="305"/>
        <v>0</v>
      </c>
      <c r="AS599" s="359">
        <f t="shared" si="306"/>
        <v>0</v>
      </c>
      <c r="AT599" s="360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25"/>
      <c r="R600" s="324"/>
      <c r="S600" s="27">
        <f t="shared" si="298"/>
        <v>0</v>
      </c>
      <c r="T600" s="28">
        <f t="shared" si="299"/>
        <v>0</v>
      </c>
      <c r="U600" s="51"/>
      <c r="V600" s="541">
        <f>+'NF-KSF-TRIAL-BAL-2021'!O600+'RA-TRIAL-BAL-2021'!O600+'DES-TRIAL-BAL-2021'!O600+'DMP-TRIAL-BAL-2021'!O600</f>
        <v>0</v>
      </c>
      <c r="W600" s="529">
        <f>+'NF-KSF-TRIAL-BAL-2021'!P600+'RA-TRIAL-BAL-2021'!P600+'DES-TRIAL-BAL-2021'!P600+'DMP-TRIAL-BAL-2021'!P600</f>
        <v>0</v>
      </c>
      <c r="X600" s="528">
        <f>+'NF-KSF-TRIAL-BAL-2021'!Q600+'RA-TRIAL-BAL-2021'!Q600+'DES-TRIAL-BAL-2021'!Q600+'DMP-TRIAL-BAL-2021'!Q600</f>
        <v>0</v>
      </c>
      <c r="Y600" s="529">
        <f>+'NF-KSF-TRIAL-BAL-2021'!R600+'RA-TRIAL-BAL-2021'!R600+'DES-TRIAL-BAL-2021'!R600+'DMP-TRIAL-BAL-2021'!R600</f>
        <v>0</v>
      </c>
      <c r="Z600" s="528">
        <f>+'NF-KSF-TRIAL-BAL-2021'!S600+'RA-TRIAL-BAL-2021'!S600+'DES-TRIAL-BAL-2021'!S600+'DMP-TRIAL-BAL-2021'!S600</f>
        <v>0</v>
      </c>
      <c r="AA600" s="347">
        <f>+'NF-KSF-TRIAL-BAL-2021'!T600+'RA-TRIAL-BAL-2021'!T600+'DES-TRIAL-BAL-2021'!T600+'DMP-TRIAL-BAL-2021'!T600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97">
        <f t="shared" si="302"/>
        <v>6998</v>
      </c>
      <c r="AK600" s="8">
        <v>0</v>
      </c>
      <c r="AL600" s="9">
        <v>0</v>
      </c>
      <c r="AM600" s="326">
        <f t="shared" si="303"/>
        <v>0</v>
      </c>
      <c r="AN600" s="970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58">
        <f t="shared" si="305"/>
        <v>0</v>
      </c>
      <c r="AS600" s="359">
        <f t="shared" si="306"/>
        <v>0</v>
      </c>
      <c r="AT600" s="360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 t="s">
        <v>265</v>
      </c>
      <c r="N601" s="383">
        <v>7</v>
      </c>
      <c r="O601" s="384"/>
      <c r="P601" s="385"/>
      <c r="Q601" s="386"/>
      <c r="R601" s="385"/>
      <c r="S601" s="386"/>
      <c r="T601" s="387"/>
      <c r="U601" s="51"/>
      <c r="V601" s="545"/>
      <c r="W601" s="533"/>
      <c r="X601" s="532"/>
      <c r="Y601" s="533"/>
      <c r="Z601" s="532"/>
      <c r="AA601" s="534"/>
      <c r="AB601" s="51"/>
      <c r="AC601" s="384"/>
      <c r="AD601" s="385"/>
      <c r="AE601" s="386"/>
      <c r="AF601" s="385"/>
      <c r="AG601" s="386"/>
      <c r="AH601" s="387"/>
      <c r="AI601" s="51"/>
      <c r="AJ601" s="388">
        <f t="shared" si="280"/>
        <v>7</v>
      </c>
      <c r="AK601" s="384"/>
      <c r="AL601" s="385"/>
      <c r="AM601" s="386"/>
      <c r="AN601" s="385"/>
      <c r="AO601" s="386"/>
      <c r="AP601" s="387"/>
      <c r="AQ601" s="43"/>
      <c r="AR601" s="392"/>
      <c r="AS601" s="393"/>
      <c r="AT601" s="394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28">
        <v>0</v>
      </c>
      <c r="P602" s="329">
        <v>0</v>
      </c>
      <c r="Q602" s="325"/>
      <c r="R602" s="324">
        <v>571842.05000000005</v>
      </c>
      <c r="S602" s="326">
        <f t="shared" ref="S602:S639" si="309">+IF(ABS(+O602+Q602)&gt;=ABS(P602+R602),+O602-P602+Q602-R602,0)</f>
        <v>0</v>
      </c>
      <c r="T602" s="327">
        <f>+IF(ABS(+O602+Q602)&lt;=ABS(P602+R602),-O602+P602-Q602+R602,0)</f>
        <v>571842.05000000005</v>
      </c>
      <c r="U602" s="51"/>
      <c r="V602" s="543">
        <f>+'NF-KSF-TRIAL-BAL-2021'!O602+'RA-TRIAL-BAL-2021'!O602+'DES-TRIAL-BAL-2021'!O602+'DMP-TRIAL-BAL-2021'!O602</f>
        <v>0</v>
      </c>
      <c r="W602" s="526">
        <f>+'NF-KSF-TRIAL-BAL-2021'!P602+'RA-TRIAL-BAL-2021'!P602+'DES-TRIAL-BAL-2021'!P602+'DMP-TRIAL-BAL-2021'!P602</f>
        <v>0</v>
      </c>
      <c r="X602" s="525">
        <f>+'NF-KSF-TRIAL-BAL-2021'!Q602+'RA-TRIAL-BAL-2021'!Q602+'DES-TRIAL-BAL-2021'!Q602+'DMP-TRIAL-BAL-2021'!Q602</f>
        <v>0</v>
      </c>
      <c r="Y602" s="526">
        <f>+'NF-KSF-TRIAL-BAL-2021'!R602+'RA-TRIAL-BAL-2021'!R602+'DES-TRIAL-BAL-2021'!R602+'DMP-TRIAL-BAL-2021'!R602</f>
        <v>0</v>
      </c>
      <c r="Z602" s="525">
        <f>+'NF-KSF-TRIAL-BAL-2021'!S602+'RA-TRIAL-BAL-2021'!S602+'DES-TRIAL-BAL-2021'!S602+'DMP-TRIAL-BAL-2021'!S602</f>
        <v>0</v>
      </c>
      <c r="AA602" s="527">
        <f>+'NF-KSF-TRIAL-BAL-2021'!T602+'RA-TRIAL-BAL-2021'!T602+'DES-TRIAL-BAL-2021'!T602+'DMP-TRIAL-BAL-2021'!T602</f>
        <v>0</v>
      </c>
      <c r="AB602" s="51"/>
      <c r="AC602" s="328">
        <v>0</v>
      </c>
      <c r="AD602" s="329">
        <v>0</v>
      </c>
      <c r="AE602" s="325"/>
      <c r="AF602" s="324"/>
      <c r="AG602" s="326">
        <f t="shared" ref="AG602:AG640" si="310">+IF(ABS(+AC602+AE602)&gt;=ABS(AD602+AF602),+AC602-AD602+AE602-AF602,0)</f>
        <v>0</v>
      </c>
      <c r="AH602" s="327">
        <f>+IF(ABS(+AC602+AE602)&lt;=ABS(AD602+AF602),-AC602+AD602-AE602+AF602,0)</f>
        <v>0</v>
      </c>
      <c r="AI602" s="51"/>
      <c r="AJ602" s="1496">
        <f t="shared" si="280"/>
        <v>7011</v>
      </c>
      <c r="AK602" s="328">
        <v>0</v>
      </c>
      <c r="AL602" s="329">
        <v>0</v>
      </c>
      <c r="AM602" s="326">
        <f t="shared" ref="AM602:AN639" si="311">+ROUND(+Q602+X602+AE602,2)</f>
        <v>0</v>
      </c>
      <c r="AN602" s="970">
        <f t="shared" si="311"/>
        <v>571842.05000000005</v>
      </c>
      <c r="AO602" s="27">
        <f>+S602+Z602+AG602</f>
        <v>0</v>
      </c>
      <c r="AP602" s="28">
        <f>+T602+AA602+AH602</f>
        <v>571842.05000000005</v>
      </c>
      <c r="AQ602" s="43"/>
      <c r="AR602" s="358">
        <f t="shared" ref="AR602:AR669" si="312">+ROUND(+SUM(AK602-AL602)-SUM(O602-P602)-SUM(V602-W602)-SUM(AC602-AD602),2)</f>
        <v>0</v>
      </c>
      <c r="AS602" s="359">
        <f t="shared" ref="AS602:AS669" si="313">+ROUND(+SUM(AM602-AN602)-SUM(Q602-R602)-SUM(X602-Y602)-SUM(AE602-AF602),2)</f>
        <v>0</v>
      </c>
      <c r="AT602" s="360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25"/>
      <c r="R603" s="324"/>
      <c r="S603" s="27">
        <f t="shared" si="309"/>
        <v>0</v>
      </c>
      <c r="T603" s="28">
        <f>+IF(ABS(+O603+Q603)&lt;=ABS(P603+R603),-O603+P603-Q603+R603,0)</f>
        <v>0</v>
      </c>
      <c r="U603" s="51"/>
      <c r="V603" s="541">
        <f>+'NF-KSF-TRIAL-BAL-2021'!O603+'RA-TRIAL-BAL-2021'!O603+'DES-TRIAL-BAL-2021'!O603+'DMP-TRIAL-BAL-2021'!O603</f>
        <v>0</v>
      </c>
      <c r="W603" s="529">
        <f>+'NF-KSF-TRIAL-BAL-2021'!P603+'RA-TRIAL-BAL-2021'!P603+'DES-TRIAL-BAL-2021'!P603+'DMP-TRIAL-BAL-2021'!P603</f>
        <v>0</v>
      </c>
      <c r="X603" s="528">
        <f>+'NF-KSF-TRIAL-BAL-2021'!Q603+'RA-TRIAL-BAL-2021'!Q603+'DES-TRIAL-BAL-2021'!Q603+'DMP-TRIAL-BAL-2021'!Q603</f>
        <v>0</v>
      </c>
      <c r="Y603" s="529">
        <f>+'NF-KSF-TRIAL-BAL-2021'!R603+'RA-TRIAL-BAL-2021'!R603+'DES-TRIAL-BAL-2021'!R603+'DMP-TRIAL-BAL-2021'!R603</f>
        <v>0</v>
      </c>
      <c r="Z603" s="528">
        <f>+'NF-KSF-TRIAL-BAL-2021'!S603+'RA-TRIAL-BAL-2021'!S603+'DES-TRIAL-BAL-2021'!S603+'DMP-TRIAL-BAL-2021'!S603</f>
        <v>0</v>
      </c>
      <c r="AA603" s="347">
        <f>+'NF-KSF-TRIAL-BAL-2021'!T603+'RA-TRIAL-BAL-2021'!T603+'DES-TRIAL-BAL-2021'!T603+'DMP-TRIAL-BAL-2021'!T603</f>
        <v>0</v>
      </c>
      <c r="AB603" s="51"/>
      <c r="AC603" s="8">
        <v>0</v>
      </c>
      <c r="AD603" s="9">
        <v>0</v>
      </c>
      <c r="AE603" s="325"/>
      <c r="AF603" s="324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97">
        <f t="shared" si="280"/>
        <v>7012</v>
      </c>
      <c r="AK603" s="8">
        <v>0</v>
      </c>
      <c r="AL603" s="9">
        <v>0</v>
      </c>
      <c r="AM603" s="326">
        <f t="shared" si="311"/>
        <v>0</v>
      </c>
      <c r="AN603" s="970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58">
        <f t="shared" si="312"/>
        <v>0</v>
      </c>
      <c r="AS603" s="359">
        <f t="shared" si="313"/>
        <v>0</v>
      </c>
      <c r="AT603" s="360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25"/>
      <c r="R604" s="324"/>
      <c r="S604" s="27">
        <f t="shared" si="309"/>
        <v>0</v>
      </c>
      <c r="T604" s="30">
        <v>0</v>
      </c>
      <c r="U604" s="51"/>
      <c r="V604" s="541">
        <f>+'NF-KSF-TRIAL-BAL-2021'!O604+'RA-TRIAL-BAL-2021'!O604+'DES-TRIAL-BAL-2021'!O604+'DMP-TRIAL-BAL-2021'!O604</f>
        <v>0</v>
      </c>
      <c r="W604" s="529">
        <f>+'NF-KSF-TRIAL-BAL-2021'!P604+'RA-TRIAL-BAL-2021'!P604+'DES-TRIAL-BAL-2021'!P604+'DMP-TRIAL-BAL-2021'!P604</f>
        <v>0</v>
      </c>
      <c r="X604" s="528">
        <f>+'NF-KSF-TRIAL-BAL-2021'!Q604+'RA-TRIAL-BAL-2021'!Q604+'DES-TRIAL-BAL-2021'!Q604+'DMP-TRIAL-BAL-2021'!Q604</f>
        <v>0</v>
      </c>
      <c r="Y604" s="529">
        <f>+'NF-KSF-TRIAL-BAL-2021'!R604+'RA-TRIAL-BAL-2021'!R604+'DES-TRIAL-BAL-2021'!R604+'DMP-TRIAL-BAL-2021'!R604</f>
        <v>0</v>
      </c>
      <c r="Z604" s="528">
        <f>+'NF-KSF-TRIAL-BAL-2021'!S604+'RA-TRIAL-BAL-2021'!S604+'DES-TRIAL-BAL-2021'!S604+'DMP-TRIAL-BAL-2021'!S604</f>
        <v>0</v>
      </c>
      <c r="AA604" s="347">
        <f>+'NF-KSF-TRIAL-BAL-2021'!T604+'RA-TRIAL-BAL-2021'!T604+'DES-TRIAL-BAL-2021'!T604+'DMP-TRIAL-BAL-2021'!T604</f>
        <v>0</v>
      </c>
      <c r="AB604" s="51"/>
      <c r="AC604" s="8">
        <v>0</v>
      </c>
      <c r="AD604" s="9">
        <v>0</v>
      </c>
      <c r="AE604" s="122"/>
      <c r="AF604" s="324"/>
      <c r="AG604" s="27">
        <f t="shared" si="310"/>
        <v>0</v>
      </c>
      <c r="AH604" s="30">
        <v>0</v>
      </c>
      <c r="AI604" s="51"/>
      <c r="AJ604" s="1497">
        <f t="shared" si="280"/>
        <v>7013</v>
      </c>
      <c r="AK604" s="8">
        <v>0</v>
      </c>
      <c r="AL604" s="9">
        <v>0</v>
      </c>
      <c r="AM604" s="326">
        <f t="shared" si="311"/>
        <v>0</v>
      </c>
      <c r="AN604" s="970">
        <f t="shared" si="311"/>
        <v>0</v>
      </c>
      <c r="AO604" s="27">
        <f>+S604+Z604+AG604</f>
        <v>0</v>
      </c>
      <c r="AP604" s="30">
        <v>0</v>
      </c>
      <c r="AQ604" s="43"/>
      <c r="AR604" s="358">
        <f t="shared" si="312"/>
        <v>0</v>
      </c>
      <c r="AS604" s="359">
        <f t="shared" si="313"/>
        <v>0</v>
      </c>
      <c r="AT604" s="360">
        <f t="shared" si="314"/>
        <v>0</v>
      </c>
      <c r="AU604" s="43"/>
      <c r="AV604" s="2120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120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25"/>
      <c r="R605" s="324"/>
      <c r="S605" s="27">
        <f t="shared" si="309"/>
        <v>0</v>
      </c>
      <c r="T605" s="28">
        <f>+IF(ABS(+O605+Q605)&lt;=ABS(P605+R605),-O605+P605-Q605+R605,0)</f>
        <v>0</v>
      </c>
      <c r="U605" s="51"/>
      <c r="V605" s="541">
        <f>+'NF-KSF-TRIAL-BAL-2021'!O605+'RA-TRIAL-BAL-2021'!O605+'DES-TRIAL-BAL-2021'!O605+'DMP-TRIAL-BAL-2021'!O605</f>
        <v>0</v>
      </c>
      <c r="W605" s="529">
        <f>+'NF-KSF-TRIAL-BAL-2021'!P605+'RA-TRIAL-BAL-2021'!P605+'DES-TRIAL-BAL-2021'!P605+'DMP-TRIAL-BAL-2021'!P605</f>
        <v>0</v>
      </c>
      <c r="X605" s="528">
        <f>+'NF-KSF-TRIAL-BAL-2021'!Q605+'RA-TRIAL-BAL-2021'!Q605+'DES-TRIAL-BAL-2021'!Q605+'DMP-TRIAL-BAL-2021'!Q605</f>
        <v>0</v>
      </c>
      <c r="Y605" s="529">
        <f>+'NF-KSF-TRIAL-BAL-2021'!R605+'RA-TRIAL-BAL-2021'!R605+'DES-TRIAL-BAL-2021'!R605+'DMP-TRIAL-BAL-2021'!R605</f>
        <v>0</v>
      </c>
      <c r="Z605" s="528">
        <f>+'NF-KSF-TRIAL-BAL-2021'!S605+'RA-TRIAL-BAL-2021'!S605+'DES-TRIAL-BAL-2021'!S605+'DMP-TRIAL-BAL-2021'!S605</f>
        <v>0</v>
      </c>
      <c r="AA605" s="347">
        <f>+'NF-KSF-TRIAL-BAL-2021'!T605+'RA-TRIAL-BAL-2021'!T605+'DES-TRIAL-BAL-2021'!T605+'DMP-TRIAL-BAL-2021'!T605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97">
        <f t="shared" si="280"/>
        <v>7014</v>
      </c>
      <c r="AK605" s="8">
        <v>0</v>
      </c>
      <c r="AL605" s="9">
        <v>0</v>
      </c>
      <c r="AM605" s="326">
        <f t="shared" si="311"/>
        <v>0</v>
      </c>
      <c r="AN605" s="970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58">
        <f t="shared" si="312"/>
        <v>0</v>
      </c>
      <c r="AS605" s="359">
        <f t="shared" si="313"/>
        <v>0</v>
      </c>
      <c r="AT605" s="360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25"/>
      <c r="R606" s="324">
        <v>251206.94</v>
      </c>
      <c r="S606" s="27">
        <f t="shared" si="309"/>
        <v>0</v>
      </c>
      <c r="T606" s="28">
        <f>+IF(ABS(+O606+Q606)&lt;=ABS(P606+R606),-O606+P606-Q606+R606,0)</f>
        <v>251206.94</v>
      </c>
      <c r="U606" s="51"/>
      <c r="V606" s="541">
        <f>+'NF-KSF-TRIAL-BAL-2021'!O606+'RA-TRIAL-BAL-2021'!O606+'DES-TRIAL-BAL-2021'!O606+'DMP-TRIAL-BAL-2021'!O606</f>
        <v>0</v>
      </c>
      <c r="W606" s="529">
        <f>+'NF-KSF-TRIAL-BAL-2021'!P606+'RA-TRIAL-BAL-2021'!P606+'DES-TRIAL-BAL-2021'!P606+'DMP-TRIAL-BAL-2021'!P606</f>
        <v>0</v>
      </c>
      <c r="X606" s="528">
        <f>+'NF-KSF-TRIAL-BAL-2021'!Q606+'RA-TRIAL-BAL-2021'!Q606+'DES-TRIAL-BAL-2021'!Q606+'DMP-TRIAL-BAL-2021'!Q606</f>
        <v>0</v>
      </c>
      <c r="Y606" s="529">
        <f>+'NF-KSF-TRIAL-BAL-2021'!R606+'RA-TRIAL-BAL-2021'!R606+'DES-TRIAL-BAL-2021'!R606+'DMP-TRIAL-BAL-2021'!R606</f>
        <v>0</v>
      </c>
      <c r="Z606" s="528">
        <f>+'NF-KSF-TRIAL-BAL-2021'!S606+'RA-TRIAL-BAL-2021'!S606+'DES-TRIAL-BAL-2021'!S606+'DMP-TRIAL-BAL-2021'!S606</f>
        <v>0</v>
      </c>
      <c r="AA606" s="347">
        <f>+'NF-KSF-TRIAL-BAL-2021'!T606+'RA-TRIAL-BAL-2021'!T606+'DES-TRIAL-BAL-2021'!T606+'DMP-TRIAL-BAL-2021'!T606</f>
        <v>0</v>
      </c>
      <c r="AB606" s="51"/>
      <c r="AC606" s="8">
        <v>0</v>
      </c>
      <c r="AD606" s="9">
        <v>0</v>
      </c>
      <c r="AE606" s="325"/>
      <c r="AF606" s="324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97">
        <f t="shared" si="280"/>
        <v>7041</v>
      </c>
      <c r="AK606" s="8">
        <v>0</v>
      </c>
      <c r="AL606" s="9">
        <v>0</v>
      </c>
      <c r="AM606" s="326">
        <f t="shared" si="311"/>
        <v>0</v>
      </c>
      <c r="AN606" s="970">
        <f t="shared" si="311"/>
        <v>251206.94</v>
      </c>
      <c r="AO606" s="27">
        <f>+S606+Z606+AG606</f>
        <v>0</v>
      </c>
      <c r="AP606" s="28">
        <f>+T606+AA606+AH606</f>
        <v>251206.94</v>
      </c>
      <c r="AQ606" s="43"/>
      <c r="AR606" s="358">
        <f t="shared" si="312"/>
        <v>0</v>
      </c>
      <c r="AS606" s="359">
        <f t="shared" si="313"/>
        <v>0</v>
      </c>
      <c r="AT606" s="360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25"/>
      <c r="R607" s="324"/>
      <c r="S607" s="27">
        <f t="shared" si="309"/>
        <v>0</v>
      </c>
      <c r="T607" s="28">
        <f>+IF(ABS(+O607+Q607)&lt;=ABS(P607+R607),-O607+P607-Q607+R607,0)</f>
        <v>0</v>
      </c>
      <c r="U607" s="51"/>
      <c r="V607" s="541">
        <f>+'NF-KSF-TRIAL-BAL-2021'!O607+'RA-TRIAL-BAL-2021'!O607+'DES-TRIAL-BAL-2021'!O607+'DMP-TRIAL-BAL-2021'!O607</f>
        <v>0</v>
      </c>
      <c r="W607" s="529">
        <f>+'NF-KSF-TRIAL-BAL-2021'!P607+'RA-TRIAL-BAL-2021'!P607+'DES-TRIAL-BAL-2021'!P607+'DMP-TRIAL-BAL-2021'!P607</f>
        <v>0</v>
      </c>
      <c r="X607" s="528">
        <f>+'NF-KSF-TRIAL-BAL-2021'!Q607+'RA-TRIAL-BAL-2021'!Q607+'DES-TRIAL-BAL-2021'!Q607+'DMP-TRIAL-BAL-2021'!Q607</f>
        <v>0</v>
      </c>
      <c r="Y607" s="529">
        <f>+'NF-KSF-TRIAL-BAL-2021'!R607+'RA-TRIAL-BAL-2021'!R607+'DES-TRIAL-BAL-2021'!R607+'DMP-TRIAL-BAL-2021'!R607</f>
        <v>0</v>
      </c>
      <c r="Z607" s="528">
        <f>+'NF-KSF-TRIAL-BAL-2021'!S607+'RA-TRIAL-BAL-2021'!S607+'DES-TRIAL-BAL-2021'!S607+'DMP-TRIAL-BAL-2021'!S607</f>
        <v>0</v>
      </c>
      <c r="AA607" s="347">
        <f>+'NF-KSF-TRIAL-BAL-2021'!T607+'RA-TRIAL-BAL-2021'!T607+'DES-TRIAL-BAL-2021'!T607+'DMP-TRIAL-BAL-2021'!T607</f>
        <v>0</v>
      </c>
      <c r="AB607" s="51"/>
      <c r="AC607" s="8">
        <v>0</v>
      </c>
      <c r="AD607" s="9">
        <v>0</v>
      </c>
      <c r="AE607" s="325"/>
      <c r="AF607" s="324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97">
        <f t="shared" si="280"/>
        <v>7042</v>
      </c>
      <c r="AK607" s="8">
        <v>0</v>
      </c>
      <c r="AL607" s="9">
        <v>0</v>
      </c>
      <c r="AM607" s="326">
        <f t="shared" si="311"/>
        <v>0</v>
      </c>
      <c r="AN607" s="970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58">
        <f t="shared" si="312"/>
        <v>0</v>
      </c>
      <c r="AS607" s="359">
        <f t="shared" si="313"/>
        <v>0</v>
      </c>
      <c r="AT607" s="360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25"/>
      <c r="R608" s="324"/>
      <c r="S608" s="27">
        <f t="shared" si="309"/>
        <v>0</v>
      </c>
      <c r="T608" s="30">
        <v>0</v>
      </c>
      <c r="U608" s="51"/>
      <c r="V608" s="541">
        <f>+'NF-KSF-TRIAL-BAL-2021'!O608+'RA-TRIAL-BAL-2021'!O608+'DES-TRIAL-BAL-2021'!O608+'DMP-TRIAL-BAL-2021'!O608</f>
        <v>0</v>
      </c>
      <c r="W608" s="529">
        <f>+'NF-KSF-TRIAL-BAL-2021'!P608+'RA-TRIAL-BAL-2021'!P608+'DES-TRIAL-BAL-2021'!P608+'DMP-TRIAL-BAL-2021'!P608</f>
        <v>0</v>
      </c>
      <c r="X608" s="528">
        <f>+'NF-KSF-TRIAL-BAL-2021'!Q608+'RA-TRIAL-BAL-2021'!Q608+'DES-TRIAL-BAL-2021'!Q608+'DMP-TRIAL-BAL-2021'!Q608</f>
        <v>0</v>
      </c>
      <c r="Y608" s="529">
        <f>+'NF-KSF-TRIAL-BAL-2021'!R608+'RA-TRIAL-BAL-2021'!R608+'DES-TRIAL-BAL-2021'!R608+'DMP-TRIAL-BAL-2021'!R608</f>
        <v>0</v>
      </c>
      <c r="Z608" s="528">
        <f>+'NF-KSF-TRIAL-BAL-2021'!S608+'RA-TRIAL-BAL-2021'!S608+'DES-TRIAL-BAL-2021'!S608+'DMP-TRIAL-BAL-2021'!S608</f>
        <v>0</v>
      </c>
      <c r="AA608" s="347">
        <f>+'NF-KSF-TRIAL-BAL-2021'!T608+'RA-TRIAL-BAL-2021'!T608+'DES-TRIAL-BAL-2021'!T608+'DMP-TRIAL-BAL-2021'!T608</f>
        <v>0</v>
      </c>
      <c r="AB608" s="51"/>
      <c r="AC608" s="8">
        <v>0</v>
      </c>
      <c r="AD608" s="9">
        <v>0</v>
      </c>
      <c r="AE608" s="122"/>
      <c r="AF608" s="324"/>
      <c r="AG608" s="27">
        <f t="shared" si="310"/>
        <v>0</v>
      </c>
      <c r="AH608" s="30">
        <v>0</v>
      </c>
      <c r="AI608" s="51"/>
      <c r="AJ608" s="1497">
        <f t="shared" si="280"/>
        <v>7043</v>
      </c>
      <c r="AK608" s="8">
        <v>0</v>
      </c>
      <c r="AL608" s="9">
        <v>0</v>
      </c>
      <c r="AM608" s="326">
        <f t="shared" si="311"/>
        <v>0</v>
      </c>
      <c r="AN608" s="970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58">
        <f t="shared" si="312"/>
        <v>0</v>
      </c>
      <c r="AS608" s="359">
        <f t="shared" si="313"/>
        <v>0</v>
      </c>
      <c r="AT608" s="360">
        <f t="shared" si="314"/>
        <v>0</v>
      </c>
      <c r="AU608" s="43"/>
      <c r="AV608" s="2120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120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25"/>
      <c r="R609" s="324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41">
        <f>+'NF-KSF-TRIAL-BAL-2021'!O609+'RA-TRIAL-BAL-2021'!O609+'DES-TRIAL-BAL-2021'!O609+'DMP-TRIAL-BAL-2021'!O609</f>
        <v>0</v>
      </c>
      <c r="W609" s="529">
        <f>+'NF-KSF-TRIAL-BAL-2021'!P609+'RA-TRIAL-BAL-2021'!P609+'DES-TRIAL-BAL-2021'!P609+'DMP-TRIAL-BAL-2021'!P609</f>
        <v>0</v>
      </c>
      <c r="X609" s="528">
        <f>+'NF-KSF-TRIAL-BAL-2021'!Q609+'RA-TRIAL-BAL-2021'!Q609+'DES-TRIAL-BAL-2021'!Q609+'DMP-TRIAL-BAL-2021'!Q609</f>
        <v>0</v>
      </c>
      <c r="Y609" s="529">
        <f>+'NF-KSF-TRIAL-BAL-2021'!R609+'RA-TRIAL-BAL-2021'!R609+'DES-TRIAL-BAL-2021'!R609+'DMP-TRIAL-BAL-2021'!R609</f>
        <v>0</v>
      </c>
      <c r="Z609" s="528">
        <f>+'NF-KSF-TRIAL-BAL-2021'!S609+'RA-TRIAL-BAL-2021'!S609+'DES-TRIAL-BAL-2021'!S609+'DMP-TRIAL-BAL-2021'!S609</f>
        <v>0</v>
      </c>
      <c r="AA609" s="347">
        <f>+'NF-KSF-TRIAL-BAL-2021'!T609+'RA-TRIAL-BAL-2021'!T609+'DES-TRIAL-BAL-2021'!T609+'DMP-TRIAL-BAL-2021'!T609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97">
        <f t="shared" si="280"/>
        <v>7044</v>
      </c>
      <c r="AK609" s="8">
        <v>0</v>
      </c>
      <c r="AL609" s="9">
        <v>0</v>
      </c>
      <c r="AM609" s="326">
        <f t="shared" si="311"/>
        <v>0</v>
      </c>
      <c r="AN609" s="970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58">
        <f t="shared" si="312"/>
        <v>0</v>
      </c>
      <c r="AS609" s="359">
        <f t="shared" si="313"/>
        <v>0</v>
      </c>
      <c r="AT609" s="360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25">
        <v>247</v>
      </c>
      <c r="R610" s="324">
        <v>241557.79</v>
      </c>
      <c r="S610" s="27">
        <f t="shared" si="309"/>
        <v>0</v>
      </c>
      <c r="T610" s="28">
        <f t="shared" si="316"/>
        <v>241310.79</v>
      </c>
      <c r="U610" s="51"/>
      <c r="V610" s="541">
        <f>+'NF-KSF-TRIAL-BAL-2021'!O610+'RA-TRIAL-BAL-2021'!O610+'DES-TRIAL-BAL-2021'!O610+'DMP-TRIAL-BAL-2021'!O610</f>
        <v>0</v>
      </c>
      <c r="W610" s="529">
        <f>+'NF-KSF-TRIAL-BAL-2021'!P610+'RA-TRIAL-BAL-2021'!P610+'DES-TRIAL-BAL-2021'!P610+'DMP-TRIAL-BAL-2021'!P610</f>
        <v>0</v>
      </c>
      <c r="X610" s="528">
        <f>+'NF-KSF-TRIAL-BAL-2021'!Q610+'RA-TRIAL-BAL-2021'!Q610+'DES-TRIAL-BAL-2021'!Q610+'DMP-TRIAL-BAL-2021'!Q610</f>
        <v>0</v>
      </c>
      <c r="Y610" s="529">
        <f>+'NF-KSF-TRIAL-BAL-2021'!R610+'RA-TRIAL-BAL-2021'!R610+'DES-TRIAL-BAL-2021'!R610+'DMP-TRIAL-BAL-2021'!R610</f>
        <v>0</v>
      </c>
      <c r="Z610" s="528">
        <f>+'NF-KSF-TRIAL-BAL-2021'!S610+'RA-TRIAL-BAL-2021'!S610+'DES-TRIAL-BAL-2021'!S610+'DMP-TRIAL-BAL-2021'!S610</f>
        <v>0</v>
      </c>
      <c r="AA610" s="347">
        <f>+'NF-KSF-TRIAL-BAL-2021'!T610+'RA-TRIAL-BAL-2021'!T610+'DES-TRIAL-BAL-2021'!T610+'DMP-TRIAL-BAL-2021'!T610</f>
        <v>0</v>
      </c>
      <c r="AB610" s="51"/>
      <c r="AC610" s="8">
        <v>0</v>
      </c>
      <c r="AD610" s="9">
        <v>0</v>
      </c>
      <c r="AE610" s="325"/>
      <c r="AF610" s="324"/>
      <c r="AG610" s="27">
        <f t="shared" si="310"/>
        <v>0</v>
      </c>
      <c r="AH610" s="28">
        <f t="shared" si="317"/>
        <v>0</v>
      </c>
      <c r="AI610" s="51"/>
      <c r="AJ610" s="1497">
        <f t="shared" si="280"/>
        <v>7051</v>
      </c>
      <c r="AK610" s="8">
        <v>0</v>
      </c>
      <c r="AL610" s="9">
        <v>0</v>
      </c>
      <c r="AM610" s="326">
        <f t="shared" si="311"/>
        <v>247</v>
      </c>
      <c r="AN610" s="970">
        <f t="shared" si="311"/>
        <v>241557.79</v>
      </c>
      <c r="AO610" s="27">
        <f t="shared" si="315"/>
        <v>0</v>
      </c>
      <c r="AP610" s="28">
        <f t="shared" si="318"/>
        <v>241310.79</v>
      </c>
      <c r="AQ610" s="43"/>
      <c r="AR610" s="358">
        <f t="shared" si="312"/>
        <v>0</v>
      </c>
      <c r="AS610" s="359">
        <f t="shared" si="313"/>
        <v>0</v>
      </c>
      <c r="AT610" s="360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25"/>
      <c r="R611" s="324"/>
      <c r="S611" s="27">
        <f t="shared" si="309"/>
        <v>0</v>
      </c>
      <c r="T611" s="28">
        <f t="shared" si="316"/>
        <v>0</v>
      </c>
      <c r="U611" s="51"/>
      <c r="V611" s="541">
        <f>+'NF-KSF-TRIAL-BAL-2021'!O611+'RA-TRIAL-BAL-2021'!O611+'DES-TRIAL-BAL-2021'!O611+'DMP-TRIAL-BAL-2021'!O611</f>
        <v>0</v>
      </c>
      <c r="W611" s="529">
        <f>+'NF-KSF-TRIAL-BAL-2021'!P611+'RA-TRIAL-BAL-2021'!P611+'DES-TRIAL-BAL-2021'!P611+'DMP-TRIAL-BAL-2021'!P611</f>
        <v>0</v>
      </c>
      <c r="X611" s="528">
        <f>+'NF-KSF-TRIAL-BAL-2021'!Q611+'RA-TRIAL-BAL-2021'!Q611+'DES-TRIAL-BAL-2021'!Q611+'DMP-TRIAL-BAL-2021'!Q611</f>
        <v>0</v>
      </c>
      <c r="Y611" s="529">
        <f>+'NF-KSF-TRIAL-BAL-2021'!R611+'RA-TRIAL-BAL-2021'!R611+'DES-TRIAL-BAL-2021'!R611+'DMP-TRIAL-BAL-2021'!R611</f>
        <v>0</v>
      </c>
      <c r="Z611" s="528">
        <f>+'NF-KSF-TRIAL-BAL-2021'!S611+'RA-TRIAL-BAL-2021'!S611+'DES-TRIAL-BAL-2021'!S611+'DMP-TRIAL-BAL-2021'!S611</f>
        <v>0</v>
      </c>
      <c r="AA611" s="347">
        <f>+'NF-KSF-TRIAL-BAL-2021'!T611+'RA-TRIAL-BAL-2021'!T611+'DES-TRIAL-BAL-2021'!T611+'DMP-TRIAL-BAL-2021'!T611</f>
        <v>0</v>
      </c>
      <c r="AB611" s="51"/>
      <c r="AC611" s="8">
        <v>0</v>
      </c>
      <c r="AD611" s="9">
        <v>0</v>
      </c>
      <c r="AE611" s="325"/>
      <c r="AF611" s="324"/>
      <c r="AG611" s="27">
        <f t="shared" si="310"/>
        <v>0</v>
      </c>
      <c r="AH611" s="28">
        <f t="shared" si="317"/>
        <v>0</v>
      </c>
      <c r="AI611" s="51"/>
      <c r="AJ611" s="1497">
        <f t="shared" si="280"/>
        <v>7052</v>
      </c>
      <c r="AK611" s="8">
        <v>0</v>
      </c>
      <c r="AL611" s="9">
        <v>0</v>
      </c>
      <c r="AM611" s="326">
        <f t="shared" si="311"/>
        <v>0</v>
      </c>
      <c r="AN611" s="970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58">
        <f t="shared" si="312"/>
        <v>0</v>
      </c>
      <c r="AS611" s="359">
        <f t="shared" si="313"/>
        <v>0</v>
      </c>
      <c r="AT611" s="360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25"/>
      <c r="R612" s="324">
        <v>20643.75</v>
      </c>
      <c r="S612" s="27">
        <f t="shared" si="309"/>
        <v>0</v>
      </c>
      <c r="T612" s="28">
        <f t="shared" si="316"/>
        <v>20643.75</v>
      </c>
      <c r="U612" s="51"/>
      <c r="V612" s="541">
        <f>+'NF-KSF-TRIAL-BAL-2021'!O612+'RA-TRIAL-BAL-2021'!O612+'DES-TRIAL-BAL-2021'!O612+'DMP-TRIAL-BAL-2021'!O612</f>
        <v>0</v>
      </c>
      <c r="W612" s="529">
        <f>+'NF-KSF-TRIAL-BAL-2021'!P612+'RA-TRIAL-BAL-2021'!P612+'DES-TRIAL-BAL-2021'!P612+'DMP-TRIAL-BAL-2021'!P612</f>
        <v>0</v>
      </c>
      <c r="X612" s="528">
        <f>+'NF-KSF-TRIAL-BAL-2021'!Q612+'RA-TRIAL-BAL-2021'!Q612+'DES-TRIAL-BAL-2021'!Q612+'DMP-TRIAL-BAL-2021'!Q612</f>
        <v>0</v>
      </c>
      <c r="Y612" s="529">
        <f>+'NF-KSF-TRIAL-BAL-2021'!R612+'RA-TRIAL-BAL-2021'!R612+'DES-TRIAL-BAL-2021'!R612+'DMP-TRIAL-BAL-2021'!R612</f>
        <v>0</v>
      </c>
      <c r="Z612" s="528">
        <f>+'NF-KSF-TRIAL-BAL-2021'!S612+'RA-TRIAL-BAL-2021'!S612+'DES-TRIAL-BAL-2021'!S612+'DMP-TRIAL-BAL-2021'!S612</f>
        <v>0</v>
      </c>
      <c r="AA612" s="347">
        <f>+'NF-KSF-TRIAL-BAL-2021'!T612+'RA-TRIAL-BAL-2021'!T612+'DES-TRIAL-BAL-2021'!T612+'DMP-TRIAL-BAL-2021'!T612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97">
        <f t="shared" si="280"/>
        <v>7090</v>
      </c>
      <c r="AK612" s="8">
        <v>0</v>
      </c>
      <c r="AL612" s="9">
        <v>0</v>
      </c>
      <c r="AM612" s="326">
        <f t="shared" si="311"/>
        <v>0</v>
      </c>
      <c r="AN612" s="970">
        <f t="shared" si="311"/>
        <v>20643.75</v>
      </c>
      <c r="AO612" s="27">
        <f t="shared" si="315"/>
        <v>0</v>
      </c>
      <c r="AP612" s="28">
        <f t="shared" si="318"/>
        <v>20643.75</v>
      </c>
      <c r="AQ612" s="43"/>
      <c r="AR612" s="358">
        <f t="shared" si="312"/>
        <v>0</v>
      </c>
      <c r="AS612" s="359">
        <f t="shared" si="313"/>
        <v>0</v>
      </c>
      <c r="AT612" s="360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25"/>
      <c r="R613" s="324">
        <v>76</v>
      </c>
      <c r="S613" s="27">
        <f t="shared" si="309"/>
        <v>0</v>
      </c>
      <c r="T613" s="28">
        <f t="shared" si="316"/>
        <v>76</v>
      </c>
      <c r="U613" s="51"/>
      <c r="V613" s="541">
        <f>+'NF-KSF-TRIAL-BAL-2021'!O613+'RA-TRIAL-BAL-2021'!O613+'DES-TRIAL-BAL-2021'!O613+'DMP-TRIAL-BAL-2021'!O613</f>
        <v>0</v>
      </c>
      <c r="W613" s="529">
        <f>+'NF-KSF-TRIAL-BAL-2021'!P613+'RA-TRIAL-BAL-2021'!P613+'DES-TRIAL-BAL-2021'!P613+'DMP-TRIAL-BAL-2021'!P613</f>
        <v>0</v>
      </c>
      <c r="X613" s="528">
        <f>+'NF-KSF-TRIAL-BAL-2021'!Q613+'RA-TRIAL-BAL-2021'!Q613+'DES-TRIAL-BAL-2021'!Q613+'DMP-TRIAL-BAL-2021'!Q613</f>
        <v>0</v>
      </c>
      <c r="Y613" s="529">
        <f>+'NF-KSF-TRIAL-BAL-2021'!R613+'RA-TRIAL-BAL-2021'!R613+'DES-TRIAL-BAL-2021'!R613+'DMP-TRIAL-BAL-2021'!R613</f>
        <v>0</v>
      </c>
      <c r="Z613" s="528">
        <f>+'NF-KSF-TRIAL-BAL-2021'!S613+'RA-TRIAL-BAL-2021'!S613+'DES-TRIAL-BAL-2021'!S613+'DMP-TRIAL-BAL-2021'!S613</f>
        <v>0</v>
      </c>
      <c r="AA613" s="347">
        <f>+'NF-KSF-TRIAL-BAL-2021'!T613+'RA-TRIAL-BAL-2021'!T613+'DES-TRIAL-BAL-2021'!T613+'DMP-TRIAL-BAL-2021'!T613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97">
        <f t="shared" si="280"/>
        <v>7110</v>
      </c>
      <c r="AK613" s="8">
        <v>0</v>
      </c>
      <c r="AL613" s="9">
        <v>0</v>
      </c>
      <c r="AM613" s="326">
        <f t="shared" si="311"/>
        <v>0</v>
      </c>
      <c r="AN613" s="970">
        <f t="shared" si="311"/>
        <v>76</v>
      </c>
      <c r="AO613" s="27">
        <f t="shared" si="315"/>
        <v>0</v>
      </c>
      <c r="AP613" s="28">
        <f t="shared" si="318"/>
        <v>76</v>
      </c>
      <c r="AQ613" s="43"/>
      <c r="AR613" s="358">
        <f t="shared" si="312"/>
        <v>0</v>
      </c>
      <c r="AS613" s="359">
        <f t="shared" si="313"/>
        <v>0</v>
      </c>
      <c r="AT613" s="360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25"/>
      <c r="R614" s="324"/>
      <c r="S614" s="27">
        <f t="shared" si="309"/>
        <v>0</v>
      </c>
      <c r="T614" s="28">
        <f t="shared" si="316"/>
        <v>0</v>
      </c>
      <c r="U614" s="51"/>
      <c r="V614" s="541">
        <f>+'NF-KSF-TRIAL-BAL-2021'!O614+'RA-TRIAL-BAL-2021'!O614+'DES-TRIAL-BAL-2021'!O614+'DMP-TRIAL-BAL-2021'!O614</f>
        <v>0</v>
      </c>
      <c r="W614" s="529">
        <f>+'NF-KSF-TRIAL-BAL-2021'!P614+'RA-TRIAL-BAL-2021'!P614+'DES-TRIAL-BAL-2021'!P614+'DMP-TRIAL-BAL-2021'!P614</f>
        <v>0</v>
      </c>
      <c r="X614" s="528">
        <f>+'NF-KSF-TRIAL-BAL-2021'!Q614+'RA-TRIAL-BAL-2021'!Q614+'DES-TRIAL-BAL-2021'!Q614+'DMP-TRIAL-BAL-2021'!Q614</f>
        <v>0</v>
      </c>
      <c r="Y614" s="529">
        <f>+'NF-KSF-TRIAL-BAL-2021'!R614+'RA-TRIAL-BAL-2021'!R614+'DES-TRIAL-BAL-2021'!R614+'DMP-TRIAL-BAL-2021'!R614</f>
        <v>0</v>
      </c>
      <c r="Z614" s="528">
        <f>+'NF-KSF-TRIAL-BAL-2021'!S614+'RA-TRIAL-BAL-2021'!S614+'DES-TRIAL-BAL-2021'!S614+'DMP-TRIAL-BAL-2021'!S614</f>
        <v>0</v>
      </c>
      <c r="AA614" s="347">
        <f>+'NF-KSF-TRIAL-BAL-2021'!T614+'RA-TRIAL-BAL-2021'!T614+'DES-TRIAL-BAL-2021'!T614+'DMP-TRIAL-BAL-2021'!T614</f>
        <v>0</v>
      </c>
      <c r="AB614" s="51"/>
      <c r="AC614" s="8">
        <v>0</v>
      </c>
      <c r="AD614" s="9">
        <v>0</v>
      </c>
      <c r="AE614" s="325"/>
      <c r="AF614" s="324"/>
      <c r="AG614" s="27">
        <f t="shared" si="310"/>
        <v>0</v>
      </c>
      <c r="AH614" s="28">
        <f t="shared" si="317"/>
        <v>0</v>
      </c>
      <c r="AI614" s="51"/>
      <c r="AJ614" s="1497">
        <f t="shared" si="280"/>
        <v>7111</v>
      </c>
      <c r="AK614" s="8">
        <v>0</v>
      </c>
      <c r="AL614" s="9">
        <v>0</v>
      </c>
      <c r="AM614" s="326">
        <f t="shared" si="311"/>
        <v>0</v>
      </c>
      <c r="AN614" s="970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58">
        <f t="shared" si="312"/>
        <v>0</v>
      </c>
      <c r="AS614" s="359">
        <f t="shared" si="313"/>
        <v>0</v>
      </c>
      <c r="AT614" s="360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25"/>
      <c r="R615" s="324">
        <v>8375.4500000000007</v>
      </c>
      <c r="S615" s="27">
        <f t="shared" si="309"/>
        <v>0</v>
      </c>
      <c r="T615" s="28">
        <f t="shared" si="316"/>
        <v>8375.4500000000007</v>
      </c>
      <c r="U615" s="51"/>
      <c r="V615" s="541">
        <f>+'NF-KSF-TRIAL-BAL-2021'!O615+'RA-TRIAL-BAL-2021'!O615+'DES-TRIAL-BAL-2021'!O615+'DMP-TRIAL-BAL-2021'!O615</f>
        <v>0</v>
      </c>
      <c r="W615" s="529">
        <f>+'NF-KSF-TRIAL-BAL-2021'!P615+'RA-TRIAL-BAL-2021'!P615+'DES-TRIAL-BAL-2021'!P615+'DMP-TRIAL-BAL-2021'!P615</f>
        <v>0</v>
      </c>
      <c r="X615" s="528">
        <f>+'NF-KSF-TRIAL-BAL-2021'!Q615+'RA-TRIAL-BAL-2021'!Q615+'DES-TRIAL-BAL-2021'!Q615+'DMP-TRIAL-BAL-2021'!Q615</f>
        <v>0</v>
      </c>
      <c r="Y615" s="529">
        <f>+'NF-KSF-TRIAL-BAL-2021'!R615+'RA-TRIAL-BAL-2021'!R615+'DES-TRIAL-BAL-2021'!R615+'DMP-TRIAL-BAL-2021'!R615</f>
        <v>0</v>
      </c>
      <c r="Z615" s="528">
        <f>+'NF-KSF-TRIAL-BAL-2021'!S615+'RA-TRIAL-BAL-2021'!S615+'DES-TRIAL-BAL-2021'!S615+'DMP-TRIAL-BAL-2021'!S615</f>
        <v>0</v>
      </c>
      <c r="AA615" s="347">
        <f>+'NF-KSF-TRIAL-BAL-2021'!T615+'RA-TRIAL-BAL-2021'!T615+'DES-TRIAL-BAL-2021'!T615+'DMP-TRIAL-BAL-2021'!T615</f>
        <v>0</v>
      </c>
      <c r="AB615" s="51"/>
      <c r="AC615" s="8">
        <v>0</v>
      </c>
      <c r="AD615" s="9">
        <v>0</v>
      </c>
      <c r="AE615" s="325"/>
      <c r="AF615" s="324"/>
      <c r="AG615" s="27">
        <f t="shared" si="310"/>
        <v>0</v>
      </c>
      <c r="AH615" s="28">
        <f t="shared" si="317"/>
        <v>0</v>
      </c>
      <c r="AI615" s="51"/>
      <c r="AJ615" s="1497">
        <f t="shared" si="280"/>
        <v>7112</v>
      </c>
      <c r="AK615" s="8">
        <v>0</v>
      </c>
      <c r="AL615" s="9">
        <v>0</v>
      </c>
      <c r="AM615" s="326">
        <f t="shared" si="311"/>
        <v>0</v>
      </c>
      <c r="AN615" s="970">
        <f t="shared" si="311"/>
        <v>8375.4500000000007</v>
      </c>
      <c r="AO615" s="27">
        <f t="shared" si="315"/>
        <v>0</v>
      </c>
      <c r="AP615" s="28">
        <f t="shared" si="318"/>
        <v>8375.4500000000007</v>
      </c>
      <c r="AQ615" s="43"/>
      <c r="AR615" s="358">
        <f t="shared" si="312"/>
        <v>0</v>
      </c>
      <c r="AS615" s="359">
        <f t="shared" si="313"/>
        <v>0</v>
      </c>
      <c r="AT615" s="360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25"/>
      <c r="R616" s="324">
        <v>5821.99</v>
      </c>
      <c r="S616" s="27">
        <f t="shared" si="309"/>
        <v>0</v>
      </c>
      <c r="T616" s="28">
        <f t="shared" si="316"/>
        <v>5821.99</v>
      </c>
      <c r="U616" s="51"/>
      <c r="V616" s="541">
        <f>+'NF-KSF-TRIAL-BAL-2021'!O616+'RA-TRIAL-BAL-2021'!O616+'DES-TRIAL-BAL-2021'!O616+'DMP-TRIAL-BAL-2021'!O616</f>
        <v>0</v>
      </c>
      <c r="W616" s="529">
        <f>+'NF-KSF-TRIAL-BAL-2021'!P616+'RA-TRIAL-BAL-2021'!P616+'DES-TRIAL-BAL-2021'!P616+'DMP-TRIAL-BAL-2021'!P616</f>
        <v>0</v>
      </c>
      <c r="X616" s="528">
        <f>+'NF-KSF-TRIAL-BAL-2021'!Q616+'RA-TRIAL-BAL-2021'!Q616+'DES-TRIAL-BAL-2021'!Q616+'DMP-TRIAL-BAL-2021'!Q616</f>
        <v>0</v>
      </c>
      <c r="Y616" s="529">
        <f>+'NF-KSF-TRIAL-BAL-2021'!R616+'RA-TRIAL-BAL-2021'!R616+'DES-TRIAL-BAL-2021'!R616+'DMP-TRIAL-BAL-2021'!R616</f>
        <v>0</v>
      </c>
      <c r="Z616" s="528">
        <f>+'NF-KSF-TRIAL-BAL-2021'!S616+'RA-TRIAL-BAL-2021'!S616+'DES-TRIAL-BAL-2021'!S616+'DMP-TRIAL-BAL-2021'!S616</f>
        <v>0</v>
      </c>
      <c r="AA616" s="347">
        <f>+'NF-KSF-TRIAL-BAL-2021'!T616+'RA-TRIAL-BAL-2021'!T616+'DES-TRIAL-BAL-2021'!T616+'DMP-TRIAL-BAL-2021'!T616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97">
        <f t="shared" si="280"/>
        <v>7113</v>
      </c>
      <c r="AK616" s="8">
        <v>0</v>
      </c>
      <c r="AL616" s="9">
        <v>0</v>
      </c>
      <c r="AM616" s="326">
        <f t="shared" si="311"/>
        <v>0</v>
      </c>
      <c r="AN616" s="970">
        <f t="shared" si="311"/>
        <v>5821.99</v>
      </c>
      <c r="AO616" s="27">
        <f t="shared" si="315"/>
        <v>0</v>
      </c>
      <c r="AP616" s="28">
        <f t="shared" si="318"/>
        <v>5821.99</v>
      </c>
      <c r="AQ616" s="43"/>
      <c r="AR616" s="358">
        <f t="shared" si="312"/>
        <v>0</v>
      </c>
      <c r="AS616" s="359">
        <f t="shared" si="313"/>
        <v>0</v>
      </c>
      <c r="AT616" s="360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25"/>
      <c r="R617" s="324"/>
      <c r="S617" s="27">
        <f t="shared" si="309"/>
        <v>0</v>
      </c>
      <c r="T617" s="28">
        <f t="shared" si="316"/>
        <v>0</v>
      </c>
      <c r="U617" s="51"/>
      <c r="V617" s="541">
        <f>+'NF-KSF-TRIAL-BAL-2021'!O617+'RA-TRIAL-BAL-2021'!O617+'DES-TRIAL-BAL-2021'!O617+'DMP-TRIAL-BAL-2021'!O617</f>
        <v>0</v>
      </c>
      <c r="W617" s="529">
        <f>+'NF-KSF-TRIAL-BAL-2021'!P617+'RA-TRIAL-BAL-2021'!P617+'DES-TRIAL-BAL-2021'!P617+'DMP-TRIAL-BAL-2021'!P617</f>
        <v>0</v>
      </c>
      <c r="X617" s="528">
        <f>+'NF-KSF-TRIAL-BAL-2021'!Q617+'RA-TRIAL-BAL-2021'!Q617+'DES-TRIAL-BAL-2021'!Q617+'DMP-TRIAL-BAL-2021'!Q617</f>
        <v>0</v>
      </c>
      <c r="Y617" s="529">
        <f>+'NF-KSF-TRIAL-BAL-2021'!R617+'RA-TRIAL-BAL-2021'!R617+'DES-TRIAL-BAL-2021'!R617+'DMP-TRIAL-BAL-2021'!R617</f>
        <v>0</v>
      </c>
      <c r="Z617" s="528">
        <f>+'NF-KSF-TRIAL-BAL-2021'!S617+'RA-TRIAL-BAL-2021'!S617+'DES-TRIAL-BAL-2021'!S617+'DMP-TRIAL-BAL-2021'!S617</f>
        <v>0</v>
      </c>
      <c r="AA617" s="347">
        <f>+'NF-KSF-TRIAL-BAL-2021'!T617+'RA-TRIAL-BAL-2021'!T617+'DES-TRIAL-BAL-2021'!T617+'DMP-TRIAL-BAL-2021'!T617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97">
        <f t="shared" si="280"/>
        <v>7114</v>
      </c>
      <c r="AK617" s="8">
        <v>0</v>
      </c>
      <c r="AL617" s="9">
        <v>0</v>
      </c>
      <c r="AM617" s="326">
        <f t="shared" si="311"/>
        <v>0</v>
      </c>
      <c r="AN617" s="970">
        <f t="shared" si="311"/>
        <v>0</v>
      </c>
      <c r="AO617" s="27">
        <f t="shared" si="315"/>
        <v>0</v>
      </c>
      <c r="AP617" s="28">
        <f t="shared" si="318"/>
        <v>0</v>
      </c>
      <c r="AQ617" s="43"/>
      <c r="AR617" s="358">
        <f t="shared" si="312"/>
        <v>0</v>
      </c>
      <c r="AS617" s="359">
        <f t="shared" si="313"/>
        <v>0</v>
      </c>
      <c r="AT617" s="360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25"/>
      <c r="R618" s="324"/>
      <c r="S618" s="27">
        <f t="shared" si="309"/>
        <v>0</v>
      </c>
      <c r="T618" s="28">
        <f t="shared" si="316"/>
        <v>0</v>
      </c>
      <c r="U618" s="51"/>
      <c r="V618" s="541">
        <f>+'NF-KSF-TRIAL-BAL-2021'!O618+'RA-TRIAL-BAL-2021'!O618+'DES-TRIAL-BAL-2021'!O618+'DMP-TRIAL-BAL-2021'!O618</f>
        <v>0</v>
      </c>
      <c r="W618" s="529">
        <f>+'NF-KSF-TRIAL-BAL-2021'!P618+'RA-TRIAL-BAL-2021'!P618+'DES-TRIAL-BAL-2021'!P618+'DMP-TRIAL-BAL-2021'!P618</f>
        <v>0</v>
      </c>
      <c r="X618" s="528">
        <f>+'NF-KSF-TRIAL-BAL-2021'!Q618+'RA-TRIAL-BAL-2021'!Q618+'DES-TRIAL-BAL-2021'!Q618+'DMP-TRIAL-BAL-2021'!Q618</f>
        <v>0</v>
      </c>
      <c r="Y618" s="529">
        <f>+'NF-KSF-TRIAL-BAL-2021'!R618+'RA-TRIAL-BAL-2021'!R618+'DES-TRIAL-BAL-2021'!R618+'DMP-TRIAL-BAL-2021'!R618</f>
        <v>0</v>
      </c>
      <c r="Z618" s="528">
        <f>+'NF-KSF-TRIAL-BAL-2021'!S618+'RA-TRIAL-BAL-2021'!S618+'DES-TRIAL-BAL-2021'!S618+'DMP-TRIAL-BAL-2021'!S618</f>
        <v>0</v>
      </c>
      <c r="AA618" s="347">
        <f>+'NF-KSF-TRIAL-BAL-2021'!T618+'RA-TRIAL-BAL-2021'!T618+'DES-TRIAL-BAL-2021'!T618+'DMP-TRIAL-BAL-2021'!T618</f>
        <v>0</v>
      </c>
      <c r="AB618" s="51"/>
      <c r="AC618" s="8">
        <v>0</v>
      </c>
      <c r="AD618" s="9">
        <v>0</v>
      </c>
      <c r="AE618" s="325"/>
      <c r="AF618" s="324"/>
      <c r="AG618" s="27">
        <f t="shared" si="310"/>
        <v>0</v>
      </c>
      <c r="AH618" s="28">
        <f t="shared" si="317"/>
        <v>0</v>
      </c>
      <c r="AI618" s="51"/>
      <c r="AJ618" s="1497">
        <f t="shared" si="280"/>
        <v>7115</v>
      </c>
      <c r="AK618" s="8">
        <v>0</v>
      </c>
      <c r="AL618" s="9">
        <v>0</v>
      </c>
      <c r="AM618" s="326">
        <f t="shared" si="311"/>
        <v>0</v>
      </c>
      <c r="AN618" s="970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58">
        <f t="shared" si="312"/>
        <v>0</v>
      </c>
      <c r="AS618" s="359">
        <f t="shared" si="313"/>
        <v>0</v>
      </c>
      <c r="AT618" s="360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25"/>
      <c r="R619" s="324">
        <v>45383.14</v>
      </c>
      <c r="S619" s="27">
        <f t="shared" si="309"/>
        <v>0</v>
      </c>
      <c r="T619" s="28">
        <f t="shared" si="316"/>
        <v>45383.14</v>
      </c>
      <c r="U619" s="51"/>
      <c r="V619" s="541">
        <f>+'NF-KSF-TRIAL-BAL-2021'!O619+'RA-TRIAL-BAL-2021'!O619+'DES-TRIAL-BAL-2021'!O619+'DMP-TRIAL-BAL-2021'!O619</f>
        <v>0</v>
      </c>
      <c r="W619" s="529">
        <f>+'NF-KSF-TRIAL-BAL-2021'!P619+'RA-TRIAL-BAL-2021'!P619+'DES-TRIAL-BAL-2021'!P619+'DMP-TRIAL-BAL-2021'!P619</f>
        <v>0</v>
      </c>
      <c r="X619" s="528">
        <f>+'NF-KSF-TRIAL-BAL-2021'!Q619+'RA-TRIAL-BAL-2021'!Q619+'DES-TRIAL-BAL-2021'!Q619+'DMP-TRIAL-BAL-2021'!Q619</f>
        <v>0</v>
      </c>
      <c r="Y619" s="529">
        <f>+'NF-KSF-TRIAL-BAL-2021'!R619+'RA-TRIAL-BAL-2021'!R619+'DES-TRIAL-BAL-2021'!R619+'DMP-TRIAL-BAL-2021'!R619</f>
        <v>0</v>
      </c>
      <c r="Z619" s="528">
        <f>+'NF-KSF-TRIAL-BAL-2021'!S619+'RA-TRIAL-BAL-2021'!S619+'DES-TRIAL-BAL-2021'!S619+'DMP-TRIAL-BAL-2021'!S619</f>
        <v>0</v>
      </c>
      <c r="AA619" s="347">
        <f>+'NF-KSF-TRIAL-BAL-2021'!T619+'RA-TRIAL-BAL-2021'!T619+'DES-TRIAL-BAL-2021'!T619+'DMP-TRIAL-BAL-2021'!T619</f>
        <v>0</v>
      </c>
      <c r="AB619" s="51"/>
      <c r="AC619" s="8">
        <v>0</v>
      </c>
      <c r="AD619" s="9">
        <v>0</v>
      </c>
      <c r="AE619" s="325"/>
      <c r="AF619" s="324"/>
      <c r="AG619" s="27">
        <f t="shared" si="310"/>
        <v>0</v>
      </c>
      <c r="AH619" s="28">
        <f t="shared" si="317"/>
        <v>0</v>
      </c>
      <c r="AI619" s="51"/>
      <c r="AJ619" s="1497">
        <f t="shared" si="280"/>
        <v>7121</v>
      </c>
      <c r="AK619" s="8">
        <v>0</v>
      </c>
      <c r="AL619" s="9">
        <v>0</v>
      </c>
      <c r="AM619" s="326">
        <f t="shared" si="311"/>
        <v>0</v>
      </c>
      <c r="AN619" s="970">
        <f t="shared" si="311"/>
        <v>45383.14</v>
      </c>
      <c r="AO619" s="27">
        <f t="shared" si="315"/>
        <v>0</v>
      </c>
      <c r="AP619" s="28">
        <f t="shared" si="318"/>
        <v>45383.14</v>
      </c>
      <c r="AQ619" s="43"/>
      <c r="AR619" s="358">
        <f t="shared" si="312"/>
        <v>0</v>
      </c>
      <c r="AS619" s="359">
        <f t="shared" si="313"/>
        <v>0</v>
      </c>
      <c r="AT619" s="360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25"/>
      <c r="R620" s="324"/>
      <c r="S620" s="27">
        <f t="shared" si="309"/>
        <v>0</v>
      </c>
      <c r="T620" s="28">
        <f t="shared" si="316"/>
        <v>0</v>
      </c>
      <c r="U620" s="51"/>
      <c r="V620" s="541">
        <f>+'NF-KSF-TRIAL-BAL-2021'!O620+'RA-TRIAL-BAL-2021'!O620+'DES-TRIAL-BAL-2021'!O620+'DMP-TRIAL-BAL-2021'!O620</f>
        <v>0</v>
      </c>
      <c r="W620" s="529">
        <f>+'NF-KSF-TRIAL-BAL-2021'!P620+'RA-TRIAL-BAL-2021'!P620+'DES-TRIAL-BAL-2021'!P620+'DMP-TRIAL-BAL-2021'!P620</f>
        <v>0</v>
      </c>
      <c r="X620" s="528">
        <f>+'NF-KSF-TRIAL-BAL-2021'!Q620+'RA-TRIAL-BAL-2021'!Q620+'DES-TRIAL-BAL-2021'!Q620+'DMP-TRIAL-BAL-2021'!Q620</f>
        <v>0</v>
      </c>
      <c r="Y620" s="529">
        <f>+'NF-KSF-TRIAL-BAL-2021'!R620+'RA-TRIAL-BAL-2021'!R620+'DES-TRIAL-BAL-2021'!R620+'DMP-TRIAL-BAL-2021'!R620</f>
        <v>0</v>
      </c>
      <c r="Z620" s="528">
        <f>+'NF-KSF-TRIAL-BAL-2021'!S620+'RA-TRIAL-BAL-2021'!S620+'DES-TRIAL-BAL-2021'!S620+'DMP-TRIAL-BAL-2021'!S620</f>
        <v>0</v>
      </c>
      <c r="AA620" s="347">
        <f>+'NF-KSF-TRIAL-BAL-2021'!T620+'RA-TRIAL-BAL-2021'!T620+'DES-TRIAL-BAL-2021'!T620+'DMP-TRIAL-BAL-2021'!T620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97">
        <f t="shared" si="280"/>
        <v>7122</v>
      </c>
      <c r="AK620" s="8">
        <v>0</v>
      </c>
      <c r="AL620" s="9">
        <v>0</v>
      </c>
      <c r="AM620" s="326">
        <f t="shared" si="311"/>
        <v>0</v>
      </c>
      <c r="AN620" s="970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58">
        <f t="shared" si="312"/>
        <v>0</v>
      </c>
      <c r="AS620" s="359">
        <f t="shared" si="313"/>
        <v>0</v>
      </c>
      <c r="AT620" s="360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25"/>
      <c r="R621" s="324">
        <v>427636.37</v>
      </c>
      <c r="S621" s="27">
        <f t="shared" si="309"/>
        <v>0</v>
      </c>
      <c r="T621" s="28">
        <f t="shared" si="316"/>
        <v>427636.37</v>
      </c>
      <c r="U621" s="51"/>
      <c r="V621" s="541">
        <f>+'NF-KSF-TRIAL-BAL-2021'!O621+'RA-TRIAL-BAL-2021'!O621+'DES-TRIAL-BAL-2021'!O621+'DMP-TRIAL-BAL-2021'!O621</f>
        <v>0</v>
      </c>
      <c r="W621" s="529">
        <f>+'NF-KSF-TRIAL-BAL-2021'!P621+'RA-TRIAL-BAL-2021'!P621+'DES-TRIAL-BAL-2021'!P621+'DMP-TRIAL-BAL-2021'!P621</f>
        <v>0</v>
      </c>
      <c r="X621" s="528">
        <f>+'NF-KSF-TRIAL-BAL-2021'!Q621+'RA-TRIAL-BAL-2021'!Q621+'DES-TRIAL-BAL-2021'!Q621+'DMP-TRIAL-BAL-2021'!Q621</f>
        <v>0</v>
      </c>
      <c r="Y621" s="529">
        <f>+'NF-KSF-TRIAL-BAL-2021'!R621+'RA-TRIAL-BAL-2021'!R621+'DES-TRIAL-BAL-2021'!R621+'DMP-TRIAL-BAL-2021'!R621</f>
        <v>0</v>
      </c>
      <c r="Z621" s="528">
        <f>+'NF-KSF-TRIAL-BAL-2021'!S621+'RA-TRIAL-BAL-2021'!S621+'DES-TRIAL-BAL-2021'!S621+'DMP-TRIAL-BAL-2021'!S621</f>
        <v>0</v>
      </c>
      <c r="AA621" s="347">
        <f>+'NF-KSF-TRIAL-BAL-2021'!T621+'RA-TRIAL-BAL-2021'!T621+'DES-TRIAL-BAL-2021'!T621+'DMP-TRIAL-BAL-2021'!T621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97">
        <f t="shared" si="280"/>
        <v>7123</v>
      </c>
      <c r="AK621" s="8">
        <v>0</v>
      </c>
      <c r="AL621" s="9">
        <v>0</v>
      </c>
      <c r="AM621" s="326">
        <f t="shared" si="311"/>
        <v>0</v>
      </c>
      <c r="AN621" s="970">
        <f t="shared" si="311"/>
        <v>427636.37</v>
      </c>
      <c r="AO621" s="27">
        <f t="shared" si="315"/>
        <v>0</v>
      </c>
      <c r="AP621" s="28">
        <f t="shared" si="318"/>
        <v>427636.37</v>
      </c>
      <c r="AQ621" s="43"/>
      <c r="AR621" s="358">
        <f t="shared" si="312"/>
        <v>0</v>
      </c>
      <c r="AS621" s="359">
        <f t="shared" si="313"/>
        <v>0</v>
      </c>
      <c r="AT621" s="360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25"/>
      <c r="R622" s="324"/>
      <c r="S622" s="27">
        <f t="shared" si="309"/>
        <v>0</v>
      </c>
      <c r="T622" s="28">
        <f t="shared" si="316"/>
        <v>0</v>
      </c>
      <c r="U622" s="51"/>
      <c r="V622" s="541">
        <f>+'NF-KSF-TRIAL-BAL-2021'!O622+'RA-TRIAL-BAL-2021'!O622+'DES-TRIAL-BAL-2021'!O622+'DMP-TRIAL-BAL-2021'!O622</f>
        <v>0</v>
      </c>
      <c r="W622" s="529">
        <f>+'NF-KSF-TRIAL-BAL-2021'!P622+'RA-TRIAL-BAL-2021'!P622+'DES-TRIAL-BAL-2021'!P622+'DMP-TRIAL-BAL-2021'!P622</f>
        <v>0</v>
      </c>
      <c r="X622" s="528">
        <f>+'NF-KSF-TRIAL-BAL-2021'!Q622+'RA-TRIAL-BAL-2021'!Q622+'DES-TRIAL-BAL-2021'!Q622+'DMP-TRIAL-BAL-2021'!Q622</f>
        <v>0</v>
      </c>
      <c r="Y622" s="529">
        <f>+'NF-KSF-TRIAL-BAL-2021'!R622+'RA-TRIAL-BAL-2021'!R622+'DES-TRIAL-BAL-2021'!R622+'DMP-TRIAL-BAL-2021'!R622</f>
        <v>0</v>
      </c>
      <c r="Z622" s="528">
        <f>+'NF-KSF-TRIAL-BAL-2021'!S622+'RA-TRIAL-BAL-2021'!S622+'DES-TRIAL-BAL-2021'!S622+'DMP-TRIAL-BAL-2021'!S622</f>
        <v>0</v>
      </c>
      <c r="AA622" s="347">
        <f>+'NF-KSF-TRIAL-BAL-2021'!T622+'RA-TRIAL-BAL-2021'!T622+'DES-TRIAL-BAL-2021'!T622+'DMP-TRIAL-BAL-2021'!T622</f>
        <v>0</v>
      </c>
      <c r="AB622" s="51"/>
      <c r="AC622" s="8">
        <v>0</v>
      </c>
      <c r="AD622" s="9">
        <v>0</v>
      </c>
      <c r="AE622" s="325"/>
      <c r="AF622" s="324"/>
      <c r="AG622" s="27">
        <f t="shared" si="310"/>
        <v>0</v>
      </c>
      <c r="AH622" s="28">
        <f t="shared" si="317"/>
        <v>0</v>
      </c>
      <c r="AI622" s="51"/>
      <c r="AJ622" s="1497">
        <f t="shared" si="280"/>
        <v>7124</v>
      </c>
      <c r="AK622" s="8">
        <v>0</v>
      </c>
      <c r="AL622" s="9">
        <v>0</v>
      </c>
      <c r="AM622" s="326">
        <f t="shared" si="311"/>
        <v>0</v>
      </c>
      <c r="AN622" s="970">
        <f t="shared" si="311"/>
        <v>0</v>
      </c>
      <c r="AO622" s="27">
        <f t="shared" si="315"/>
        <v>0</v>
      </c>
      <c r="AP622" s="28">
        <f t="shared" si="318"/>
        <v>0</v>
      </c>
      <c r="AQ622" s="43"/>
      <c r="AR622" s="358">
        <f t="shared" si="312"/>
        <v>0</v>
      </c>
      <c r="AS622" s="359">
        <f t="shared" si="313"/>
        <v>0</v>
      </c>
      <c r="AT622" s="360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25"/>
      <c r="R623" s="324">
        <v>45200</v>
      </c>
      <c r="S623" s="27">
        <f t="shared" si="309"/>
        <v>0</v>
      </c>
      <c r="T623" s="28">
        <f t="shared" si="316"/>
        <v>45200</v>
      </c>
      <c r="U623" s="51"/>
      <c r="V623" s="541">
        <f>+'NF-KSF-TRIAL-BAL-2021'!O623+'RA-TRIAL-BAL-2021'!O623+'DES-TRIAL-BAL-2021'!O623+'DMP-TRIAL-BAL-2021'!O623</f>
        <v>0</v>
      </c>
      <c r="W623" s="529">
        <f>+'NF-KSF-TRIAL-BAL-2021'!P623+'RA-TRIAL-BAL-2021'!P623+'DES-TRIAL-BAL-2021'!P623+'DMP-TRIAL-BAL-2021'!P623</f>
        <v>0</v>
      </c>
      <c r="X623" s="528">
        <f>+'NF-KSF-TRIAL-BAL-2021'!Q623+'RA-TRIAL-BAL-2021'!Q623+'DES-TRIAL-BAL-2021'!Q623+'DMP-TRIAL-BAL-2021'!Q623</f>
        <v>0</v>
      </c>
      <c r="Y623" s="529">
        <f>+'NF-KSF-TRIAL-BAL-2021'!R623+'RA-TRIAL-BAL-2021'!R623+'DES-TRIAL-BAL-2021'!R623+'DMP-TRIAL-BAL-2021'!R623</f>
        <v>0</v>
      </c>
      <c r="Z623" s="528">
        <f>+'NF-KSF-TRIAL-BAL-2021'!S623+'RA-TRIAL-BAL-2021'!S623+'DES-TRIAL-BAL-2021'!S623+'DMP-TRIAL-BAL-2021'!S623</f>
        <v>0</v>
      </c>
      <c r="AA623" s="347">
        <f>+'NF-KSF-TRIAL-BAL-2021'!T623+'RA-TRIAL-BAL-2021'!T623+'DES-TRIAL-BAL-2021'!T623+'DMP-TRIAL-BAL-2021'!T623</f>
        <v>0</v>
      </c>
      <c r="AB623" s="51"/>
      <c r="AC623" s="8">
        <v>0</v>
      </c>
      <c r="AD623" s="9">
        <v>0</v>
      </c>
      <c r="AE623" s="325"/>
      <c r="AF623" s="324"/>
      <c r="AG623" s="27">
        <f t="shared" si="310"/>
        <v>0</v>
      </c>
      <c r="AH623" s="28">
        <f t="shared" si="317"/>
        <v>0</v>
      </c>
      <c r="AI623" s="51"/>
      <c r="AJ623" s="1497">
        <f t="shared" si="280"/>
        <v>7131</v>
      </c>
      <c r="AK623" s="8">
        <v>0</v>
      </c>
      <c r="AL623" s="9">
        <v>0</v>
      </c>
      <c r="AM623" s="326">
        <f t="shared" si="311"/>
        <v>0</v>
      </c>
      <c r="AN623" s="970">
        <f t="shared" si="311"/>
        <v>45200</v>
      </c>
      <c r="AO623" s="27">
        <f t="shared" si="315"/>
        <v>0</v>
      </c>
      <c r="AP623" s="28">
        <f t="shared" si="318"/>
        <v>45200</v>
      </c>
      <c r="AQ623" s="43"/>
      <c r="AR623" s="358">
        <f t="shared" si="312"/>
        <v>0</v>
      </c>
      <c r="AS623" s="359">
        <f t="shared" si="313"/>
        <v>0</v>
      </c>
      <c r="AT623" s="360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25"/>
      <c r="R624" s="324"/>
      <c r="S624" s="27">
        <f t="shared" si="309"/>
        <v>0</v>
      </c>
      <c r="T624" s="28">
        <f t="shared" si="316"/>
        <v>0</v>
      </c>
      <c r="U624" s="51"/>
      <c r="V624" s="541">
        <f>+'NF-KSF-TRIAL-BAL-2021'!O624+'RA-TRIAL-BAL-2021'!O624+'DES-TRIAL-BAL-2021'!O624+'DMP-TRIAL-BAL-2021'!O624</f>
        <v>0</v>
      </c>
      <c r="W624" s="529">
        <f>+'NF-KSF-TRIAL-BAL-2021'!P624+'RA-TRIAL-BAL-2021'!P624+'DES-TRIAL-BAL-2021'!P624+'DMP-TRIAL-BAL-2021'!P624</f>
        <v>0</v>
      </c>
      <c r="X624" s="528">
        <f>+'NF-KSF-TRIAL-BAL-2021'!Q624+'RA-TRIAL-BAL-2021'!Q624+'DES-TRIAL-BAL-2021'!Q624+'DMP-TRIAL-BAL-2021'!Q624</f>
        <v>0</v>
      </c>
      <c r="Y624" s="529">
        <f>+'NF-KSF-TRIAL-BAL-2021'!R624+'RA-TRIAL-BAL-2021'!R624+'DES-TRIAL-BAL-2021'!R624+'DMP-TRIAL-BAL-2021'!R624</f>
        <v>0</v>
      </c>
      <c r="Z624" s="528">
        <f>+'NF-KSF-TRIAL-BAL-2021'!S624+'RA-TRIAL-BAL-2021'!S624+'DES-TRIAL-BAL-2021'!S624+'DMP-TRIAL-BAL-2021'!S624</f>
        <v>0</v>
      </c>
      <c r="AA624" s="347">
        <f>+'NF-KSF-TRIAL-BAL-2021'!T624+'RA-TRIAL-BAL-2021'!T624+'DES-TRIAL-BAL-2021'!T624+'DMP-TRIAL-BAL-2021'!T624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97">
        <f t="shared" si="280"/>
        <v>7132</v>
      </c>
      <c r="AK624" s="8">
        <v>0</v>
      </c>
      <c r="AL624" s="9">
        <v>0</v>
      </c>
      <c r="AM624" s="326">
        <f t="shared" si="311"/>
        <v>0</v>
      </c>
      <c r="AN624" s="970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58">
        <f t="shared" si="312"/>
        <v>0</v>
      </c>
      <c r="AS624" s="359">
        <f t="shared" si="313"/>
        <v>0</v>
      </c>
      <c r="AT624" s="360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25"/>
      <c r="R625" s="324"/>
      <c r="S625" s="27">
        <f t="shared" si="309"/>
        <v>0</v>
      </c>
      <c r="T625" s="28">
        <f t="shared" si="316"/>
        <v>0</v>
      </c>
      <c r="U625" s="51"/>
      <c r="V625" s="541">
        <f>+'NF-KSF-TRIAL-BAL-2021'!O625+'RA-TRIAL-BAL-2021'!O625+'DES-TRIAL-BAL-2021'!O625+'DMP-TRIAL-BAL-2021'!O625</f>
        <v>0</v>
      </c>
      <c r="W625" s="529">
        <f>+'NF-KSF-TRIAL-BAL-2021'!P625+'RA-TRIAL-BAL-2021'!P625+'DES-TRIAL-BAL-2021'!P625+'DMP-TRIAL-BAL-2021'!P625</f>
        <v>0</v>
      </c>
      <c r="X625" s="528">
        <f>+'NF-KSF-TRIAL-BAL-2021'!Q625+'RA-TRIAL-BAL-2021'!Q625+'DES-TRIAL-BAL-2021'!Q625+'DMP-TRIAL-BAL-2021'!Q625</f>
        <v>0</v>
      </c>
      <c r="Y625" s="529">
        <f>+'NF-KSF-TRIAL-BAL-2021'!R625+'RA-TRIAL-BAL-2021'!R625+'DES-TRIAL-BAL-2021'!R625+'DMP-TRIAL-BAL-2021'!R625</f>
        <v>0</v>
      </c>
      <c r="Z625" s="528">
        <f>+'NF-KSF-TRIAL-BAL-2021'!S625+'RA-TRIAL-BAL-2021'!S625+'DES-TRIAL-BAL-2021'!S625+'DMP-TRIAL-BAL-2021'!S625</f>
        <v>0</v>
      </c>
      <c r="AA625" s="347">
        <f>+'NF-KSF-TRIAL-BAL-2021'!T625+'RA-TRIAL-BAL-2021'!T625+'DES-TRIAL-BAL-2021'!T625+'DMP-TRIAL-BAL-2021'!T625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97">
        <f t="shared" ref="AJ625:AJ704" si="319">+N625</f>
        <v>7133</v>
      </c>
      <c r="AK625" s="8">
        <v>0</v>
      </c>
      <c r="AL625" s="9">
        <v>0</v>
      </c>
      <c r="AM625" s="326">
        <f t="shared" si="311"/>
        <v>0</v>
      </c>
      <c r="AN625" s="970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58">
        <f t="shared" si="312"/>
        <v>0</v>
      </c>
      <c r="AS625" s="359">
        <f t="shared" si="313"/>
        <v>0</v>
      </c>
      <c r="AT625" s="360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25"/>
      <c r="R626" s="324"/>
      <c r="S626" s="27">
        <f t="shared" si="309"/>
        <v>0</v>
      </c>
      <c r="T626" s="28">
        <f t="shared" si="316"/>
        <v>0</v>
      </c>
      <c r="U626" s="51"/>
      <c r="V626" s="541">
        <f>+'NF-KSF-TRIAL-BAL-2021'!O626+'RA-TRIAL-BAL-2021'!O626+'DES-TRIAL-BAL-2021'!O626+'DMP-TRIAL-BAL-2021'!O626</f>
        <v>0</v>
      </c>
      <c r="W626" s="529">
        <f>+'NF-KSF-TRIAL-BAL-2021'!P626+'RA-TRIAL-BAL-2021'!P626+'DES-TRIAL-BAL-2021'!P626+'DMP-TRIAL-BAL-2021'!P626</f>
        <v>0</v>
      </c>
      <c r="X626" s="528">
        <f>+'NF-KSF-TRIAL-BAL-2021'!Q626+'RA-TRIAL-BAL-2021'!Q626+'DES-TRIAL-BAL-2021'!Q626+'DMP-TRIAL-BAL-2021'!Q626</f>
        <v>0</v>
      </c>
      <c r="Y626" s="529">
        <f>+'NF-KSF-TRIAL-BAL-2021'!R626+'RA-TRIAL-BAL-2021'!R626+'DES-TRIAL-BAL-2021'!R626+'DMP-TRIAL-BAL-2021'!R626</f>
        <v>0</v>
      </c>
      <c r="Z626" s="528">
        <f>+'NF-KSF-TRIAL-BAL-2021'!S626+'RA-TRIAL-BAL-2021'!S626+'DES-TRIAL-BAL-2021'!S626+'DMP-TRIAL-BAL-2021'!S626</f>
        <v>0</v>
      </c>
      <c r="AA626" s="347">
        <f>+'NF-KSF-TRIAL-BAL-2021'!T626+'RA-TRIAL-BAL-2021'!T626+'DES-TRIAL-BAL-2021'!T626+'DMP-TRIAL-BAL-2021'!T626</f>
        <v>0</v>
      </c>
      <c r="AB626" s="51"/>
      <c r="AC626" s="8">
        <v>0</v>
      </c>
      <c r="AD626" s="9">
        <v>0</v>
      </c>
      <c r="AE626" s="325"/>
      <c r="AF626" s="324"/>
      <c r="AG626" s="27">
        <f t="shared" si="310"/>
        <v>0</v>
      </c>
      <c r="AH626" s="28">
        <f t="shared" si="317"/>
        <v>0</v>
      </c>
      <c r="AI626" s="51"/>
      <c r="AJ626" s="1497">
        <f t="shared" si="319"/>
        <v>7140</v>
      </c>
      <c r="AK626" s="8">
        <v>0</v>
      </c>
      <c r="AL626" s="9">
        <v>0</v>
      </c>
      <c r="AM626" s="326">
        <f t="shared" si="311"/>
        <v>0</v>
      </c>
      <c r="AN626" s="970">
        <f t="shared" si="311"/>
        <v>0</v>
      </c>
      <c r="AO626" s="27">
        <f t="shared" si="315"/>
        <v>0</v>
      </c>
      <c r="AP626" s="28">
        <f t="shared" si="318"/>
        <v>0</v>
      </c>
      <c r="AQ626" s="43"/>
      <c r="AR626" s="358">
        <f t="shared" si="312"/>
        <v>0</v>
      </c>
      <c r="AS626" s="359">
        <f t="shared" si="313"/>
        <v>0</v>
      </c>
      <c r="AT626" s="360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25"/>
      <c r="R627" s="324"/>
      <c r="S627" s="27">
        <f t="shared" si="309"/>
        <v>0</v>
      </c>
      <c r="T627" s="28">
        <f t="shared" si="316"/>
        <v>0</v>
      </c>
      <c r="U627" s="51"/>
      <c r="V627" s="541">
        <f>+'NF-KSF-TRIAL-BAL-2021'!O627+'RA-TRIAL-BAL-2021'!O627+'DES-TRIAL-BAL-2021'!O627+'DMP-TRIAL-BAL-2021'!O627</f>
        <v>0</v>
      </c>
      <c r="W627" s="529">
        <f>+'NF-KSF-TRIAL-BAL-2021'!P627+'RA-TRIAL-BAL-2021'!P627+'DES-TRIAL-BAL-2021'!P627+'DMP-TRIAL-BAL-2021'!P627</f>
        <v>0</v>
      </c>
      <c r="X627" s="528">
        <f>+'NF-KSF-TRIAL-BAL-2021'!Q627+'RA-TRIAL-BAL-2021'!Q627+'DES-TRIAL-BAL-2021'!Q627+'DMP-TRIAL-BAL-2021'!Q627</f>
        <v>0</v>
      </c>
      <c r="Y627" s="529">
        <f>+'NF-KSF-TRIAL-BAL-2021'!R627+'RA-TRIAL-BAL-2021'!R627+'DES-TRIAL-BAL-2021'!R627+'DMP-TRIAL-BAL-2021'!R627</f>
        <v>0</v>
      </c>
      <c r="Z627" s="528">
        <f>+'NF-KSF-TRIAL-BAL-2021'!S627+'RA-TRIAL-BAL-2021'!S627+'DES-TRIAL-BAL-2021'!S627+'DMP-TRIAL-BAL-2021'!S627</f>
        <v>0</v>
      </c>
      <c r="AA627" s="347">
        <f>+'NF-KSF-TRIAL-BAL-2021'!T627+'RA-TRIAL-BAL-2021'!T627+'DES-TRIAL-BAL-2021'!T627+'DMP-TRIAL-BAL-2021'!T627</f>
        <v>0</v>
      </c>
      <c r="AB627" s="51"/>
      <c r="AC627" s="8">
        <v>0</v>
      </c>
      <c r="AD627" s="9">
        <v>0</v>
      </c>
      <c r="AE627" s="325"/>
      <c r="AF627" s="324"/>
      <c r="AG627" s="27">
        <f t="shared" si="310"/>
        <v>0</v>
      </c>
      <c r="AH627" s="28">
        <f t="shared" si="317"/>
        <v>0</v>
      </c>
      <c r="AI627" s="51"/>
      <c r="AJ627" s="1497">
        <f t="shared" si="319"/>
        <v>7141</v>
      </c>
      <c r="AK627" s="8">
        <v>0</v>
      </c>
      <c r="AL627" s="9">
        <v>0</v>
      </c>
      <c r="AM627" s="326">
        <f t="shared" si="311"/>
        <v>0</v>
      </c>
      <c r="AN627" s="970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58">
        <f t="shared" si="312"/>
        <v>0</v>
      </c>
      <c r="AS627" s="359">
        <f t="shared" si="313"/>
        <v>0</v>
      </c>
      <c r="AT627" s="360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25"/>
      <c r="R628" s="324"/>
      <c r="S628" s="27">
        <f t="shared" si="309"/>
        <v>0</v>
      </c>
      <c r="T628" s="28">
        <f t="shared" si="316"/>
        <v>0</v>
      </c>
      <c r="U628" s="51"/>
      <c r="V628" s="541">
        <f>+'NF-KSF-TRIAL-BAL-2021'!O628+'RA-TRIAL-BAL-2021'!O628+'DES-TRIAL-BAL-2021'!O628+'DMP-TRIAL-BAL-2021'!O628</f>
        <v>0</v>
      </c>
      <c r="W628" s="529">
        <f>+'NF-KSF-TRIAL-BAL-2021'!P628+'RA-TRIAL-BAL-2021'!P628+'DES-TRIAL-BAL-2021'!P628+'DMP-TRIAL-BAL-2021'!P628</f>
        <v>0</v>
      </c>
      <c r="X628" s="528">
        <f>+'NF-KSF-TRIAL-BAL-2021'!Q628+'RA-TRIAL-BAL-2021'!Q628+'DES-TRIAL-BAL-2021'!Q628+'DMP-TRIAL-BAL-2021'!Q628</f>
        <v>0</v>
      </c>
      <c r="Y628" s="529">
        <f>+'NF-KSF-TRIAL-BAL-2021'!R628+'RA-TRIAL-BAL-2021'!R628+'DES-TRIAL-BAL-2021'!R628+'DMP-TRIAL-BAL-2021'!R628</f>
        <v>0</v>
      </c>
      <c r="Z628" s="528">
        <f>+'NF-KSF-TRIAL-BAL-2021'!S628+'RA-TRIAL-BAL-2021'!S628+'DES-TRIAL-BAL-2021'!S628+'DMP-TRIAL-BAL-2021'!S628</f>
        <v>0</v>
      </c>
      <c r="AA628" s="347">
        <f>+'NF-KSF-TRIAL-BAL-2021'!T628+'RA-TRIAL-BAL-2021'!T628+'DES-TRIAL-BAL-2021'!T628+'DMP-TRIAL-BAL-2021'!T628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97">
        <f t="shared" si="319"/>
        <v>7142</v>
      </c>
      <c r="AK628" s="8">
        <v>0</v>
      </c>
      <c r="AL628" s="9">
        <v>0</v>
      </c>
      <c r="AM628" s="326">
        <f t="shared" si="311"/>
        <v>0</v>
      </c>
      <c r="AN628" s="970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58">
        <f t="shared" si="312"/>
        <v>0</v>
      </c>
      <c r="AS628" s="359">
        <f t="shared" si="313"/>
        <v>0</v>
      </c>
      <c r="AT628" s="360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25"/>
      <c r="R629" s="324"/>
      <c r="S629" s="27">
        <f t="shared" si="309"/>
        <v>0</v>
      </c>
      <c r="T629" s="28">
        <f t="shared" si="316"/>
        <v>0</v>
      </c>
      <c r="U629" s="51"/>
      <c r="V629" s="541">
        <f>+'NF-KSF-TRIAL-BAL-2021'!O629+'RA-TRIAL-BAL-2021'!O629+'DES-TRIAL-BAL-2021'!O629+'DMP-TRIAL-BAL-2021'!O629</f>
        <v>0</v>
      </c>
      <c r="W629" s="529">
        <f>+'NF-KSF-TRIAL-BAL-2021'!P629+'RA-TRIAL-BAL-2021'!P629+'DES-TRIAL-BAL-2021'!P629+'DMP-TRIAL-BAL-2021'!P629</f>
        <v>0</v>
      </c>
      <c r="X629" s="528">
        <f>+'NF-KSF-TRIAL-BAL-2021'!Q629+'RA-TRIAL-BAL-2021'!Q629+'DES-TRIAL-BAL-2021'!Q629+'DMP-TRIAL-BAL-2021'!Q629</f>
        <v>0</v>
      </c>
      <c r="Y629" s="529">
        <f>+'NF-KSF-TRIAL-BAL-2021'!R629+'RA-TRIAL-BAL-2021'!R629+'DES-TRIAL-BAL-2021'!R629+'DMP-TRIAL-BAL-2021'!R629</f>
        <v>0</v>
      </c>
      <c r="Z629" s="528">
        <f>+'NF-KSF-TRIAL-BAL-2021'!S629+'RA-TRIAL-BAL-2021'!S629+'DES-TRIAL-BAL-2021'!S629+'DMP-TRIAL-BAL-2021'!S629</f>
        <v>0</v>
      </c>
      <c r="AA629" s="347">
        <f>+'NF-KSF-TRIAL-BAL-2021'!T629+'RA-TRIAL-BAL-2021'!T629+'DES-TRIAL-BAL-2021'!T629+'DMP-TRIAL-BAL-2021'!T629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97">
        <f t="shared" si="319"/>
        <v>7143</v>
      </c>
      <c r="AK629" s="8">
        <v>0</v>
      </c>
      <c r="AL629" s="9">
        <v>0</v>
      </c>
      <c r="AM629" s="326">
        <f t="shared" si="311"/>
        <v>0</v>
      </c>
      <c r="AN629" s="970">
        <f t="shared" si="311"/>
        <v>0</v>
      </c>
      <c r="AO629" s="27">
        <f t="shared" si="315"/>
        <v>0</v>
      </c>
      <c r="AP629" s="28">
        <f t="shared" si="318"/>
        <v>0</v>
      </c>
      <c r="AQ629" s="43"/>
      <c r="AR629" s="358">
        <f t="shared" si="312"/>
        <v>0</v>
      </c>
      <c r="AS629" s="359">
        <f t="shared" si="313"/>
        <v>0</v>
      </c>
      <c r="AT629" s="360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25"/>
      <c r="R630" s="324"/>
      <c r="S630" s="27">
        <f t="shared" si="309"/>
        <v>0</v>
      </c>
      <c r="T630" s="28">
        <f t="shared" si="316"/>
        <v>0</v>
      </c>
      <c r="U630" s="51"/>
      <c r="V630" s="541">
        <f>+'NF-KSF-TRIAL-BAL-2021'!O630+'RA-TRIAL-BAL-2021'!O630+'DES-TRIAL-BAL-2021'!O630+'DMP-TRIAL-BAL-2021'!O630</f>
        <v>0</v>
      </c>
      <c r="W630" s="529">
        <f>+'NF-KSF-TRIAL-BAL-2021'!P630+'RA-TRIAL-BAL-2021'!P630+'DES-TRIAL-BAL-2021'!P630+'DMP-TRIAL-BAL-2021'!P630</f>
        <v>0</v>
      </c>
      <c r="X630" s="528">
        <f>+'NF-KSF-TRIAL-BAL-2021'!Q630+'RA-TRIAL-BAL-2021'!Q630+'DES-TRIAL-BAL-2021'!Q630+'DMP-TRIAL-BAL-2021'!Q630</f>
        <v>0</v>
      </c>
      <c r="Y630" s="529">
        <f>+'NF-KSF-TRIAL-BAL-2021'!R630+'RA-TRIAL-BAL-2021'!R630+'DES-TRIAL-BAL-2021'!R630+'DMP-TRIAL-BAL-2021'!R630</f>
        <v>0</v>
      </c>
      <c r="Z630" s="528">
        <f>+'NF-KSF-TRIAL-BAL-2021'!S630+'RA-TRIAL-BAL-2021'!S630+'DES-TRIAL-BAL-2021'!S630+'DMP-TRIAL-BAL-2021'!S630</f>
        <v>0</v>
      </c>
      <c r="AA630" s="347">
        <f>+'NF-KSF-TRIAL-BAL-2021'!T630+'RA-TRIAL-BAL-2021'!T630+'DES-TRIAL-BAL-2021'!T630+'DMP-TRIAL-BAL-2021'!T630</f>
        <v>0</v>
      </c>
      <c r="AB630" s="51"/>
      <c r="AC630" s="8">
        <v>0</v>
      </c>
      <c r="AD630" s="9">
        <v>0</v>
      </c>
      <c r="AE630" s="325"/>
      <c r="AF630" s="324"/>
      <c r="AG630" s="27">
        <f t="shared" si="310"/>
        <v>0</v>
      </c>
      <c r="AH630" s="28">
        <f t="shared" si="317"/>
        <v>0</v>
      </c>
      <c r="AI630" s="51"/>
      <c r="AJ630" s="1497">
        <f t="shared" si="319"/>
        <v>7144</v>
      </c>
      <c r="AK630" s="8">
        <v>0</v>
      </c>
      <c r="AL630" s="9">
        <v>0</v>
      </c>
      <c r="AM630" s="326">
        <f t="shared" si="311"/>
        <v>0</v>
      </c>
      <c r="AN630" s="970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58">
        <f t="shared" si="312"/>
        <v>0</v>
      </c>
      <c r="AS630" s="359">
        <f t="shared" si="313"/>
        <v>0</v>
      </c>
      <c r="AT630" s="360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25"/>
      <c r="R631" s="324"/>
      <c r="S631" s="27">
        <f t="shared" si="309"/>
        <v>0</v>
      </c>
      <c r="T631" s="28">
        <f t="shared" si="316"/>
        <v>0</v>
      </c>
      <c r="U631" s="51"/>
      <c r="V631" s="541">
        <f>+'NF-KSF-TRIAL-BAL-2021'!O631+'RA-TRIAL-BAL-2021'!O631+'DES-TRIAL-BAL-2021'!O631+'DMP-TRIAL-BAL-2021'!O631</f>
        <v>0</v>
      </c>
      <c r="W631" s="529">
        <f>+'NF-KSF-TRIAL-BAL-2021'!P631+'RA-TRIAL-BAL-2021'!P631+'DES-TRIAL-BAL-2021'!P631+'DMP-TRIAL-BAL-2021'!P631</f>
        <v>0</v>
      </c>
      <c r="X631" s="528">
        <f>+'NF-KSF-TRIAL-BAL-2021'!Q631+'RA-TRIAL-BAL-2021'!Q631+'DES-TRIAL-BAL-2021'!Q631+'DMP-TRIAL-BAL-2021'!Q631</f>
        <v>0</v>
      </c>
      <c r="Y631" s="529">
        <f>+'NF-KSF-TRIAL-BAL-2021'!R631+'RA-TRIAL-BAL-2021'!R631+'DES-TRIAL-BAL-2021'!R631+'DMP-TRIAL-BAL-2021'!R631</f>
        <v>0</v>
      </c>
      <c r="Z631" s="528">
        <f>+'NF-KSF-TRIAL-BAL-2021'!S631+'RA-TRIAL-BAL-2021'!S631+'DES-TRIAL-BAL-2021'!S631+'DMP-TRIAL-BAL-2021'!S631</f>
        <v>0</v>
      </c>
      <c r="AA631" s="347">
        <f>+'NF-KSF-TRIAL-BAL-2021'!T631+'RA-TRIAL-BAL-2021'!T631+'DES-TRIAL-BAL-2021'!T631+'DMP-TRIAL-BAL-2021'!T631</f>
        <v>0</v>
      </c>
      <c r="AB631" s="51"/>
      <c r="AC631" s="8">
        <v>0</v>
      </c>
      <c r="AD631" s="9">
        <v>0</v>
      </c>
      <c r="AE631" s="325"/>
      <c r="AF631" s="324"/>
      <c r="AG631" s="27">
        <f t="shared" si="310"/>
        <v>0</v>
      </c>
      <c r="AH631" s="28">
        <f t="shared" si="317"/>
        <v>0</v>
      </c>
      <c r="AI631" s="51"/>
      <c r="AJ631" s="1497">
        <f t="shared" si="319"/>
        <v>7145</v>
      </c>
      <c r="AK631" s="8">
        <v>0</v>
      </c>
      <c r="AL631" s="9">
        <v>0</v>
      </c>
      <c r="AM631" s="326">
        <f t="shared" si="311"/>
        <v>0</v>
      </c>
      <c r="AN631" s="970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58">
        <f t="shared" si="312"/>
        <v>0</v>
      </c>
      <c r="AS631" s="359">
        <f t="shared" si="313"/>
        <v>0</v>
      </c>
      <c r="AT631" s="360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25"/>
      <c r="R632" s="324"/>
      <c r="S632" s="27">
        <f t="shared" si="309"/>
        <v>0</v>
      </c>
      <c r="T632" s="28">
        <f t="shared" si="316"/>
        <v>0</v>
      </c>
      <c r="U632" s="51"/>
      <c r="V632" s="541">
        <f>+'NF-KSF-TRIAL-BAL-2021'!O632+'RA-TRIAL-BAL-2021'!O632+'DES-TRIAL-BAL-2021'!O632+'DMP-TRIAL-BAL-2021'!O632</f>
        <v>0</v>
      </c>
      <c r="W632" s="529">
        <f>+'NF-KSF-TRIAL-BAL-2021'!P632+'RA-TRIAL-BAL-2021'!P632+'DES-TRIAL-BAL-2021'!P632+'DMP-TRIAL-BAL-2021'!P632</f>
        <v>0</v>
      </c>
      <c r="X632" s="528">
        <f>+'NF-KSF-TRIAL-BAL-2021'!Q632+'RA-TRIAL-BAL-2021'!Q632+'DES-TRIAL-BAL-2021'!Q632+'DMP-TRIAL-BAL-2021'!Q632</f>
        <v>0</v>
      </c>
      <c r="Y632" s="529">
        <f>+'NF-KSF-TRIAL-BAL-2021'!R632+'RA-TRIAL-BAL-2021'!R632+'DES-TRIAL-BAL-2021'!R632+'DMP-TRIAL-BAL-2021'!R632</f>
        <v>0</v>
      </c>
      <c r="Z632" s="528">
        <f>+'NF-KSF-TRIAL-BAL-2021'!S632+'RA-TRIAL-BAL-2021'!S632+'DES-TRIAL-BAL-2021'!S632+'DMP-TRIAL-BAL-2021'!S632</f>
        <v>0</v>
      </c>
      <c r="AA632" s="347">
        <f>+'NF-KSF-TRIAL-BAL-2021'!T632+'RA-TRIAL-BAL-2021'!T632+'DES-TRIAL-BAL-2021'!T632+'DMP-TRIAL-BAL-2021'!T632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97">
        <f t="shared" si="319"/>
        <v>7146</v>
      </c>
      <c r="AK632" s="8">
        <v>0</v>
      </c>
      <c r="AL632" s="9">
        <v>0</v>
      </c>
      <c r="AM632" s="326">
        <f t="shared" si="311"/>
        <v>0</v>
      </c>
      <c r="AN632" s="970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58">
        <f t="shared" si="312"/>
        <v>0</v>
      </c>
      <c r="AS632" s="359">
        <f t="shared" si="313"/>
        <v>0</v>
      </c>
      <c r="AT632" s="360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25"/>
      <c r="R633" s="324"/>
      <c r="S633" s="27">
        <f t="shared" si="309"/>
        <v>0</v>
      </c>
      <c r="T633" s="28">
        <f t="shared" si="316"/>
        <v>0</v>
      </c>
      <c r="U633" s="51"/>
      <c r="V633" s="541">
        <f>+'NF-KSF-TRIAL-BAL-2021'!O633+'RA-TRIAL-BAL-2021'!O633+'DES-TRIAL-BAL-2021'!O633+'DMP-TRIAL-BAL-2021'!O633</f>
        <v>0</v>
      </c>
      <c r="W633" s="529">
        <f>+'NF-KSF-TRIAL-BAL-2021'!P633+'RA-TRIAL-BAL-2021'!P633+'DES-TRIAL-BAL-2021'!P633+'DMP-TRIAL-BAL-2021'!P633</f>
        <v>0</v>
      </c>
      <c r="X633" s="528">
        <f>+'NF-KSF-TRIAL-BAL-2021'!Q633+'RA-TRIAL-BAL-2021'!Q633+'DES-TRIAL-BAL-2021'!Q633+'DMP-TRIAL-BAL-2021'!Q633</f>
        <v>0</v>
      </c>
      <c r="Y633" s="529">
        <f>+'NF-KSF-TRIAL-BAL-2021'!R633+'RA-TRIAL-BAL-2021'!R633+'DES-TRIAL-BAL-2021'!R633+'DMP-TRIAL-BAL-2021'!R633</f>
        <v>0</v>
      </c>
      <c r="Z633" s="528">
        <f>+'NF-KSF-TRIAL-BAL-2021'!S633+'RA-TRIAL-BAL-2021'!S633+'DES-TRIAL-BAL-2021'!S633+'DMP-TRIAL-BAL-2021'!S633</f>
        <v>0</v>
      </c>
      <c r="AA633" s="347">
        <f>+'NF-KSF-TRIAL-BAL-2021'!T633+'RA-TRIAL-BAL-2021'!T633+'DES-TRIAL-BAL-2021'!T633+'DMP-TRIAL-BAL-2021'!T633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97">
        <f t="shared" si="319"/>
        <v>7147</v>
      </c>
      <c r="AK633" s="8">
        <v>0</v>
      </c>
      <c r="AL633" s="9">
        <v>0</v>
      </c>
      <c r="AM633" s="326">
        <f t="shared" si="311"/>
        <v>0</v>
      </c>
      <c r="AN633" s="970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58">
        <f t="shared" si="312"/>
        <v>0</v>
      </c>
      <c r="AS633" s="359">
        <f t="shared" si="313"/>
        <v>0</v>
      </c>
      <c r="AT633" s="360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25"/>
      <c r="R634" s="324">
        <v>5000</v>
      </c>
      <c r="S634" s="27">
        <f t="shared" si="309"/>
        <v>0</v>
      </c>
      <c r="T634" s="28">
        <f t="shared" si="316"/>
        <v>5000</v>
      </c>
      <c r="U634" s="51"/>
      <c r="V634" s="541">
        <f>+'NF-KSF-TRIAL-BAL-2021'!O634+'RA-TRIAL-BAL-2021'!O634+'DES-TRIAL-BAL-2021'!O634+'DMP-TRIAL-BAL-2021'!O634</f>
        <v>0</v>
      </c>
      <c r="W634" s="529">
        <f>+'NF-KSF-TRIAL-BAL-2021'!P634+'RA-TRIAL-BAL-2021'!P634+'DES-TRIAL-BAL-2021'!P634+'DMP-TRIAL-BAL-2021'!P634</f>
        <v>0</v>
      </c>
      <c r="X634" s="528">
        <f>+'NF-KSF-TRIAL-BAL-2021'!Q634+'RA-TRIAL-BAL-2021'!Q634+'DES-TRIAL-BAL-2021'!Q634+'DMP-TRIAL-BAL-2021'!Q634</f>
        <v>0</v>
      </c>
      <c r="Y634" s="529">
        <f>+'NF-KSF-TRIAL-BAL-2021'!R634+'RA-TRIAL-BAL-2021'!R634+'DES-TRIAL-BAL-2021'!R634+'DMP-TRIAL-BAL-2021'!R634</f>
        <v>0</v>
      </c>
      <c r="Z634" s="528">
        <f>+'NF-KSF-TRIAL-BAL-2021'!S634+'RA-TRIAL-BAL-2021'!S634+'DES-TRIAL-BAL-2021'!S634+'DMP-TRIAL-BAL-2021'!S634</f>
        <v>0</v>
      </c>
      <c r="AA634" s="347">
        <f>+'NF-KSF-TRIAL-BAL-2021'!T634+'RA-TRIAL-BAL-2021'!T634+'DES-TRIAL-BAL-2021'!T634+'DMP-TRIAL-BAL-2021'!T634</f>
        <v>0</v>
      </c>
      <c r="AB634" s="51"/>
      <c r="AC634" s="8">
        <v>0</v>
      </c>
      <c r="AD634" s="9">
        <v>0</v>
      </c>
      <c r="AE634" s="325"/>
      <c r="AF634" s="324"/>
      <c r="AG634" s="27">
        <f t="shared" si="310"/>
        <v>0</v>
      </c>
      <c r="AH634" s="28">
        <f t="shared" si="317"/>
        <v>0</v>
      </c>
      <c r="AI634" s="51"/>
      <c r="AJ634" s="1497">
        <f t="shared" si="319"/>
        <v>7149</v>
      </c>
      <c r="AK634" s="8">
        <v>0</v>
      </c>
      <c r="AL634" s="9">
        <v>0</v>
      </c>
      <c r="AM634" s="326">
        <f t="shared" si="311"/>
        <v>0</v>
      </c>
      <c r="AN634" s="970">
        <f t="shared" si="311"/>
        <v>5000</v>
      </c>
      <c r="AO634" s="27">
        <f t="shared" si="315"/>
        <v>0</v>
      </c>
      <c r="AP634" s="28">
        <f t="shared" si="318"/>
        <v>5000</v>
      </c>
      <c r="AQ634" s="43"/>
      <c r="AR634" s="358">
        <f t="shared" si="312"/>
        <v>0</v>
      </c>
      <c r="AS634" s="359">
        <f t="shared" si="313"/>
        <v>0</v>
      </c>
      <c r="AT634" s="360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25"/>
      <c r="R635" s="324"/>
      <c r="S635" s="27">
        <f t="shared" si="309"/>
        <v>0</v>
      </c>
      <c r="T635" s="28">
        <f t="shared" si="316"/>
        <v>0</v>
      </c>
      <c r="U635" s="51"/>
      <c r="V635" s="541">
        <f>+'NF-KSF-TRIAL-BAL-2021'!O635+'RA-TRIAL-BAL-2021'!O635+'DES-TRIAL-BAL-2021'!O635+'DMP-TRIAL-BAL-2021'!O635</f>
        <v>0</v>
      </c>
      <c r="W635" s="529">
        <f>+'NF-KSF-TRIAL-BAL-2021'!P635+'RA-TRIAL-BAL-2021'!P635+'DES-TRIAL-BAL-2021'!P635+'DMP-TRIAL-BAL-2021'!P635</f>
        <v>0</v>
      </c>
      <c r="X635" s="528">
        <f>+'NF-KSF-TRIAL-BAL-2021'!Q635+'RA-TRIAL-BAL-2021'!Q635+'DES-TRIAL-BAL-2021'!Q635+'DMP-TRIAL-BAL-2021'!Q635</f>
        <v>0</v>
      </c>
      <c r="Y635" s="529">
        <f>+'NF-KSF-TRIAL-BAL-2021'!R635+'RA-TRIAL-BAL-2021'!R635+'DES-TRIAL-BAL-2021'!R635+'DMP-TRIAL-BAL-2021'!R635</f>
        <v>0</v>
      </c>
      <c r="Z635" s="528">
        <f>+'NF-KSF-TRIAL-BAL-2021'!S635+'RA-TRIAL-BAL-2021'!S635+'DES-TRIAL-BAL-2021'!S635+'DMP-TRIAL-BAL-2021'!S635</f>
        <v>0</v>
      </c>
      <c r="AA635" s="347">
        <f>+'NF-KSF-TRIAL-BAL-2021'!T635+'RA-TRIAL-BAL-2021'!T635+'DES-TRIAL-BAL-2021'!T635+'DMP-TRIAL-BAL-2021'!T635</f>
        <v>0</v>
      </c>
      <c r="AB635" s="51"/>
      <c r="AC635" s="8">
        <v>0</v>
      </c>
      <c r="AD635" s="9">
        <v>0</v>
      </c>
      <c r="AE635" s="325"/>
      <c r="AF635" s="324"/>
      <c r="AG635" s="27">
        <f t="shared" si="310"/>
        <v>0</v>
      </c>
      <c r="AH635" s="28">
        <f t="shared" si="317"/>
        <v>0</v>
      </c>
      <c r="AI635" s="51"/>
      <c r="AJ635" s="1497">
        <f t="shared" si="319"/>
        <v>7151</v>
      </c>
      <c r="AK635" s="8">
        <v>0</v>
      </c>
      <c r="AL635" s="9">
        <v>0</v>
      </c>
      <c r="AM635" s="326">
        <f t="shared" si="311"/>
        <v>0</v>
      </c>
      <c r="AN635" s="970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58">
        <f t="shared" si="312"/>
        <v>0</v>
      </c>
      <c r="AS635" s="359">
        <f t="shared" si="313"/>
        <v>0</v>
      </c>
      <c r="AT635" s="360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25"/>
      <c r="R636" s="324"/>
      <c r="S636" s="27">
        <f t="shared" si="309"/>
        <v>0</v>
      </c>
      <c r="T636" s="28">
        <f t="shared" si="316"/>
        <v>0</v>
      </c>
      <c r="U636" s="51"/>
      <c r="V636" s="541">
        <f>+'NF-KSF-TRIAL-BAL-2021'!O636+'RA-TRIAL-BAL-2021'!O636+'DES-TRIAL-BAL-2021'!O636+'DMP-TRIAL-BAL-2021'!O636</f>
        <v>0</v>
      </c>
      <c r="W636" s="529">
        <f>+'NF-KSF-TRIAL-BAL-2021'!P636+'RA-TRIAL-BAL-2021'!P636+'DES-TRIAL-BAL-2021'!P636+'DMP-TRIAL-BAL-2021'!P636</f>
        <v>0</v>
      </c>
      <c r="X636" s="528">
        <f>+'NF-KSF-TRIAL-BAL-2021'!Q636+'RA-TRIAL-BAL-2021'!Q636+'DES-TRIAL-BAL-2021'!Q636+'DMP-TRIAL-BAL-2021'!Q636</f>
        <v>0</v>
      </c>
      <c r="Y636" s="529">
        <f>+'NF-KSF-TRIAL-BAL-2021'!R636+'RA-TRIAL-BAL-2021'!R636+'DES-TRIAL-BAL-2021'!R636+'DMP-TRIAL-BAL-2021'!R636</f>
        <v>0</v>
      </c>
      <c r="Z636" s="528">
        <f>+'NF-KSF-TRIAL-BAL-2021'!S636+'RA-TRIAL-BAL-2021'!S636+'DES-TRIAL-BAL-2021'!S636+'DMP-TRIAL-BAL-2021'!S636</f>
        <v>0</v>
      </c>
      <c r="AA636" s="347">
        <f>+'NF-KSF-TRIAL-BAL-2021'!T636+'RA-TRIAL-BAL-2021'!T636+'DES-TRIAL-BAL-2021'!T636+'DMP-TRIAL-BAL-2021'!T636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97">
        <f t="shared" si="319"/>
        <v>7159</v>
      </c>
      <c r="AK636" s="8">
        <v>0</v>
      </c>
      <c r="AL636" s="9">
        <v>0</v>
      </c>
      <c r="AM636" s="326">
        <f t="shared" si="311"/>
        <v>0</v>
      </c>
      <c r="AN636" s="970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58">
        <f t="shared" si="312"/>
        <v>0</v>
      </c>
      <c r="AS636" s="359">
        <f t="shared" si="313"/>
        <v>0</v>
      </c>
      <c r="AT636" s="360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25"/>
      <c r="R637" s="324"/>
      <c r="S637" s="27">
        <f t="shared" si="309"/>
        <v>0</v>
      </c>
      <c r="T637" s="28">
        <f t="shared" si="316"/>
        <v>0</v>
      </c>
      <c r="U637" s="51"/>
      <c r="V637" s="541">
        <f>+'NF-KSF-TRIAL-BAL-2021'!O637+'RA-TRIAL-BAL-2021'!O637+'DES-TRIAL-BAL-2021'!O637+'DMP-TRIAL-BAL-2021'!O637</f>
        <v>0</v>
      </c>
      <c r="W637" s="529">
        <f>+'NF-KSF-TRIAL-BAL-2021'!P637+'RA-TRIAL-BAL-2021'!P637+'DES-TRIAL-BAL-2021'!P637+'DMP-TRIAL-BAL-2021'!P637</f>
        <v>0</v>
      </c>
      <c r="X637" s="528">
        <f>+'NF-KSF-TRIAL-BAL-2021'!Q637+'RA-TRIAL-BAL-2021'!Q637+'DES-TRIAL-BAL-2021'!Q637+'DMP-TRIAL-BAL-2021'!Q637</f>
        <v>0</v>
      </c>
      <c r="Y637" s="529">
        <f>+'NF-KSF-TRIAL-BAL-2021'!R637+'RA-TRIAL-BAL-2021'!R637+'DES-TRIAL-BAL-2021'!R637+'DMP-TRIAL-BAL-2021'!R637</f>
        <v>0</v>
      </c>
      <c r="Z637" s="528">
        <f>+'NF-KSF-TRIAL-BAL-2021'!S637+'RA-TRIAL-BAL-2021'!S637+'DES-TRIAL-BAL-2021'!S637+'DMP-TRIAL-BAL-2021'!S637</f>
        <v>0</v>
      </c>
      <c r="AA637" s="347">
        <f>+'NF-KSF-TRIAL-BAL-2021'!T637+'RA-TRIAL-BAL-2021'!T637+'DES-TRIAL-BAL-2021'!T637+'DMP-TRIAL-BAL-2021'!T637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97">
        <f t="shared" si="319"/>
        <v>7161</v>
      </c>
      <c r="AK637" s="8">
        <v>0</v>
      </c>
      <c r="AL637" s="9">
        <v>0</v>
      </c>
      <c r="AM637" s="326">
        <f t="shared" si="311"/>
        <v>0</v>
      </c>
      <c r="AN637" s="970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58">
        <f t="shared" si="312"/>
        <v>0</v>
      </c>
      <c r="AS637" s="359">
        <f t="shared" si="313"/>
        <v>0</v>
      </c>
      <c r="AT637" s="360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25"/>
      <c r="R638" s="324"/>
      <c r="S638" s="27">
        <f t="shared" si="309"/>
        <v>0</v>
      </c>
      <c r="T638" s="28">
        <f t="shared" si="316"/>
        <v>0</v>
      </c>
      <c r="U638" s="51"/>
      <c r="V638" s="541">
        <f>+'NF-KSF-TRIAL-BAL-2021'!O638+'RA-TRIAL-BAL-2021'!O638+'DES-TRIAL-BAL-2021'!O638+'DMP-TRIAL-BAL-2021'!O638</f>
        <v>0</v>
      </c>
      <c r="W638" s="529">
        <f>+'NF-KSF-TRIAL-BAL-2021'!P638+'RA-TRIAL-BAL-2021'!P638+'DES-TRIAL-BAL-2021'!P638+'DMP-TRIAL-BAL-2021'!P638</f>
        <v>0</v>
      </c>
      <c r="X638" s="528">
        <f>+'NF-KSF-TRIAL-BAL-2021'!Q638+'RA-TRIAL-BAL-2021'!Q638+'DES-TRIAL-BAL-2021'!Q638+'DMP-TRIAL-BAL-2021'!Q638</f>
        <v>0</v>
      </c>
      <c r="Y638" s="529">
        <f>+'NF-KSF-TRIAL-BAL-2021'!R638+'RA-TRIAL-BAL-2021'!R638+'DES-TRIAL-BAL-2021'!R638+'DMP-TRIAL-BAL-2021'!R638</f>
        <v>0</v>
      </c>
      <c r="Z638" s="528">
        <f>+'NF-KSF-TRIAL-BAL-2021'!S638+'RA-TRIAL-BAL-2021'!S638+'DES-TRIAL-BAL-2021'!S638+'DMP-TRIAL-BAL-2021'!S638</f>
        <v>0</v>
      </c>
      <c r="AA638" s="347">
        <f>+'NF-KSF-TRIAL-BAL-2021'!T638+'RA-TRIAL-BAL-2021'!T638+'DES-TRIAL-BAL-2021'!T638+'DMP-TRIAL-BAL-2021'!T638</f>
        <v>0</v>
      </c>
      <c r="AB638" s="51"/>
      <c r="AC638" s="8">
        <v>0</v>
      </c>
      <c r="AD638" s="9">
        <v>0</v>
      </c>
      <c r="AE638" s="325"/>
      <c r="AF638" s="324"/>
      <c r="AG638" s="27">
        <f t="shared" si="310"/>
        <v>0</v>
      </c>
      <c r="AH638" s="28">
        <f t="shared" si="317"/>
        <v>0</v>
      </c>
      <c r="AI638" s="51"/>
      <c r="AJ638" s="1497">
        <f t="shared" si="319"/>
        <v>7162</v>
      </c>
      <c r="AK638" s="8">
        <v>0</v>
      </c>
      <c r="AL638" s="9">
        <v>0</v>
      </c>
      <c r="AM638" s="326">
        <f t="shared" si="311"/>
        <v>0</v>
      </c>
      <c r="AN638" s="970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58">
        <f t="shared" si="312"/>
        <v>0</v>
      </c>
      <c r="AS638" s="359">
        <f t="shared" si="313"/>
        <v>0</v>
      </c>
      <c r="AT638" s="360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25"/>
      <c r="R639" s="324"/>
      <c r="S639" s="27">
        <f t="shared" si="309"/>
        <v>0</v>
      </c>
      <c r="T639" s="28">
        <f t="shared" si="316"/>
        <v>0</v>
      </c>
      <c r="U639" s="51"/>
      <c r="V639" s="541">
        <f>+'NF-KSF-TRIAL-BAL-2021'!O639+'RA-TRIAL-BAL-2021'!O639+'DES-TRIAL-BAL-2021'!O639+'DMP-TRIAL-BAL-2021'!O639</f>
        <v>0</v>
      </c>
      <c r="W639" s="529">
        <f>+'NF-KSF-TRIAL-BAL-2021'!P639+'RA-TRIAL-BAL-2021'!P639+'DES-TRIAL-BAL-2021'!P639+'DMP-TRIAL-BAL-2021'!P639</f>
        <v>0</v>
      </c>
      <c r="X639" s="528">
        <f>+'NF-KSF-TRIAL-BAL-2021'!Q639+'RA-TRIAL-BAL-2021'!Q639+'DES-TRIAL-BAL-2021'!Q639+'DMP-TRIAL-BAL-2021'!Q639</f>
        <v>0</v>
      </c>
      <c r="Y639" s="529">
        <f>+'NF-KSF-TRIAL-BAL-2021'!R639+'RA-TRIAL-BAL-2021'!R639+'DES-TRIAL-BAL-2021'!R639+'DMP-TRIAL-BAL-2021'!R639</f>
        <v>0</v>
      </c>
      <c r="Z639" s="528">
        <f>+'NF-KSF-TRIAL-BAL-2021'!S639+'RA-TRIAL-BAL-2021'!S639+'DES-TRIAL-BAL-2021'!S639+'DMP-TRIAL-BAL-2021'!S639</f>
        <v>0</v>
      </c>
      <c r="AA639" s="347">
        <f>+'NF-KSF-TRIAL-BAL-2021'!T639+'RA-TRIAL-BAL-2021'!T639+'DES-TRIAL-BAL-2021'!T639+'DMP-TRIAL-BAL-2021'!T639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97">
        <f t="shared" si="319"/>
        <v>7163</v>
      </c>
      <c r="AK639" s="8">
        <v>0</v>
      </c>
      <c r="AL639" s="9">
        <v>0</v>
      </c>
      <c r="AM639" s="326">
        <f t="shared" si="311"/>
        <v>0</v>
      </c>
      <c r="AN639" s="970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58">
        <f t="shared" si="312"/>
        <v>0</v>
      </c>
      <c r="AS639" s="359">
        <f t="shared" si="313"/>
        <v>0</v>
      </c>
      <c r="AT639" s="360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91">
        <v>7170</v>
      </c>
      <c r="B640" s="2292" t="s">
        <v>625</v>
      </c>
      <c r="C640" s="2303"/>
      <c r="D640" s="2303"/>
      <c r="E640" s="2303"/>
      <c r="F640" s="2303"/>
      <c r="G640" s="2303"/>
      <c r="H640" s="2303"/>
      <c r="I640" s="2303"/>
      <c r="J640" s="2303"/>
      <c r="K640" s="2303"/>
      <c r="L640" s="2293"/>
      <c r="M640" s="51" t="s">
        <v>265</v>
      </c>
      <c r="N640" s="2299">
        <f t="shared" si="308"/>
        <v>7170</v>
      </c>
      <c r="O640" s="2301">
        <v>0</v>
      </c>
      <c r="P640" s="2295">
        <v>0</v>
      </c>
      <c r="Q640" s="2296"/>
      <c r="R640" s="2297"/>
      <c r="S640" s="2296">
        <f>+IF($C$8=9900,+IF(ABS(+O640+Q640)&gt;=ABS(P640+R640),+O640-P640+Q640-R640,0),0)</f>
        <v>0</v>
      </c>
      <c r="T640" s="2302">
        <f>+IF($C$8=9900,+IF(ABS(+O640+Q640)&lt;=ABS(P640+R640),-O640+P640-Q640+R640,0),0)</f>
        <v>0</v>
      </c>
      <c r="U640" s="51"/>
      <c r="V640" s="546">
        <f>+'NF-KSF-TRIAL-BAL-2021'!O640+'RA-TRIAL-BAL-2021'!O640+'DES-TRIAL-BAL-2021'!O640+'DMP-TRIAL-BAL-2021'!O640</f>
        <v>0</v>
      </c>
      <c r="W640" s="536">
        <f>+'NF-KSF-TRIAL-BAL-2021'!P640+'RA-TRIAL-BAL-2021'!P640+'DES-TRIAL-BAL-2021'!P640+'DMP-TRIAL-BAL-2021'!P640</f>
        <v>0</v>
      </c>
      <c r="X640" s="535">
        <f>+'NF-KSF-TRIAL-BAL-2021'!Q640+'RA-TRIAL-BAL-2021'!Q640+'DES-TRIAL-BAL-2021'!Q640+'DMP-TRIAL-BAL-2021'!Q640</f>
        <v>0</v>
      </c>
      <c r="Y640" s="536">
        <f>+'NF-KSF-TRIAL-BAL-2021'!R640+'RA-TRIAL-BAL-2021'!R640+'DES-TRIAL-BAL-2021'!R640+'DMP-TRIAL-BAL-2021'!R640</f>
        <v>0</v>
      </c>
      <c r="Z640" s="535">
        <f>+'NF-KSF-TRIAL-BAL-2021'!S640+'RA-TRIAL-BAL-2021'!S640+'DES-TRIAL-BAL-2021'!S640+'DMP-TRIAL-BAL-2021'!S640</f>
        <v>0</v>
      </c>
      <c r="AA640" s="537">
        <f>+'NF-KSF-TRIAL-BAL-2021'!T640+'RA-TRIAL-BAL-2021'!T640+'DES-TRIAL-BAL-2021'!T640+'DMP-TRIAL-BAL-2021'!T640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29">
        <f t="shared" si="310"/>
        <v>0</v>
      </c>
      <c r="AH640" s="828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31">
        <f>+ROUND(+Q640+X640+AE640,2)</f>
        <v>0</v>
      </c>
      <c r="AN640" s="832">
        <f>+ROUND(+R640+Y640+AF640,2)</f>
        <v>0</v>
      </c>
      <c r="AO640" s="829">
        <f t="shared" si="315"/>
        <v>0</v>
      </c>
      <c r="AP640" s="828">
        <f t="shared" si="318"/>
        <v>0</v>
      </c>
      <c r="AQ640" s="43"/>
      <c r="AR640" s="358">
        <f t="shared" si="312"/>
        <v>0</v>
      </c>
      <c r="AS640" s="359">
        <f t="shared" si="313"/>
        <v>0</v>
      </c>
      <c r="AT640" s="360">
        <f t="shared" si="314"/>
        <v>0</v>
      </c>
      <c r="AU640" s="43"/>
      <c r="AV640" s="2125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125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25">
        <v>1139.17</v>
      </c>
      <c r="R641" s="324"/>
      <c r="S641" s="27">
        <f t="shared" ref="S641:S666" si="320">+IF(ABS(+O641+Q641)&gt;=ABS(P641+R641),+O641-P641+Q641-R641,0)</f>
        <v>1139.17</v>
      </c>
      <c r="T641" s="28">
        <f t="shared" ref="T641:T666" si="321">+IF(ABS(+O641+Q641)&lt;=ABS(P641+R641),-O641+P641-Q641+R641,0)</f>
        <v>0</v>
      </c>
      <c r="U641" s="51"/>
      <c r="V641" s="541">
        <f>+'NF-KSF-TRIAL-BAL-2021'!O641+'RA-TRIAL-BAL-2021'!O641+'DES-TRIAL-BAL-2021'!O641+'DMP-TRIAL-BAL-2021'!O641</f>
        <v>0</v>
      </c>
      <c r="W641" s="529">
        <f>+'NF-KSF-TRIAL-BAL-2021'!P641+'RA-TRIAL-BAL-2021'!P641+'DES-TRIAL-BAL-2021'!P641+'DMP-TRIAL-BAL-2021'!P641</f>
        <v>0</v>
      </c>
      <c r="X641" s="528">
        <f>+'NF-KSF-TRIAL-BAL-2021'!Q641+'RA-TRIAL-BAL-2021'!Q641+'DES-TRIAL-BAL-2021'!Q641+'DMP-TRIAL-BAL-2021'!Q641</f>
        <v>0</v>
      </c>
      <c r="Y641" s="529">
        <f>+'NF-KSF-TRIAL-BAL-2021'!R641+'RA-TRIAL-BAL-2021'!R641+'DES-TRIAL-BAL-2021'!R641+'DMP-TRIAL-BAL-2021'!R641</f>
        <v>0</v>
      </c>
      <c r="Z641" s="528">
        <f>+'NF-KSF-TRIAL-BAL-2021'!S641+'RA-TRIAL-BAL-2021'!S641+'DES-TRIAL-BAL-2021'!S641+'DMP-TRIAL-BAL-2021'!S641</f>
        <v>0</v>
      </c>
      <c r="AA641" s="347">
        <f>+'NF-KSF-TRIAL-BAL-2021'!T641+'RA-TRIAL-BAL-2021'!T641+'DES-TRIAL-BAL-2021'!T641+'DMP-TRIAL-BAL-2021'!T641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97">
        <f t="shared" si="319"/>
        <v>7171</v>
      </c>
      <c r="AK641" s="8">
        <v>0</v>
      </c>
      <c r="AL641" s="9">
        <v>0</v>
      </c>
      <c r="AM641" s="326">
        <f t="shared" ref="AM641:AN666" si="324">+ROUND(+Q641+X641+AE641,2)</f>
        <v>1139.17</v>
      </c>
      <c r="AN641" s="970">
        <f t="shared" si="324"/>
        <v>0</v>
      </c>
      <c r="AO641" s="27">
        <f t="shared" si="315"/>
        <v>1139.17</v>
      </c>
      <c r="AP641" s="28">
        <f t="shared" si="318"/>
        <v>0</v>
      </c>
      <c r="AQ641" s="43"/>
      <c r="AR641" s="358">
        <f t="shared" si="312"/>
        <v>0</v>
      </c>
      <c r="AS641" s="359">
        <f t="shared" si="313"/>
        <v>0</v>
      </c>
      <c r="AT641" s="360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25"/>
      <c r="R642" s="324"/>
      <c r="S642" s="27">
        <f t="shared" si="320"/>
        <v>0</v>
      </c>
      <c r="T642" s="28">
        <f t="shared" si="321"/>
        <v>0</v>
      </c>
      <c r="U642" s="51"/>
      <c r="V642" s="541">
        <f>+'NF-KSF-TRIAL-BAL-2021'!O642+'RA-TRIAL-BAL-2021'!O642+'DES-TRIAL-BAL-2021'!O642+'DMP-TRIAL-BAL-2021'!O642</f>
        <v>0</v>
      </c>
      <c r="W642" s="529">
        <f>+'NF-KSF-TRIAL-BAL-2021'!P642+'RA-TRIAL-BAL-2021'!P642+'DES-TRIAL-BAL-2021'!P642+'DMP-TRIAL-BAL-2021'!P642</f>
        <v>0</v>
      </c>
      <c r="X642" s="528">
        <f>+'NF-KSF-TRIAL-BAL-2021'!Q642+'RA-TRIAL-BAL-2021'!Q642+'DES-TRIAL-BAL-2021'!Q642+'DMP-TRIAL-BAL-2021'!Q642</f>
        <v>0</v>
      </c>
      <c r="Y642" s="529">
        <f>+'NF-KSF-TRIAL-BAL-2021'!R642+'RA-TRIAL-BAL-2021'!R642+'DES-TRIAL-BAL-2021'!R642+'DMP-TRIAL-BAL-2021'!R642</f>
        <v>0</v>
      </c>
      <c r="Z642" s="528">
        <f>+'NF-KSF-TRIAL-BAL-2021'!S642+'RA-TRIAL-BAL-2021'!S642+'DES-TRIAL-BAL-2021'!S642+'DMP-TRIAL-BAL-2021'!S642</f>
        <v>0</v>
      </c>
      <c r="AA642" s="347">
        <f>+'NF-KSF-TRIAL-BAL-2021'!T642+'RA-TRIAL-BAL-2021'!T642+'DES-TRIAL-BAL-2021'!T642+'DMP-TRIAL-BAL-2021'!T642</f>
        <v>0</v>
      </c>
      <c r="AB642" s="51"/>
      <c r="AC642" s="8">
        <v>0</v>
      </c>
      <c r="AD642" s="9">
        <v>0</v>
      </c>
      <c r="AE642" s="325"/>
      <c r="AF642" s="324"/>
      <c r="AG642" s="27">
        <f t="shared" si="322"/>
        <v>0</v>
      </c>
      <c r="AH642" s="28">
        <f t="shared" si="323"/>
        <v>0</v>
      </c>
      <c r="AI642" s="51"/>
      <c r="AJ642" s="1497">
        <f t="shared" si="319"/>
        <v>7172</v>
      </c>
      <c r="AK642" s="8">
        <v>0</v>
      </c>
      <c r="AL642" s="9">
        <v>0</v>
      </c>
      <c r="AM642" s="326">
        <f t="shared" si="324"/>
        <v>0</v>
      </c>
      <c r="AN642" s="970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58">
        <f t="shared" si="312"/>
        <v>0</v>
      </c>
      <c r="AS642" s="359">
        <f t="shared" si="313"/>
        <v>0</v>
      </c>
      <c r="AT642" s="360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25"/>
      <c r="R643" s="324"/>
      <c r="S643" s="27">
        <f t="shared" si="320"/>
        <v>0</v>
      </c>
      <c r="T643" s="28">
        <f t="shared" si="321"/>
        <v>0</v>
      </c>
      <c r="U643" s="51"/>
      <c r="V643" s="541">
        <f>+'NF-KSF-TRIAL-BAL-2021'!O643+'RA-TRIAL-BAL-2021'!O643+'DES-TRIAL-BAL-2021'!O643+'DMP-TRIAL-BAL-2021'!O643</f>
        <v>0</v>
      </c>
      <c r="W643" s="529">
        <f>+'NF-KSF-TRIAL-BAL-2021'!P643+'RA-TRIAL-BAL-2021'!P643+'DES-TRIAL-BAL-2021'!P643+'DMP-TRIAL-BAL-2021'!P643</f>
        <v>0</v>
      </c>
      <c r="X643" s="528">
        <f>+'NF-KSF-TRIAL-BAL-2021'!Q643+'RA-TRIAL-BAL-2021'!Q643+'DES-TRIAL-BAL-2021'!Q643+'DMP-TRIAL-BAL-2021'!Q643</f>
        <v>0</v>
      </c>
      <c r="Y643" s="529">
        <f>+'NF-KSF-TRIAL-BAL-2021'!R643+'RA-TRIAL-BAL-2021'!R643+'DES-TRIAL-BAL-2021'!R643+'DMP-TRIAL-BAL-2021'!R643</f>
        <v>0</v>
      </c>
      <c r="Z643" s="528">
        <f>+'NF-KSF-TRIAL-BAL-2021'!S643+'RA-TRIAL-BAL-2021'!S643+'DES-TRIAL-BAL-2021'!S643+'DMP-TRIAL-BAL-2021'!S643</f>
        <v>0</v>
      </c>
      <c r="AA643" s="347">
        <f>+'NF-KSF-TRIAL-BAL-2021'!T643+'RA-TRIAL-BAL-2021'!T643+'DES-TRIAL-BAL-2021'!T643+'DMP-TRIAL-BAL-2021'!T643</f>
        <v>0</v>
      </c>
      <c r="AB643" s="51"/>
      <c r="AC643" s="8">
        <v>0</v>
      </c>
      <c r="AD643" s="9">
        <v>0</v>
      </c>
      <c r="AE643" s="325"/>
      <c r="AF643" s="324"/>
      <c r="AG643" s="27">
        <f t="shared" si="322"/>
        <v>0</v>
      </c>
      <c r="AH643" s="28">
        <f t="shared" si="323"/>
        <v>0</v>
      </c>
      <c r="AI643" s="51"/>
      <c r="AJ643" s="1497">
        <f t="shared" si="319"/>
        <v>7173</v>
      </c>
      <c r="AK643" s="8">
        <v>0</v>
      </c>
      <c r="AL643" s="9">
        <v>0</v>
      </c>
      <c r="AM643" s="326">
        <f t="shared" si="324"/>
        <v>0</v>
      </c>
      <c r="AN643" s="970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58">
        <f t="shared" si="312"/>
        <v>0</v>
      </c>
      <c r="AS643" s="359">
        <f t="shared" si="313"/>
        <v>0</v>
      </c>
      <c r="AT643" s="360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25"/>
      <c r="R644" s="324"/>
      <c r="S644" s="27">
        <f t="shared" si="320"/>
        <v>0</v>
      </c>
      <c r="T644" s="28">
        <f t="shared" si="321"/>
        <v>0</v>
      </c>
      <c r="U644" s="51"/>
      <c r="V644" s="541">
        <f>+'NF-KSF-TRIAL-BAL-2021'!O644+'RA-TRIAL-BAL-2021'!O644+'DES-TRIAL-BAL-2021'!O644+'DMP-TRIAL-BAL-2021'!O644</f>
        <v>0</v>
      </c>
      <c r="W644" s="529">
        <f>+'NF-KSF-TRIAL-BAL-2021'!P644+'RA-TRIAL-BAL-2021'!P644+'DES-TRIAL-BAL-2021'!P644+'DMP-TRIAL-BAL-2021'!P644</f>
        <v>0</v>
      </c>
      <c r="X644" s="528">
        <f>+'NF-KSF-TRIAL-BAL-2021'!Q644+'RA-TRIAL-BAL-2021'!Q644+'DES-TRIAL-BAL-2021'!Q644+'DMP-TRIAL-BAL-2021'!Q644</f>
        <v>0</v>
      </c>
      <c r="Y644" s="529">
        <f>+'NF-KSF-TRIAL-BAL-2021'!R644+'RA-TRIAL-BAL-2021'!R644+'DES-TRIAL-BAL-2021'!R644+'DMP-TRIAL-BAL-2021'!R644</f>
        <v>0</v>
      </c>
      <c r="Z644" s="528">
        <f>+'NF-KSF-TRIAL-BAL-2021'!S644+'RA-TRIAL-BAL-2021'!S644+'DES-TRIAL-BAL-2021'!S644+'DMP-TRIAL-BAL-2021'!S644</f>
        <v>0</v>
      </c>
      <c r="AA644" s="347">
        <f>+'NF-KSF-TRIAL-BAL-2021'!T644+'RA-TRIAL-BAL-2021'!T644+'DES-TRIAL-BAL-2021'!T644+'DMP-TRIAL-BAL-2021'!T644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97">
        <f t="shared" si="319"/>
        <v>7174</v>
      </c>
      <c r="AK644" s="8">
        <v>0</v>
      </c>
      <c r="AL644" s="9">
        <v>0</v>
      </c>
      <c r="AM644" s="326">
        <f t="shared" si="324"/>
        <v>0</v>
      </c>
      <c r="AN644" s="970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58">
        <f t="shared" si="312"/>
        <v>0</v>
      </c>
      <c r="AS644" s="359">
        <f t="shared" si="313"/>
        <v>0</v>
      </c>
      <c r="AT644" s="360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25"/>
      <c r="R645" s="324"/>
      <c r="S645" s="27">
        <f t="shared" si="320"/>
        <v>0</v>
      </c>
      <c r="T645" s="28">
        <f t="shared" si="321"/>
        <v>0</v>
      </c>
      <c r="U645" s="51"/>
      <c r="V645" s="541">
        <f>+'NF-KSF-TRIAL-BAL-2021'!O645+'RA-TRIAL-BAL-2021'!O645+'DES-TRIAL-BAL-2021'!O645+'DMP-TRIAL-BAL-2021'!O645</f>
        <v>0</v>
      </c>
      <c r="W645" s="529">
        <f>+'NF-KSF-TRIAL-BAL-2021'!P645+'RA-TRIAL-BAL-2021'!P645+'DES-TRIAL-BAL-2021'!P645+'DMP-TRIAL-BAL-2021'!P645</f>
        <v>0</v>
      </c>
      <c r="X645" s="528">
        <f>+'NF-KSF-TRIAL-BAL-2021'!Q645+'RA-TRIAL-BAL-2021'!Q645+'DES-TRIAL-BAL-2021'!Q645+'DMP-TRIAL-BAL-2021'!Q645</f>
        <v>0</v>
      </c>
      <c r="Y645" s="529">
        <f>+'NF-KSF-TRIAL-BAL-2021'!R645+'RA-TRIAL-BAL-2021'!R645+'DES-TRIAL-BAL-2021'!R645+'DMP-TRIAL-BAL-2021'!R645</f>
        <v>0</v>
      </c>
      <c r="Z645" s="528">
        <f>+'NF-KSF-TRIAL-BAL-2021'!S645+'RA-TRIAL-BAL-2021'!S645+'DES-TRIAL-BAL-2021'!S645+'DMP-TRIAL-BAL-2021'!S645</f>
        <v>0</v>
      </c>
      <c r="AA645" s="347">
        <f>+'NF-KSF-TRIAL-BAL-2021'!T645+'RA-TRIAL-BAL-2021'!T645+'DES-TRIAL-BAL-2021'!T645+'DMP-TRIAL-BAL-2021'!T645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97">
        <f t="shared" si="319"/>
        <v>7175</v>
      </c>
      <c r="AK645" s="8">
        <v>0</v>
      </c>
      <c r="AL645" s="9">
        <v>0</v>
      </c>
      <c r="AM645" s="326">
        <f t="shared" si="324"/>
        <v>0</v>
      </c>
      <c r="AN645" s="970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58">
        <f t="shared" si="312"/>
        <v>0</v>
      </c>
      <c r="AS645" s="359">
        <f t="shared" si="313"/>
        <v>0</v>
      </c>
      <c r="AT645" s="360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25"/>
      <c r="R646" s="324"/>
      <c r="S646" s="27">
        <f t="shared" si="320"/>
        <v>0</v>
      </c>
      <c r="T646" s="28">
        <f t="shared" si="321"/>
        <v>0</v>
      </c>
      <c r="U646" s="51"/>
      <c r="V646" s="541">
        <f>+'NF-KSF-TRIAL-BAL-2021'!O646+'RA-TRIAL-BAL-2021'!O646+'DES-TRIAL-BAL-2021'!O646+'DMP-TRIAL-BAL-2021'!O646</f>
        <v>0</v>
      </c>
      <c r="W646" s="529">
        <f>+'NF-KSF-TRIAL-BAL-2021'!P646+'RA-TRIAL-BAL-2021'!P646+'DES-TRIAL-BAL-2021'!P646+'DMP-TRIAL-BAL-2021'!P646</f>
        <v>0</v>
      </c>
      <c r="X646" s="528">
        <f>+'NF-KSF-TRIAL-BAL-2021'!Q646+'RA-TRIAL-BAL-2021'!Q646+'DES-TRIAL-BAL-2021'!Q646+'DMP-TRIAL-BAL-2021'!Q646</f>
        <v>0</v>
      </c>
      <c r="Y646" s="529">
        <f>+'NF-KSF-TRIAL-BAL-2021'!R646+'RA-TRIAL-BAL-2021'!R646+'DES-TRIAL-BAL-2021'!R646+'DMP-TRIAL-BAL-2021'!R646</f>
        <v>0</v>
      </c>
      <c r="Z646" s="528">
        <f>+'NF-KSF-TRIAL-BAL-2021'!S646+'RA-TRIAL-BAL-2021'!S646+'DES-TRIAL-BAL-2021'!S646+'DMP-TRIAL-BAL-2021'!S646</f>
        <v>0</v>
      </c>
      <c r="AA646" s="347">
        <f>+'NF-KSF-TRIAL-BAL-2021'!T646+'RA-TRIAL-BAL-2021'!T646+'DES-TRIAL-BAL-2021'!T646+'DMP-TRIAL-BAL-2021'!T646</f>
        <v>0</v>
      </c>
      <c r="AB646" s="51"/>
      <c r="AC646" s="8">
        <v>0</v>
      </c>
      <c r="AD646" s="9">
        <v>0</v>
      </c>
      <c r="AE646" s="325"/>
      <c r="AF646" s="324"/>
      <c r="AG646" s="27">
        <f t="shared" si="322"/>
        <v>0</v>
      </c>
      <c r="AH646" s="28">
        <f t="shared" si="323"/>
        <v>0</v>
      </c>
      <c r="AI646" s="51"/>
      <c r="AJ646" s="1497">
        <f t="shared" si="319"/>
        <v>7176</v>
      </c>
      <c r="AK646" s="8">
        <v>0</v>
      </c>
      <c r="AL646" s="9">
        <v>0</v>
      </c>
      <c r="AM646" s="326">
        <f t="shared" si="324"/>
        <v>0</v>
      </c>
      <c r="AN646" s="970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58">
        <f t="shared" si="312"/>
        <v>0</v>
      </c>
      <c r="AS646" s="359">
        <f t="shared" si="313"/>
        <v>0</v>
      </c>
      <c r="AT646" s="360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25"/>
      <c r="R647" s="324"/>
      <c r="S647" s="27">
        <f t="shared" si="320"/>
        <v>0</v>
      </c>
      <c r="T647" s="28">
        <f t="shared" si="321"/>
        <v>0</v>
      </c>
      <c r="U647" s="51"/>
      <c r="V647" s="541">
        <f>+'NF-KSF-TRIAL-BAL-2021'!O647+'RA-TRIAL-BAL-2021'!O647+'DES-TRIAL-BAL-2021'!O647+'DMP-TRIAL-BAL-2021'!O647</f>
        <v>0</v>
      </c>
      <c r="W647" s="529">
        <f>+'NF-KSF-TRIAL-BAL-2021'!P647+'RA-TRIAL-BAL-2021'!P647+'DES-TRIAL-BAL-2021'!P647+'DMP-TRIAL-BAL-2021'!P647</f>
        <v>0</v>
      </c>
      <c r="X647" s="528">
        <f>+'NF-KSF-TRIAL-BAL-2021'!Q647+'RA-TRIAL-BAL-2021'!Q647+'DES-TRIAL-BAL-2021'!Q647+'DMP-TRIAL-BAL-2021'!Q647</f>
        <v>0</v>
      </c>
      <c r="Y647" s="529">
        <f>+'NF-KSF-TRIAL-BAL-2021'!R647+'RA-TRIAL-BAL-2021'!R647+'DES-TRIAL-BAL-2021'!R647+'DMP-TRIAL-BAL-2021'!R647</f>
        <v>0</v>
      </c>
      <c r="Z647" s="528">
        <f>+'NF-KSF-TRIAL-BAL-2021'!S647+'RA-TRIAL-BAL-2021'!S647+'DES-TRIAL-BAL-2021'!S647+'DMP-TRIAL-BAL-2021'!S647</f>
        <v>0</v>
      </c>
      <c r="AA647" s="347">
        <f>+'NF-KSF-TRIAL-BAL-2021'!T647+'RA-TRIAL-BAL-2021'!T647+'DES-TRIAL-BAL-2021'!T647+'DMP-TRIAL-BAL-2021'!T647</f>
        <v>0</v>
      </c>
      <c r="AB647" s="51"/>
      <c r="AC647" s="8">
        <v>0</v>
      </c>
      <c r="AD647" s="9">
        <v>0</v>
      </c>
      <c r="AE647" s="325"/>
      <c r="AF647" s="324"/>
      <c r="AG647" s="27">
        <f t="shared" si="322"/>
        <v>0</v>
      </c>
      <c r="AH647" s="28">
        <f t="shared" si="323"/>
        <v>0</v>
      </c>
      <c r="AI647" s="51"/>
      <c r="AJ647" s="1497">
        <f t="shared" si="319"/>
        <v>7177</v>
      </c>
      <c r="AK647" s="8">
        <v>0</v>
      </c>
      <c r="AL647" s="9">
        <v>0</v>
      </c>
      <c r="AM647" s="326">
        <f t="shared" si="324"/>
        <v>0</v>
      </c>
      <c r="AN647" s="970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58">
        <f t="shared" si="312"/>
        <v>0</v>
      </c>
      <c r="AS647" s="359">
        <f t="shared" si="313"/>
        <v>0</v>
      </c>
      <c r="AT647" s="360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25"/>
      <c r="R648" s="324"/>
      <c r="S648" s="27">
        <f t="shared" si="320"/>
        <v>0</v>
      </c>
      <c r="T648" s="28">
        <f t="shared" si="321"/>
        <v>0</v>
      </c>
      <c r="U648" s="51"/>
      <c r="V648" s="541">
        <f>+'NF-KSF-TRIAL-BAL-2021'!O648+'RA-TRIAL-BAL-2021'!O648+'DES-TRIAL-BAL-2021'!O648+'DMP-TRIAL-BAL-2021'!O648</f>
        <v>0</v>
      </c>
      <c r="W648" s="529">
        <f>+'NF-KSF-TRIAL-BAL-2021'!P648+'RA-TRIAL-BAL-2021'!P648+'DES-TRIAL-BAL-2021'!P648+'DMP-TRIAL-BAL-2021'!P648</f>
        <v>0</v>
      </c>
      <c r="X648" s="528">
        <f>+'NF-KSF-TRIAL-BAL-2021'!Q648+'RA-TRIAL-BAL-2021'!Q648+'DES-TRIAL-BAL-2021'!Q648+'DMP-TRIAL-BAL-2021'!Q648</f>
        <v>0</v>
      </c>
      <c r="Y648" s="529">
        <f>+'NF-KSF-TRIAL-BAL-2021'!R648+'RA-TRIAL-BAL-2021'!R648+'DES-TRIAL-BAL-2021'!R648+'DMP-TRIAL-BAL-2021'!R648</f>
        <v>0</v>
      </c>
      <c r="Z648" s="528">
        <f>+'NF-KSF-TRIAL-BAL-2021'!S648+'RA-TRIAL-BAL-2021'!S648+'DES-TRIAL-BAL-2021'!S648+'DMP-TRIAL-BAL-2021'!S648</f>
        <v>0</v>
      </c>
      <c r="AA648" s="347">
        <f>+'NF-KSF-TRIAL-BAL-2021'!T648+'RA-TRIAL-BAL-2021'!T648+'DES-TRIAL-BAL-2021'!T648+'DMP-TRIAL-BAL-2021'!T648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97">
        <f t="shared" si="319"/>
        <v>7178</v>
      </c>
      <c r="AK648" s="8">
        <v>0</v>
      </c>
      <c r="AL648" s="9">
        <v>0</v>
      </c>
      <c r="AM648" s="326">
        <f t="shared" si="324"/>
        <v>0</v>
      </c>
      <c r="AN648" s="970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58">
        <f t="shared" si="312"/>
        <v>0</v>
      </c>
      <c r="AS648" s="359">
        <f t="shared" si="313"/>
        <v>0</v>
      </c>
      <c r="AT648" s="360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25"/>
      <c r="R649" s="324"/>
      <c r="S649" s="27">
        <f t="shared" si="320"/>
        <v>0</v>
      </c>
      <c r="T649" s="28">
        <f t="shared" si="321"/>
        <v>0</v>
      </c>
      <c r="U649" s="51"/>
      <c r="V649" s="541">
        <f>+'NF-KSF-TRIAL-BAL-2021'!O649+'RA-TRIAL-BAL-2021'!O649+'DES-TRIAL-BAL-2021'!O649+'DMP-TRIAL-BAL-2021'!O649</f>
        <v>0</v>
      </c>
      <c r="W649" s="529">
        <f>+'NF-KSF-TRIAL-BAL-2021'!P649+'RA-TRIAL-BAL-2021'!P649+'DES-TRIAL-BAL-2021'!P649+'DMP-TRIAL-BAL-2021'!P649</f>
        <v>0</v>
      </c>
      <c r="X649" s="528">
        <f>+'NF-KSF-TRIAL-BAL-2021'!Q649+'RA-TRIAL-BAL-2021'!Q649+'DES-TRIAL-BAL-2021'!Q649+'DMP-TRIAL-BAL-2021'!Q649</f>
        <v>0</v>
      </c>
      <c r="Y649" s="529">
        <f>+'NF-KSF-TRIAL-BAL-2021'!R649+'RA-TRIAL-BAL-2021'!R649+'DES-TRIAL-BAL-2021'!R649+'DMP-TRIAL-BAL-2021'!R649</f>
        <v>0</v>
      </c>
      <c r="Z649" s="528">
        <f>+'NF-KSF-TRIAL-BAL-2021'!S649+'RA-TRIAL-BAL-2021'!S649+'DES-TRIAL-BAL-2021'!S649+'DMP-TRIAL-BAL-2021'!S649</f>
        <v>0</v>
      </c>
      <c r="AA649" s="347">
        <f>+'NF-KSF-TRIAL-BAL-2021'!T649+'RA-TRIAL-BAL-2021'!T649+'DES-TRIAL-BAL-2021'!T649+'DMP-TRIAL-BAL-2021'!T649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97">
        <f t="shared" si="319"/>
        <v>7179</v>
      </c>
      <c r="AK649" s="8">
        <v>0</v>
      </c>
      <c r="AL649" s="9">
        <v>0</v>
      </c>
      <c r="AM649" s="326">
        <f t="shared" si="324"/>
        <v>0</v>
      </c>
      <c r="AN649" s="970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58">
        <f t="shared" si="312"/>
        <v>0</v>
      </c>
      <c r="AS649" s="359">
        <f t="shared" si="313"/>
        <v>0</v>
      </c>
      <c r="AT649" s="360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25"/>
      <c r="R650" s="324"/>
      <c r="S650" s="27">
        <f t="shared" si="320"/>
        <v>0</v>
      </c>
      <c r="T650" s="28">
        <f t="shared" si="321"/>
        <v>0</v>
      </c>
      <c r="U650" s="51"/>
      <c r="V650" s="541">
        <f>+'NF-KSF-TRIAL-BAL-2021'!O650+'RA-TRIAL-BAL-2021'!O650+'DES-TRIAL-BAL-2021'!O650+'DMP-TRIAL-BAL-2021'!O650</f>
        <v>0</v>
      </c>
      <c r="W650" s="529">
        <f>+'NF-KSF-TRIAL-BAL-2021'!P650+'RA-TRIAL-BAL-2021'!P650+'DES-TRIAL-BAL-2021'!P650+'DMP-TRIAL-BAL-2021'!P650</f>
        <v>0</v>
      </c>
      <c r="X650" s="528">
        <f>+'NF-KSF-TRIAL-BAL-2021'!Q650+'RA-TRIAL-BAL-2021'!Q650+'DES-TRIAL-BAL-2021'!Q650+'DMP-TRIAL-BAL-2021'!Q650</f>
        <v>0</v>
      </c>
      <c r="Y650" s="529">
        <f>+'NF-KSF-TRIAL-BAL-2021'!R650+'RA-TRIAL-BAL-2021'!R650+'DES-TRIAL-BAL-2021'!R650+'DMP-TRIAL-BAL-2021'!R650</f>
        <v>0</v>
      </c>
      <c r="Z650" s="528">
        <f>+'NF-KSF-TRIAL-BAL-2021'!S650+'RA-TRIAL-BAL-2021'!S650+'DES-TRIAL-BAL-2021'!S650+'DMP-TRIAL-BAL-2021'!S650</f>
        <v>0</v>
      </c>
      <c r="AA650" s="347">
        <f>+'NF-KSF-TRIAL-BAL-2021'!T650+'RA-TRIAL-BAL-2021'!T650+'DES-TRIAL-BAL-2021'!T650+'DMP-TRIAL-BAL-2021'!T650</f>
        <v>0</v>
      </c>
      <c r="AB650" s="51"/>
      <c r="AC650" s="8">
        <v>0</v>
      </c>
      <c r="AD650" s="9">
        <v>0</v>
      </c>
      <c r="AE650" s="325"/>
      <c r="AF650" s="324"/>
      <c r="AG650" s="27">
        <f t="shared" si="322"/>
        <v>0</v>
      </c>
      <c r="AH650" s="28">
        <f t="shared" si="323"/>
        <v>0</v>
      </c>
      <c r="AI650" s="51"/>
      <c r="AJ650" s="1497">
        <f>+N650</f>
        <v>7180</v>
      </c>
      <c r="AK650" s="8">
        <v>0</v>
      </c>
      <c r="AL650" s="9">
        <v>0</v>
      </c>
      <c r="AM650" s="326">
        <f t="shared" si="324"/>
        <v>0</v>
      </c>
      <c r="AN650" s="970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58">
        <f>+ROUND(+SUM(AK650-AL650)-SUM(O650-P650)-SUM(V650-W650)-SUM(AC650-AD650),2)</f>
        <v>0</v>
      </c>
      <c r="AS650" s="359">
        <f>+ROUND(+SUM(AM650-AN650)-SUM(Q650-R650)-SUM(X650-Y650)-SUM(AE650-AF650),2)</f>
        <v>0</v>
      </c>
      <c r="AT650" s="360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25"/>
      <c r="R651" s="324"/>
      <c r="S651" s="27">
        <f t="shared" si="320"/>
        <v>0</v>
      </c>
      <c r="T651" s="28">
        <f t="shared" si="321"/>
        <v>0</v>
      </c>
      <c r="U651" s="51"/>
      <c r="V651" s="541">
        <f>+'NF-KSF-TRIAL-BAL-2021'!O651+'RA-TRIAL-BAL-2021'!O651+'DES-TRIAL-BAL-2021'!O651+'DMP-TRIAL-BAL-2021'!O651</f>
        <v>0</v>
      </c>
      <c r="W651" s="529">
        <f>+'NF-KSF-TRIAL-BAL-2021'!P651+'RA-TRIAL-BAL-2021'!P651+'DES-TRIAL-BAL-2021'!P651+'DMP-TRIAL-BAL-2021'!P651</f>
        <v>0</v>
      </c>
      <c r="X651" s="528">
        <f>+'NF-KSF-TRIAL-BAL-2021'!Q651+'RA-TRIAL-BAL-2021'!Q651+'DES-TRIAL-BAL-2021'!Q651+'DMP-TRIAL-BAL-2021'!Q651</f>
        <v>0</v>
      </c>
      <c r="Y651" s="529">
        <f>+'NF-KSF-TRIAL-BAL-2021'!R651+'RA-TRIAL-BAL-2021'!R651+'DES-TRIAL-BAL-2021'!R651+'DMP-TRIAL-BAL-2021'!R651</f>
        <v>0</v>
      </c>
      <c r="Z651" s="528">
        <f>+'NF-KSF-TRIAL-BAL-2021'!S651+'RA-TRIAL-BAL-2021'!S651+'DES-TRIAL-BAL-2021'!S651+'DMP-TRIAL-BAL-2021'!S651</f>
        <v>0</v>
      </c>
      <c r="AA651" s="347">
        <f>+'NF-KSF-TRIAL-BAL-2021'!T651+'RA-TRIAL-BAL-2021'!T651+'DES-TRIAL-BAL-2021'!T651+'DMP-TRIAL-BAL-2021'!T651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97">
        <f t="shared" si="319"/>
        <v>7181</v>
      </c>
      <c r="AK651" s="8">
        <v>0</v>
      </c>
      <c r="AL651" s="9">
        <v>0</v>
      </c>
      <c r="AM651" s="326">
        <f t="shared" si="324"/>
        <v>0</v>
      </c>
      <c r="AN651" s="970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58">
        <f t="shared" si="312"/>
        <v>0</v>
      </c>
      <c r="AS651" s="359">
        <f t="shared" si="313"/>
        <v>0</v>
      </c>
      <c r="AT651" s="360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25"/>
      <c r="R652" s="324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41">
        <f>+'NF-KSF-TRIAL-BAL-2021'!O652+'RA-TRIAL-BAL-2021'!O652+'DES-TRIAL-BAL-2021'!O652+'DMP-TRIAL-BAL-2021'!O652</f>
        <v>0</v>
      </c>
      <c r="W652" s="529">
        <f>+'NF-KSF-TRIAL-BAL-2021'!P652+'RA-TRIAL-BAL-2021'!P652+'DES-TRIAL-BAL-2021'!P652+'DMP-TRIAL-BAL-2021'!P652</f>
        <v>0</v>
      </c>
      <c r="X652" s="528">
        <f>+'NF-KSF-TRIAL-BAL-2021'!Q652+'RA-TRIAL-BAL-2021'!Q652+'DES-TRIAL-BAL-2021'!Q652+'DMP-TRIAL-BAL-2021'!Q652</f>
        <v>0</v>
      </c>
      <c r="Y652" s="529">
        <f>+'NF-KSF-TRIAL-BAL-2021'!R652+'RA-TRIAL-BAL-2021'!R652+'DES-TRIAL-BAL-2021'!R652+'DMP-TRIAL-BAL-2021'!R652</f>
        <v>0</v>
      </c>
      <c r="Z652" s="528">
        <f>+'NF-KSF-TRIAL-BAL-2021'!S652+'RA-TRIAL-BAL-2021'!S652+'DES-TRIAL-BAL-2021'!S652+'DMP-TRIAL-BAL-2021'!S652</f>
        <v>0</v>
      </c>
      <c r="AA652" s="347">
        <f>+'NF-KSF-TRIAL-BAL-2021'!T652+'RA-TRIAL-BAL-2021'!T652+'DES-TRIAL-BAL-2021'!T652+'DMP-TRIAL-BAL-2021'!T652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97">
        <f t="shared" si="319"/>
        <v>7182</v>
      </c>
      <c r="AK652" s="8">
        <v>0</v>
      </c>
      <c r="AL652" s="9">
        <v>0</v>
      </c>
      <c r="AM652" s="326">
        <f>+ROUND(+Q652+X652+AE652,2)</f>
        <v>0</v>
      </c>
      <c r="AN652" s="970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58">
        <f t="shared" si="312"/>
        <v>0</v>
      </c>
      <c r="AS652" s="359">
        <f t="shared" si="313"/>
        <v>0</v>
      </c>
      <c r="AT652" s="360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25"/>
      <c r="R653" s="324"/>
      <c r="S653" s="27">
        <f t="shared" si="320"/>
        <v>0</v>
      </c>
      <c r="T653" s="28">
        <f t="shared" si="321"/>
        <v>0</v>
      </c>
      <c r="U653" s="51"/>
      <c r="V653" s="541">
        <f>+'NF-KSF-TRIAL-BAL-2021'!O653+'RA-TRIAL-BAL-2021'!O653+'DES-TRIAL-BAL-2021'!O653+'DMP-TRIAL-BAL-2021'!O653</f>
        <v>0</v>
      </c>
      <c r="W653" s="529">
        <f>+'NF-KSF-TRIAL-BAL-2021'!P653+'RA-TRIAL-BAL-2021'!P653+'DES-TRIAL-BAL-2021'!P653+'DMP-TRIAL-BAL-2021'!P653</f>
        <v>0</v>
      </c>
      <c r="X653" s="528">
        <f>+'NF-KSF-TRIAL-BAL-2021'!Q653+'RA-TRIAL-BAL-2021'!Q653+'DES-TRIAL-BAL-2021'!Q653+'DMP-TRIAL-BAL-2021'!Q653</f>
        <v>0</v>
      </c>
      <c r="Y653" s="529">
        <f>+'NF-KSF-TRIAL-BAL-2021'!R653+'RA-TRIAL-BAL-2021'!R653+'DES-TRIAL-BAL-2021'!R653+'DMP-TRIAL-BAL-2021'!R653</f>
        <v>0</v>
      </c>
      <c r="Z653" s="528">
        <f>+'NF-KSF-TRIAL-BAL-2021'!S653+'RA-TRIAL-BAL-2021'!S653+'DES-TRIAL-BAL-2021'!S653+'DMP-TRIAL-BAL-2021'!S653</f>
        <v>0</v>
      </c>
      <c r="AA653" s="347">
        <f>+'NF-KSF-TRIAL-BAL-2021'!T653+'RA-TRIAL-BAL-2021'!T653+'DES-TRIAL-BAL-2021'!T653+'DMP-TRIAL-BAL-2021'!T653</f>
        <v>0</v>
      </c>
      <c r="AB653" s="51"/>
      <c r="AC653" s="8">
        <v>0</v>
      </c>
      <c r="AD653" s="9">
        <v>0</v>
      </c>
      <c r="AE653" s="325"/>
      <c r="AF653" s="324"/>
      <c r="AG653" s="27">
        <f t="shared" si="322"/>
        <v>0</v>
      </c>
      <c r="AH653" s="28">
        <f t="shared" si="323"/>
        <v>0</v>
      </c>
      <c r="AI653" s="51"/>
      <c r="AJ653" s="1497">
        <f t="shared" si="319"/>
        <v>7189</v>
      </c>
      <c r="AK653" s="8">
        <v>0</v>
      </c>
      <c r="AL653" s="9">
        <v>0</v>
      </c>
      <c r="AM653" s="326">
        <f t="shared" si="324"/>
        <v>0</v>
      </c>
      <c r="AN653" s="970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58">
        <f t="shared" si="312"/>
        <v>0</v>
      </c>
      <c r="AS653" s="359">
        <f t="shared" si="313"/>
        <v>0</v>
      </c>
      <c r="AT653" s="360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25">
        <v>21007.72</v>
      </c>
      <c r="R654" s="324"/>
      <c r="S654" s="27">
        <f>+IF(ABS(+O654+Q654)&gt;=ABS(P654+R654),+O654-P654+Q654-R654,0)</f>
        <v>21007.72</v>
      </c>
      <c r="T654" s="28">
        <f>+IF(ABS(+O654+Q654)&lt;=ABS(P654+R654),-O654+P654-Q654+R654,0)</f>
        <v>0</v>
      </c>
      <c r="U654" s="51"/>
      <c r="V654" s="541">
        <f>+'NF-KSF-TRIAL-BAL-2021'!O654+'RA-TRIAL-BAL-2021'!O654+'DES-TRIAL-BAL-2021'!O654+'DMP-TRIAL-BAL-2021'!O654</f>
        <v>0</v>
      </c>
      <c r="W654" s="529">
        <f>+'NF-KSF-TRIAL-BAL-2021'!P654+'RA-TRIAL-BAL-2021'!P654+'DES-TRIAL-BAL-2021'!P654+'DMP-TRIAL-BAL-2021'!P654</f>
        <v>0</v>
      </c>
      <c r="X654" s="528">
        <f>+'NF-KSF-TRIAL-BAL-2021'!Q654+'RA-TRIAL-BAL-2021'!Q654+'DES-TRIAL-BAL-2021'!Q654+'DMP-TRIAL-BAL-2021'!Q654</f>
        <v>0</v>
      </c>
      <c r="Y654" s="529">
        <f>+'NF-KSF-TRIAL-BAL-2021'!R654+'RA-TRIAL-BAL-2021'!R654+'DES-TRIAL-BAL-2021'!R654+'DMP-TRIAL-BAL-2021'!R654</f>
        <v>0</v>
      </c>
      <c r="Z654" s="528">
        <f>+'NF-KSF-TRIAL-BAL-2021'!S654+'RA-TRIAL-BAL-2021'!S654+'DES-TRIAL-BAL-2021'!S654+'DMP-TRIAL-BAL-2021'!S654</f>
        <v>0</v>
      </c>
      <c r="AA654" s="347">
        <f>+'NF-KSF-TRIAL-BAL-2021'!T654+'RA-TRIAL-BAL-2021'!T654+'DES-TRIAL-BAL-2021'!T654+'DMP-TRIAL-BAL-2021'!T654</f>
        <v>0</v>
      </c>
      <c r="AB654" s="51"/>
      <c r="AC654" s="8">
        <v>0</v>
      </c>
      <c r="AD654" s="9">
        <v>0</v>
      </c>
      <c r="AE654" s="325"/>
      <c r="AF654" s="324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97">
        <f>+N654</f>
        <v>7190</v>
      </c>
      <c r="AK654" s="8">
        <v>0</v>
      </c>
      <c r="AL654" s="9">
        <v>0</v>
      </c>
      <c r="AM654" s="326">
        <f>+ROUND(+Q654+X654+AE654,2)</f>
        <v>21007.72</v>
      </c>
      <c r="AN654" s="970">
        <f>+ROUND(+R654+Y654+AF654,2)</f>
        <v>0</v>
      </c>
      <c r="AO654" s="27">
        <f t="shared" si="315"/>
        <v>21007.72</v>
      </c>
      <c r="AP654" s="28">
        <f t="shared" si="318"/>
        <v>0</v>
      </c>
      <c r="AQ654" s="43"/>
      <c r="AR654" s="358">
        <f>+ROUND(+SUM(AK654-AL654)-SUM(O654-P654)-SUM(V654-W654)-SUM(AC654-AD654),2)</f>
        <v>0</v>
      </c>
      <c r="AS654" s="359">
        <f>+ROUND(+SUM(AM654-AN654)-SUM(Q654-R654)-SUM(X654-Y654)-SUM(AE654-AF654),2)</f>
        <v>0</v>
      </c>
      <c r="AT654" s="360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25"/>
      <c r="R655" s="324"/>
      <c r="S655" s="27">
        <f t="shared" si="320"/>
        <v>0</v>
      </c>
      <c r="T655" s="28">
        <f t="shared" si="321"/>
        <v>0</v>
      </c>
      <c r="U655" s="51"/>
      <c r="V655" s="541">
        <f>+'NF-KSF-TRIAL-BAL-2021'!O655+'RA-TRIAL-BAL-2021'!O655+'DES-TRIAL-BAL-2021'!O655+'DMP-TRIAL-BAL-2021'!O655</f>
        <v>0</v>
      </c>
      <c r="W655" s="529">
        <f>+'NF-KSF-TRIAL-BAL-2021'!P655+'RA-TRIAL-BAL-2021'!P655+'DES-TRIAL-BAL-2021'!P655+'DMP-TRIAL-BAL-2021'!P655</f>
        <v>0</v>
      </c>
      <c r="X655" s="528">
        <f>+'NF-KSF-TRIAL-BAL-2021'!Q655+'RA-TRIAL-BAL-2021'!Q655+'DES-TRIAL-BAL-2021'!Q655+'DMP-TRIAL-BAL-2021'!Q655</f>
        <v>0</v>
      </c>
      <c r="Y655" s="529">
        <f>+'NF-KSF-TRIAL-BAL-2021'!R655+'RA-TRIAL-BAL-2021'!R655+'DES-TRIAL-BAL-2021'!R655+'DMP-TRIAL-BAL-2021'!R655</f>
        <v>0</v>
      </c>
      <c r="Z655" s="528">
        <f>+'NF-KSF-TRIAL-BAL-2021'!S655+'RA-TRIAL-BAL-2021'!S655+'DES-TRIAL-BAL-2021'!S655+'DMP-TRIAL-BAL-2021'!S655</f>
        <v>0</v>
      </c>
      <c r="AA655" s="347">
        <f>+'NF-KSF-TRIAL-BAL-2021'!T655+'RA-TRIAL-BAL-2021'!T655+'DES-TRIAL-BAL-2021'!T655+'DMP-TRIAL-BAL-2021'!T655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97">
        <f t="shared" si="319"/>
        <v>7191</v>
      </c>
      <c r="AK655" s="8">
        <v>0</v>
      </c>
      <c r="AL655" s="9">
        <v>0</v>
      </c>
      <c r="AM655" s="326">
        <f t="shared" si="324"/>
        <v>0</v>
      </c>
      <c r="AN655" s="970">
        <f t="shared" si="324"/>
        <v>0</v>
      </c>
      <c r="AO655" s="27">
        <f t="shared" si="315"/>
        <v>0</v>
      </c>
      <c r="AP655" s="28">
        <f t="shared" si="318"/>
        <v>0</v>
      </c>
      <c r="AQ655" s="43"/>
      <c r="AR655" s="358">
        <f t="shared" si="312"/>
        <v>0</v>
      </c>
      <c r="AS655" s="359">
        <f t="shared" si="313"/>
        <v>0</v>
      </c>
      <c r="AT655" s="360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25"/>
      <c r="R656" s="324"/>
      <c r="S656" s="27">
        <f t="shared" si="320"/>
        <v>0</v>
      </c>
      <c r="T656" s="28">
        <f t="shared" si="321"/>
        <v>0</v>
      </c>
      <c r="U656" s="51"/>
      <c r="V656" s="541">
        <f>+'NF-KSF-TRIAL-BAL-2021'!O656+'RA-TRIAL-BAL-2021'!O656+'DES-TRIAL-BAL-2021'!O656+'DMP-TRIAL-BAL-2021'!O656</f>
        <v>0</v>
      </c>
      <c r="W656" s="529">
        <f>+'NF-KSF-TRIAL-BAL-2021'!P656+'RA-TRIAL-BAL-2021'!P656+'DES-TRIAL-BAL-2021'!P656+'DMP-TRIAL-BAL-2021'!P656</f>
        <v>0</v>
      </c>
      <c r="X656" s="528">
        <f>+'NF-KSF-TRIAL-BAL-2021'!Q656+'RA-TRIAL-BAL-2021'!Q656+'DES-TRIAL-BAL-2021'!Q656+'DMP-TRIAL-BAL-2021'!Q656</f>
        <v>0</v>
      </c>
      <c r="Y656" s="529">
        <f>+'NF-KSF-TRIAL-BAL-2021'!R656+'RA-TRIAL-BAL-2021'!R656+'DES-TRIAL-BAL-2021'!R656+'DMP-TRIAL-BAL-2021'!R656</f>
        <v>0</v>
      </c>
      <c r="Z656" s="528">
        <f>+'NF-KSF-TRIAL-BAL-2021'!S656+'RA-TRIAL-BAL-2021'!S656+'DES-TRIAL-BAL-2021'!S656+'DMP-TRIAL-BAL-2021'!S656</f>
        <v>0</v>
      </c>
      <c r="AA656" s="347">
        <f>+'NF-KSF-TRIAL-BAL-2021'!T656+'RA-TRIAL-BAL-2021'!T656+'DES-TRIAL-BAL-2021'!T656+'DMP-TRIAL-BAL-2021'!T656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97">
        <f t="shared" si="319"/>
        <v>7192</v>
      </c>
      <c r="AK656" s="8">
        <v>0</v>
      </c>
      <c r="AL656" s="9">
        <v>0</v>
      </c>
      <c r="AM656" s="326">
        <f t="shared" si="324"/>
        <v>0</v>
      </c>
      <c r="AN656" s="970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58">
        <f t="shared" si="312"/>
        <v>0</v>
      </c>
      <c r="AS656" s="359">
        <f t="shared" si="313"/>
        <v>0</v>
      </c>
      <c r="AT656" s="360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25"/>
      <c r="R657" s="324"/>
      <c r="S657" s="27">
        <f>+IF(ABS(+O657+Q657)&gt;=ABS(P657+R657),+O657-P657+Q657-R657,0)</f>
        <v>0</v>
      </c>
      <c r="T657" s="28">
        <f>+IF(ABS(+O657+Q657)&lt;=ABS(P657+R657),-O657+P657-Q657+R657,0)</f>
        <v>0</v>
      </c>
      <c r="U657" s="51"/>
      <c r="V657" s="541">
        <f>+'NF-KSF-TRIAL-BAL-2021'!O657+'RA-TRIAL-BAL-2021'!O657+'DES-TRIAL-BAL-2021'!O657+'DMP-TRIAL-BAL-2021'!O657</f>
        <v>0</v>
      </c>
      <c r="W657" s="529">
        <f>+'NF-KSF-TRIAL-BAL-2021'!P657+'RA-TRIAL-BAL-2021'!P657+'DES-TRIAL-BAL-2021'!P657+'DMP-TRIAL-BAL-2021'!P657</f>
        <v>0</v>
      </c>
      <c r="X657" s="528">
        <f>+'NF-KSF-TRIAL-BAL-2021'!Q657+'RA-TRIAL-BAL-2021'!Q657+'DES-TRIAL-BAL-2021'!Q657+'DMP-TRIAL-BAL-2021'!Q657</f>
        <v>0</v>
      </c>
      <c r="Y657" s="529">
        <f>+'NF-KSF-TRIAL-BAL-2021'!R657+'RA-TRIAL-BAL-2021'!R657+'DES-TRIAL-BAL-2021'!R657+'DMP-TRIAL-BAL-2021'!R657</f>
        <v>0</v>
      </c>
      <c r="Z657" s="528">
        <f>+'NF-KSF-TRIAL-BAL-2021'!S657+'RA-TRIAL-BAL-2021'!S657+'DES-TRIAL-BAL-2021'!S657+'DMP-TRIAL-BAL-2021'!S657</f>
        <v>0</v>
      </c>
      <c r="AA657" s="347">
        <f>+'NF-KSF-TRIAL-BAL-2021'!T657+'RA-TRIAL-BAL-2021'!T657+'DES-TRIAL-BAL-2021'!T657+'DMP-TRIAL-BAL-2021'!T657</f>
        <v>0</v>
      </c>
      <c r="AB657" s="51"/>
      <c r="AC657" s="8">
        <v>0</v>
      </c>
      <c r="AD657" s="9">
        <v>0</v>
      </c>
      <c r="AE657" s="325"/>
      <c r="AF657" s="324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97">
        <f t="shared" si="319"/>
        <v>7198</v>
      </c>
      <c r="AK657" s="8">
        <v>0</v>
      </c>
      <c r="AL657" s="9">
        <v>0</v>
      </c>
      <c r="AM657" s="326">
        <f t="shared" si="324"/>
        <v>0</v>
      </c>
      <c r="AN657" s="970">
        <f t="shared" si="324"/>
        <v>0</v>
      </c>
      <c r="AO657" s="27">
        <f t="shared" si="315"/>
        <v>0</v>
      </c>
      <c r="AP657" s="28">
        <f t="shared" si="318"/>
        <v>0</v>
      </c>
      <c r="AQ657" s="43"/>
      <c r="AR657" s="358">
        <f t="shared" si="312"/>
        <v>0</v>
      </c>
      <c r="AS657" s="359">
        <f t="shared" si="313"/>
        <v>0</v>
      </c>
      <c r="AT657" s="360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25"/>
      <c r="R658" s="324">
        <v>1594</v>
      </c>
      <c r="S658" s="27">
        <f t="shared" si="320"/>
        <v>0</v>
      </c>
      <c r="T658" s="28">
        <f t="shared" si="321"/>
        <v>1594</v>
      </c>
      <c r="U658" s="51"/>
      <c r="V658" s="541">
        <f>+'NF-KSF-TRIAL-BAL-2021'!O658+'RA-TRIAL-BAL-2021'!O658+'DES-TRIAL-BAL-2021'!O658+'DMP-TRIAL-BAL-2021'!O658</f>
        <v>0</v>
      </c>
      <c r="W658" s="529">
        <f>+'NF-KSF-TRIAL-BAL-2021'!P658+'RA-TRIAL-BAL-2021'!P658+'DES-TRIAL-BAL-2021'!P658+'DMP-TRIAL-BAL-2021'!P658</f>
        <v>0</v>
      </c>
      <c r="X658" s="528">
        <f>+'NF-KSF-TRIAL-BAL-2021'!Q658+'RA-TRIAL-BAL-2021'!Q658+'DES-TRIAL-BAL-2021'!Q658+'DMP-TRIAL-BAL-2021'!Q658</f>
        <v>0</v>
      </c>
      <c r="Y658" s="529">
        <f>+'NF-KSF-TRIAL-BAL-2021'!R658+'RA-TRIAL-BAL-2021'!R658+'DES-TRIAL-BAL-2021'!R658+'DMP-TRIAL-BAL-2021'!R658</f>
        <v>0</v>
      </c>
      <c r="Z658" s="528">
        <f>+'NF-KSF-TRIAL-BAL-2021'!S658+'RA-TRIAL-BAL-2021'!S658+'DES-TRIAL-BAL-2021'!S658+'DMP-TRIAL-BAL-2021'!S658</f>
        <v>0</v>
      </c>
      <c r="AA658" s="347">
        <f>+'NF-KSF-TRIAL-BAL-2021'!T658+'RA-TRIAL-BAL-2021'!T658+'DES-TRIAL-BAL-2021'!T658+'DMP-TRIAL-BAL-2021'!T658</f>
        <v>0</v>
      </c>
      <c r="AB658" s="51"/>
      <c r="AC658" s="8">
        <v>0</v>
      </c>
      <c r="AD658" s="9">
        <v>0</v>
      </c>
      <c r="AE658" s="325"/>
      <c r="AF658" s="324"/>
      <c r="AG658" s="27">
        <f t="shared" si="322"/>
        <v>0</v>
      </c>
      <c r="AH658" s="28">
        <f t="shared" si="323"/>
        <v>0</v>
      </c>
      <c r="AI658" s="51"/>
      <c r="AJ658" s="1497">
        <f t="shared" si="319"/>
        <v>7199</v>
      </c>
      <c r="AK658" s="8">
        <v>0</v>
      </c>
      <c r="AL658" s="9">
        <v>0</v>
      </c>
      <c r="AM658" s="326">
        <f t="shared" si="324"/>
        <v>0</v>
      </c>
      <c r="AN658" s="970">
        <f t="shared" si="324"/>
        <v>1594</v>
      </c>
      <c r="AO658" s="27">
        <f t="shared" si="315"/>
        <v>0</v>
      </c>
      <c r="AP658" s="28">
        <f t="shared" si="318"/>
        <v>1594</v>
      </c>
      <c r="AQ658" s="43"/>
      <c r="AR658" s="358">
        <f t="shared" si="312"/>
        <v>0</v>
      </c>
      <c r="AS658" s="359">
        <f t="shared" si="313"/>
        <v>0</v>
      </c>
      <c r="AT658" s="360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25"/>
      <c r="R659" s="324"/>
      <c r="S659" s="27">
        <f t="shared" si="320"/>
        <v>0</v>
      </c>
      <c r="T659" s="28">
        <f t="shared" si="321"/>
        <v>0</v>
      </c>
      <c r="U659" s="51"/>
      <c r="V659" s="541">
        <f>+'NF-KSF-TRIAL-BAL-2021'!O659+'RA-TRIAL-BAL-2021'!O659+'DES-TRIAL-BAL-2021'!O659+'DMP-TRIAL-BAL-2021'!O659</f>
        <v>0</v>
      </c>
      <c r="W659" s="529">
        <f>+'NF-KSF-TRIAL-BAL-2021'!P659+'RA-TRIAL-BAL-2021'!P659+'DES-TRIAL-BAL-2021'!P659+'DMP-TRIAL-BAL-2021'!P659</f>
        <v>0</v>
      </c>
      <c r="X659" s="528">
        <f>+'NF-KSF-TRIAL-BAL-2021'!Q659+'RA-TRIAL-BAL-2021'!Q659+'DES-TRIAL-BAL-2021'!Q659+'DMP-TRIAL-BAL-2021'!Q659</f>
        <v>0</v>
      </c>
      <c r="Y659" s="529">
        <f>+'NF-KSF-TRIAL-BAL-2021'!R659+'RA-TRIAL-BAL-2021'!R659+'DES-TRIAL-BAL-2021'!R659+'DMP-TRIAL-BAL-2021'!R659</f>
        <v>0</v>
      </c>
      <c r="Z659" s="528">
        <f>+'NF-KSF-TRIAL-BAL-2021'!S659+'RA-TRIAL-BAL-2021'!S659+'DES-TRIAL-BAL-2021'!S659+'DMP-TRIAL-BAL-2021'!S659</f>
        <v>0</v>
      </c>
      <c r="AA659" s="347">
        <f>+'NF-KSF-TRIAL-BAL-2021'!T659+'RA-TRIAL-BAL-2021'!T659+'DES-TRIAL-BAL-2021'!T659+'DMP-TRIAL-BAL-2021'!T659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97">
        <f t="shared" si="319"/>
        <v>7200</v>
      </c>
      <c r="AK659" s="8">
        <v>0</v>
      </c>
      <c r="AL659" s="9">
        <v>0</v>
      </c>
      <c r="AM659" s="326">
        <f t="shared" si="324"/>
        <v>0</v>
      </c>
      <c r="AN659" s="970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58">
        <f t="shared" si="312"/>
        <v>0</v>
      </c>
      <c r="AS659" s="359">
        <f t="shared" si="313"/>
        <v>0</v>
      </c>
      <c r="AT659" s="360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25"/>
      <c r="R660" s="324"/>
      <c r="S660" s="27">
        <f t="shared" si="320"/>
        <v>0</v>
      </c>
      <c r="T660" s="28">
        <f t="shared" si="321"/>
        <v>0</v>
      </c>
      <c r="U660" s="51"/>
      <c r="V660" s="541">
        <f>+'NF-KSF-TRIAL-BAL-2021'!O660+'RA-TRIAL-BAL-2021'!O660+'DES-TRIAL-BAL-2021'!O660+'DMP-TRIAL-BAL-2021'!O660</f>
        <v>0</v>
      </c>
      <c r="W660" s="529">
        <f>+'NF-KSF-TRIAL-BAL-2021'!P660+'RA-TRIAL-BAL-2021'!P660+'DES-TRIAL-BAL-2021'!P660+'DMP-TRIAL-BAL-2021'!P660</f>
        <v>0</v>
      </c>
      <c r="X660" s="528">
        <f>+'NF-KSF-TRIAL-BAL-2021'!Q660+'RA-TRIAL-BAL-2021'!Q660+'DES-TRIAL-BAL-2021'!Q660+'DMP-TRIAL-BAL-2021'!Q660</f>
        <v>0</v>
      </c>
      <c r="Y660" s="529">
        <f>+'NF-KSF-TRIAL-BAL-2021'!R660+'RA-TRIAL-BAL-2021'!R660+'DES-TRIAL-BAL-2021'!R660+'DMP-TRIAL-BAL-2021'!R660</f>
        <v>0</v>
      </c>
      <c r="Z660" s="528">
        <f>+'NF-KSF-TRIAL-BAL-2021'!S660+'RA-TRIAL-BAL-2021'!S660+'DES-TRIAL-BAL-2021'!S660+'DMP-TRIAL-BAL-2021'!S660</f>
        <v>0</v>
      </c>
      <c r="AA660" s="347">
        <f>+'NF-KSF-TRIAL-BAL-2021'!T660+'RA-TRIAL-BAL-2021'!T660+'DES-TRIAL-BAL-2021'!T660+'DMP-TRIAL-BAL-2021'!T660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97">
        <f t="shared" si="319"/>
        <v>7211</v>
      </c>
      <c r="AK660" s="8">
        <v>0</v>
      </c>
      <c r="AL660" s="9">
        <v>0</v>
      </c>
      <c r="AM660" s="326">
        <f t="shared" si="324"/>
        <v>0</v>
      </c>
      <c r="AN660" s="970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58">
        <f t="shared" si="312"/>
        <v>0</v>
      </c>
      <c r="AS660" s="359">
        <f t="shared" si="313"/>
        <v>0</v>
      </c>
      <c r="AT660" s="360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25"/>
      <c r="R661" s="324"/>
      <c r="S661" s="27">
        <f t="shared" si="320"/>
        <v>0</v>
      </c>
      <c r="T661" s="28">
        <f t="shared" si="321"/>
        <v>0</v>
      </c>
      <c r="U661" s="51"/>
      <c r="V661" s="541">
        <f>+'NF-KSF-TRIAL-BAL-2021'!O661+'RA-TRIAL-BAL-2021'!O661+'DES-TRIAL-BAL-2021'!O661+'DMP-TRIAL-BAL-2021'!O661</f>
        <v>0</v>
      </c>
      <c r="W661" s="529">
        <f>+'NF-KSF-TRIAL-BAL-2021'!P661+'RA-TRIAL-BAL-2021'!P661+'DES-TRIAL-BAL-2021'!P661+'DMP-TRIAL-BAL-2021'!P661</f>
        <v>0</v>
      </c>
      <c r="X661" s="528">
        <f>+'NF-KSF-TRIAL-BAL-2021'!Q661+'RA-TRIAL-BAL-2021'!Q661+'DES-TRIAL-BAL-2021'!Q661+'DMP-TRIAL-BAL-2021'!Q661</f>
        <v>0</v>
      </c>
      <c r="Y661" s="529">
        <f>+'NF-KSF-TRIAL-BAL-2021'!R661+'RA-TRIAL-BAL-2021'!R661+'DES-TRIAL-BAL-2021'!R661+'DMP-TRIAL-BAL-2021'!R661</f>
        <v>0</v>
      </c>
      <c r="Z661" s="528">
        <f>+'NF-KSF-TRIAL-BAL-2021'!S661+'RA-TRIAL-BAL-2021'!S661+'DES-TRIAL-BAL-2021'!S661+'DMP-TRIAL-BAL-2021'!S661</f>
        <v>0</v>
      </c>
      <c r="AA661" s="347">
        <f>+'NF-KSF-TRIAL-BAL-2021'!T661+'RA-TRIAL-BAL-2021'!T661+'DES-TRIAL-BAL-2021'!T661+'DMP-TRIAL-BAL-2021'!T661</f>
        <v>0</v>
      </c>
      <c r="AB661" s="51"/>
      <c r="AC661" s="8">
        <v>0</v>
      </c>
      <c r="AD661" s="9">
        <v>0</v>
      </c>
      <c r="AE661" s="325"/>
      <c r="AF661" s="324"/>
      <c r="AG661" s="27">
        <f t="shared" si="322"/>
        <v>0</v>
      </c>
      <c r="AH661" s="28">
        <f t="shared" si="323"/>
        <v>0</v>
      </c>
      <c r="AI661" s="51"/>
      <c r="AJ661" s="1497">
        <f t="shared" si="319"/>
        <v>7212</v>
      </c>
      <c r="AK661" s="8">
        <v>0</v>
      </c>
      <c r="AL661" s="9">
        <v>0</v>
      </c>
      <c r="AM661" s="326">
        <f t="shared" si="324"/>
        <v>0</v>
      </c>
      <c r="AN661" s="970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58">
        <f t="shared" si="312"/>
        <v>0</v>
      </c>
      <c r="AS661" s="359">
        <f t="shared" si="313"/>
        <v>0</v>
      </c>
      <c r="AT661" s="360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25"/>
      <c r="R662" s="324"/>
      <c r="S662" s="27">
        <f t="shared" si="320"/>
        <v>0</v>
      </c>
      <c r="T662" s="28">
        <f t="shared" si="321"/>
        <v>0</v>
      </c>
      <c r="U662" s="51"/>
      <c r="V662" s="541">
        <f>+'NF-KSF-TRIAL-BAL-2021'!O662+'RA-TRIAL-BAL-2021'!O662+'DES-TRIAL-BAL-2021'!O662+'DMP-TRIAL-BAL-2021'!O662</f>
        <v>0</v>
      </c>
      <c r="W662" s="529">
        <f>+'NF-KSF-TRIAL-BAL-2021'!P662+'RA-TRIAL-BAL-2021'!P662+'DES-TRIAL-BAL-2021'!P662+'DMP-TRIAL-BAL-2021'!P662</f>
        <v>0</v>
      </c>
      <c r="X662" s="528">
        <f>+'NF-KSF-TRIAL-BAL-2021'!Q662+'RA-TRIAL-BAL-2021'!Q662+'DES-TRIAL-BAL-2021'!Q662+'DMP-TRIAL-BAL-2021'!Q662</f>
        <v>0</v>
      </c>
      <c r="Y662" s="529">
        <f>+'NF-KSF-TRIAL-BAL-2021'!R662+'RA-TRIAL-BAL-2021'!R662+'DES-TRIAL-BAL-2021'!R662+'DMP-TRIAL-BAL-2021'!R662</f>
        <v>0</v>
      </c>
      <c r="Z662" s="528">
        <f>+'NF-KSF-TRIAL-BAL-2021'!S662+'RA-TRIAL-BAL-2021'!S662+'DES-TRIAL-BAL-2021'!S662+'DMP-TRIAL-BAL-2021'!S662</f>
        <v>0</v>
      </c>
      <c r="AA662" s="347">
        <f>+'NF-KSF-TRIAL-BAL-2021'!T662+'RA-TRIAL-BAL-2021'!T662+'DES-TRIAL-BAL-2021'!T662+'DMP-TRIAL-BAL-2021'!T662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97">
        <f t="shared" si="319"/>
        <v>7215</v>
      </c>
      <c r="AK662" s="8">
        <v>0</v>
      </c>
      <c r="AL662" s="9">
        <v>0</v>
      </c>
      <c r="AM662" s="326">
        <f t="shared" si="324"/>
        <v>0</v>
      </c>
      <c r="AN662" s="970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58">
        <f t="shared" si="312"/>
        <v>0</v>
      </c>
      <c r="AS662" s="359">
        <f t="shared" si="313"/>
        <v>0</v>
      </c>
      <c r="AT662" s="360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25"/>
      <c r="R663" s="324"/>
      <c r="S663" s="27">
        <f t="shared" si="320"/>
        <v>0</v>
      </c>
      <c r="T663" s="28">
        <f t="shared" si="321"/>
        <v>0</v>
      </c>
      <c r="U663" s="51"/>
      <c r="V663" s="541">
        <f>+'NF-KSF-TRIAL-BAL-2021'!O663+'RA-TRIAL-BAL-2021'!O663+'DES-TRIAL-BAL-2021'!O663+'DMP-TRIAL-BAL-2021'!O663</f>
        <v>0</v>
      </c>
      <c r="W663" s="529">
        <f>+'NF-KSF-TRIAL-BAL-2021'!P663+'RA-TRIAL-BAL-2021'!P663+'DES-TRIAL-BAL-2021'!P663+'DMP-TRIAL-BAL-2021'!P663</f>
        <v>0</v>
      </c>
      <c r="X663" s="528">
        <f>+'NF-KSF-TRIAL-BAL-2021'!Q663+'RA-TRIAL-BAL-2021'!Q663+'DES-TRIAL-BAL-2021'!Q663+'DMP-TRIAL-BAL-2021'!Q663</f>
        <v>0</v>
      </c>
      <c r="Y663" s="529">
        <f>+'NF-KSF-TRIAL-BAL-2021'!R663+'RA-TRIAL-BAL-2021'!R663+'DES-TRIAL-BAL-2021'!R663+'DMP-TRIAL-BAL-2021'!R663</f>
        <v>0</v>
      </c>
      <c r="Z663" s="528">
        <f>+'NF-KSF-TRIAL-BAL-2021'!S663+'RA-TRIAL-BAL-2021'!S663+'DES-TRIAL-BAL-2021'!S663+'DMP-TRIAL-BAL-2021'!S663</f>
        <v>0</v>
      </c>
      <c r="AA663" s="347">
        <f>+'NF-KSF-TRIAL-BAL-2021'!T663+'RA-TRIAL-BAL-2021'!T663+'DES-TRIAL-BAL-2021'!T663+'DMP-TRIAL-BAL-2021'!T663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97">
        <f t="shared" si="319"/>
        <v>7216</v>
      </c>
      <c r="AK663" s="8">
        <v>0</v>
      </c>
      <c r="AL663" s="9">
        <v>0</v>
      </c>
      <c r="AM663" s="326">
        <f t="shared" si="324"/>
        <v>0</v>
      </c>
      <c r="AN663" s="970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58">
        <f t="shared" si="312"/>
        <v>0</v>
      </c>
      <c r="AS663" s="359">
        <f t="shared" si="313"/>
        <v>0</v>
      </c>
      <c r="AT663" s="360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25"/>
      <c r="R664" s="324"/>
      <c r="S664" s="27">
        <f t="shared" si="320"/>
        <v>0</v>
      </c>
      <c r="T664" s="28">
        <f t="shared" si="321"/>
        <v>0</v>
      </c>
      <c r="U664" s="51"/>
      <c r="V664" s="541">
        <f>+'NF-KSF-TRIAL-BAL-2021'!O664+'RA-TRIAL-BAL-2021'!O664+'DES-TRIAL-BAL-2021'!O664+'DMP-TRIAL-BAL-2021'!O664</f>
        <v>0</v>
      </c>
      <c r="W664" s="529">
        <f>+'NF-KSF-TRIAL-BAL-2021'!P664+'RA-TRIAL-BAL-2021'!P664+'DES-TRIAL-BAL-2021'!P664+'DMP-TRIAL-BAL-2021'!P664</f>
        <v>0</v>
      </c>
      <c r="X664" s="528">
        <f>+'NF-KSF-TRIAL-BAL-2021'!Q664+'RA-TRIAL-BAL-2021'!Q664+'DES-TRIAL-BAL-2021'!Q664+'DMP-TRIAL-BAL-2021'!Q664</f>
        <v>0</v>
      </c>
      <c r="Y664" s="529">
        <f>+'NF-KSF-TRIAL-BAL-2021'!R664+'RA-TRIAL-BAL-2021'!R664+'DES-TRIAL-BAL-2021'!R664+'DMP-TRIAL-BAL-2021'!R664</f>
        <v>0</v>
      </c>
      <c r="Z664" s="528">
        <f>+'NF-KSF-TRIAL-BAL-2021'!S664+'RA-TRIAL-BAL-2021'!S664+'DES-TRIAL-BAL-2021'!S664+'DMP-TRIAL-BAL-2021'!S664</f>
        <v>0</v>
      </c>
      <c r="AA664" s="347">
        <f>+'NF-KSF-TRIAL-BAL-2021'!T664+'RA-TRIAL-BAL-2021'!T664+'DES-TRIAL-BAL-2021'!T664+'DMP-TRIAL-BAL-2021'!T664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97">
        <f t="shared" si="319"/>
        <v>7217</v>
      </c>
      <c r="AK664" s="8">
        <v>0</v>
      </c>
      <c r="AL664" s="9">
        <v>0</v>
      </c>
      <c r="AM664" s="326">
        <f t="shared" si="324"/>
        <v>0</v>
      </c>
      <c r="AN664" s="970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58">
        <f t="shared" si="312"/>
        <v>0</v>
      </c>
      <c r="AS664" s="359">
        <f t="shared" si="313"/>
        <v>0</v>
      </c>
      <c r="AT664" s="360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25"/>
      <c r="R665" s="324"/>
      <c r="S665" s="27">
        <f t="shared" si="320"/>
        <v>0</v>
      </c>
      <c r="T665" s="28">
        <f t="shared" si="321"/>
        <v>0</v>
      </c>
      <c r="U665" s="51"/>
      <c r="V665" s="541">
        <f>+'NF-KSF-TRIAL-BAL-2021'!O665+'RA-TRIAL-BAL-2021'!O665+'DES-TRIAL-BAL-2021'!O665+'DMP-TRIAL-BAL-2021'!O665</f>
        <v>0</v>
      </c>
      <c r="W665" s="529">
        <f>+'NF-KSF-TRIAL-BAL-2021'!P665+'RA-TRIAL-BAL-2021'!P665+'DES-TRIAL-BAL-2021'!P665+'DMP-TRIAL-BAL-2021'!P665</f>
        <v>0</v>
      </c>
      <c r="X665" s="528">
        <f>+'NF-KSF-TRIAL-BAL-2021'!Q665+'RA-TRIAL-BAL-2021'!Q665+'DES-TRIAL-BAL-2021'!Q665+'DMP-TRIAL-BAL-2021'!Q665</f>
        <v>0</v>
      </c>
      <c r="Y665" s="529">
        <f>+'NF-KSF-TRIAL-BAL-2021'!R665+'RA-TRIAL-BAL-2021'!R665+'DES-TRIAL-BAL-2021'!R665+'DMP-TRIAL-BAL-2021'!R665</f>
        <v>0</v>
      </c>
      <c r="Z665" s="528">
        <f>+'NF-KSF-TRIAL-BAL-2021'!S665+'RA-TRIAL-BAL-2021'!S665+'DES-TRIAL-BAL-2021'!S665+'DMP-TRIAL-BAL-2021'!S665</f>
        <v>0</v>
      </c>
      <c r="AA665" s="347">
        <f>+'NF-KSF-TRIAL-BAL-2021'!T665+'RA-TRIAL-BAL-2021'!T665+'DES-TRIAL-BAL-2021'!T665+'DMP-TRIAL-BAL-2021'!T665</f>
        <v>0</v>
      </c>
      <c r="AB665" s="51"/>
      <c r="AC665" s="8">
        <v>0</v>
      </c>
      <c r="AD665" s="9">
        <v>0</v>
      </c>
      <c r="AE665" s="325"/>
      <c r="AF665" s="324"/>
      <c r="AG665" s="27">
        <f t="shared" si="322"/>
        <v>0</v>
      </c>
      <c r="AH665" s="28">
        <f t="shared" si="323"/>
        <v>0</v>
      </c>
      <c r="AI665" s="51"/>
      <c r="AJ665" s="1497">
        <f t="shared" si="319"/>
        <v>7218</v>
      </c>
      <c r="AK665" s="8">
        <v>0</v>
      </c>
      <c r="AL665" s="9">
        <v>0</v>
      </c>
      <c r="AM665" s="326">
        <f t="shared" si="324"/>
        <v>0</v>
      </c>
      <c r="AN665" s="970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58">
        <f t="shared" si="312"/>
        <v>0</v>
      </c>
      <c r="AS665" s="359">
        <f t="shared" si="313"/>
        <v>0</v>
      </c>
      <c r="AT665" s="360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25"/>
      <c r="R666" s="324"/>
      <c r="S666" s="27">
        <f t="shared" si="320"/>
        <v>0</v>
      </c>
      <c r="T666" s="28">
        <f t="shared" si="321"/>
        <v>0</v>
      </c>
      <c r="U666" s="51"/>
      <c r="V666" s="541">
        <f>+'NF-KSF-TRIAL-BAL-2021'!O666+'RA-TRIAL-BAL-2021'!O666+'DES-TRIAL-BAL-2021'!O666+'DMP-TRIAL-BAL-2021'!O666</f>
        <v>0</v>
      </c>
      <c r="W666" s="529">
        <f>+'NF-KSF-TRIAL-BAL-2021'!P666+'RA-TRIAL-BAL-2021'!P666+'DES-TRIAL-BAL-2021'!P666+'DMP-TRIAL-BAL-2021'!P666</f>
        <v>0</v>
      </c>
      <c r="X666" s="528">
        <f>+'NF-KSF-TRIAL-BAL-2021'!Q666+'RA-TRIAL-BAL-2021'!Q666+'DES-TRIAL-BAL-2021'!Q666+'DMP-TRIAL-BAL-2021'!Q666</f>
        <v>0</v>
      </c>
      <c r="Y666" s="529">
        <f>+'NF-KSF-TRIAL-BAL-2021'!R666+'RA-TRIAL-BAL-2021'!R666+'DES-TRIAL-BAL-2021'!R666+'DMP-TRIAL-BAL-2021'!R666</f>
        <v>0</v>
      </c>
      <c r="Z666" s="528">
        <f>+'NF-KSF-TRIAL-BAL-2021'!S666+'RA-TRIAL-BAL-2021'!S666+'DES-TRIAL-BAL-2021'!S666+'DMP-TRIAL-BAL-2021'!S666</f>
        <v>0</v>
      </c>
      <c r="AA666" s="347">
        <f>+'NF-KSF-TRIAL-BAL-2021'!T666+'RA-TRIAL-BAL-2021'!T666+'DES-TRIAL-BAL-2021'!T666+'DMP-TRIAL-BAL-2021'!T666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97">
        <f t="shared" si="319"/>
        <v>7219</v>
      </c>
      <c r="AK666" s="8">
        <v>0</v>
      </c>
      <c r="AL666" s="9">
        <v>0</v>
      </c>
      <c r="AM666" s="326">
        <f t="shared" si="324"/>
        <v>0</v>
      </c>
      <c r="AN666" s="970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58">
        <f t="shared" si="312"/>
        <v>0</v>
      </c>
      <c r="AS666" s="359">
        <f t="shared" si="313"/>
        <v>0</v>
      </c>
      <c r="AT666" s="360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91">
        <v>7220</v>
      </c>
      <c r="B667" s="2303" t="s">
        <v>647</v>
      </c>
      <c r="C667" s="2303"/>
      <c r="D667" s="2303"/>
      <c r="E667" s="2303"/>
      <c r="F667" s="2303"/>
      <c r="G667" s="2303"/>
      <c r="H667" s="2303"/>
      <c r="I667" s="2303"/>
      <c r="J667" s="2303"/>
      <c r="K667" s="2303"/>
      <c r="L667" s="2293"/>
      <c r="M667" s="51" t="s">
        <v>265</v>
      </c>
      <c r="N667" s="2299">
        <f t="shared" si="308"/>
        <v>7220</v>
      </c>
      <c r="O667" s="2301">
        <v>0</v>
      </c>
      <c r="P667" s="2295">
        <v>0</v>
      </c>
      <c r="Q667" s="2296"/>
      <c r="R667" s="2297"/>
      <c r="S667" s="2296">
        <f>+IF($C$8=9900,+IF(ABS(+O667+Q667)&gt;=ABS(P667+R667),+O667-P667+Q667-R667,0),0)</f>
        <v>0</v>
      </c>
      <c r="T667" s="2302">
        <f>+IF($C$8=9900,+IF(ABS(+O667+Q667)&lt;=ABS(P667+R667),-O667+P667-Q667+R667,0),0)</f>
        <v>0</v>
      </c>
      <c r="U667" s="51"/>
      <c r="V667" s="546">
        <f>+'NF-KSF-TRIAL-BAL-2021'!O667+'RA-TRIAL-BAL-2021'!O667+'DES-TRIAL-BAL-2021'!O667+'DMP-TRIAL-BAL-2021'!O667</f>
        <v>0</v>
      </c>
      <c r="W667" s="536">
        <f>+'NF-KSF-TRIAL-BAL-2021'!P667+'RA-TRIAL-BAL-2021'!P667+'DES-TRIAL-BAL-2021'!P667+'DMP-TRIAL-BAL-2021'!P667</f>
        <v>0</v>
      </c>
      <c r="X667" s="535">
        <f>+'NF-KSF-TRIAL-BAL-2021'!Q667+'RA-TRIAL-BAL-2021'!Q667+'DES-TRIAL-BAL-2021'!Q667+'DMP-TRIAL-BAL-2021'!Q667</f>
        <v>0</v>
      </c>
      <c r="Y667" s="536">
        <f>+'NF-KSF-TRIAL-BAL-2021'!R667+'RA-TRIAL-BAL-2021'!R667+'DES-TRIAL-BAL-2021'!R667+'DMP-TRIAL-BAL-2021'!R667</f>
        <v>0</v>
      </c>
      <c r="Z667" s="535">
        <f>+'NF-KSF-TRIAL-BAL-2021'!S667+'RA-TRIAL-BAL-2021'!S667+'DES-TRIAL-BAL-2021'!S667+'DMP-TRIAL-BAL-2021'!S667</f>
        <v>0</v>
      </c>
      <c r="AA667" s="537">
        <f>+'NF-KSF-TRIAL-BAL-2021'!T667+'RA-TRIAL-BAL-2021'!T667+'DES-TRIAL-BAL-2021'!T667+'DMP-TRIAL-BAL-2021'!T667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29">
        <f t="shared" si="322"/>
        <v>0</v>
      </c>
      <c r="AH667" s="828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31">
        <f>+ROUND(+Q667+X667+AE667,2)</f>
        <v>0</v>
      </c>
      <c r="AN667" s="832">
        <f>+ROUND(+R667+Y667+AF667,2)</f>
        <v>0</v>
      </c>
      <c r="AO667" s="829">
        <f t="shared" si="315"/>
        <v>0</v>
      </c>
      <c r="AP667" s="828">
        <f t="shared" si="318"/>
        <v>0</v>
      </c>
      <c r="AQ667" s="43"/>
      <c r="AR667" s="358">
        <f t="shared" si="312"/>
        <v>0</v>
      </c>
      <c r="AS667" s="359">
        <f t="shared" si="313"/>
        <v>0</v>
      </c>
      <c r="AT667" s="360">
        <f t="shared" si="314"/>
        <v>0</v>
      </c>
      <c r="AU667" s="43"/>
      <c r="AV667" s="2125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125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25"/>
      <c r="R668" s="324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41">
        <f>+'NF-KSF-TRIAL-BAL-2021'!O668+'RA-TRIAL-BAL-2021'!O668+'DES-TRIAL-BAL-2021'!O668+'DMP-TRIAL-BAL-2021'!O668</f>
        <v>0</v>
      </c>
      <c r="W668" s="529">
        <f>+'NF-KSF-TRIAL-BAL-2021'!P668+'RA-TRIAL-BAL-2021'!P668+'DES-TRIAL-BAL-2021'!P668+'DMP-TRIAL-BAL-2021'!P668</f>
        <v>0</v>
      </c>
      <c r="X668" s="528">
        <f>+'NF-KSF-TRIAL-BAL-2021'!Q668+'RA-TRIAL-BAL-2021'!Q668+'DES-TRIAL-BAL-2021'!Q668+'DMP-TRIAL-BAL-2021'!Q668</f>
        <v>0</v>
      </c>
      <c r="Y668" s="529">
        <f>+'NF-KSF-TRIAL-BAL-2021'!R668+'RA-TRIAL-BAL-2021'!R668+'DES-TRIAL-BAL-2021'!R668+'DMP-TRIAL-BAL-2021'!R668</f>
        <v>0</v>
      </c>
      <c r="Z668" s="528">
        <f>+'NF-KSF-TRIAL-BAL-2021'!S668+'RA-TRIAL-BAL-2021'!S668+'DES-TRIAL-BAL-2021'!S668+'DMP-TRIAL-BAL-2021'!S668</f>
        <v>0</v>
      </c>
      <c r="AA668" s="347">
        <f>+'NF-KSF-TRIAL-BAL-2021'!T668+'RA-TRIAL-BAL-2021'!T668+'DES-TRIAL-BAL-2021'!T668+'DMP-TRIAL-BAL-2021'!T668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97">
        <f t="shared" si="319"/>
        <v>7221</v>
      </c>
      <c r="AK668" s="8">
        <v>0</v>
      </c>
      <c r="AL668" s="9">
        <v>0</v>
      </c>
      <c r="AM668" s="326">
        <f t="shared" ref="AM668:AN670" si="329">+ROUND(+Q668+X668+AE668,2)</f>
        <v>0</v>
      </c>
      <c r="AN668" s="970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58">
        <f t="shared" si="312"/>
        <v>0</v>
      </c>
      <c r="AS668" s="359">
        <f t="shared" si="313"/>
        <v>0</v>
      </c>
      <c r="AT668" s="360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25"/>
      <c r="R669" s="324"/>
      <c r="S669" s="27">
        <f t="shared" si="325"/>
        <v>0</v>
      </c>
      <c r="T669" s="28">
        <f t="shared" si="326"/>
        <v>0</v>
      </c>
      <c r="U669" s="51"/>
      <c r="V669" s="541">
        <f>+'NF-KSF-TRIAL-BAL-2021'!O669+'RA-TRIAL-BAL-2021'!O669+'DES-TRIAL-BAL-2021'!O669+'DMP-TRIAL-BAL-2021'!O669</f>
        <v>0</v>
      </c>
      <c r="W669" s="529">
        <f>+'NF-KSF-TRIAL-BAL-2021'!P669+'RA-TRIAL-BAL-2021'!P669+'DES-TRIAL-BAL-2021'!P669+'DMP-TRIAL-BAL-2021'!P669</f>
        <v>0</v>
      </c>
      <c r="X669" s="528">
        <f>+'NF-KSF-TRIAL-BAL-2021'!Q669+'RA-TRIAL-BAL-2021'!Q669+'DES-TRIAL-BAL-2021'!Q669+'DMP-TRIAL-BAL-2021'!Q669</f>
        <v>0</v>
      </c>
      <c r="Y669" s="529">
        <f>+'NF-KSF-TRIAL-BAL-2021'!R669+'RA-TRIAL-BAL-2021'!R669+'DES-TRIAL-BAL-2021'!R669+'DMP-TRIAL-BAL-2021'!R669</f>
        <v>0</v>
      </c>
      <c r="Z669" s="528">
        <f>+'NF-KSF-TRIAL-BAL-2021'!S669+'RA-TRIAL-BAL-2021'!S669+'DES-TRIAL-BAL-2021'!S669+'DMP-TRIAL-BAL-2021'!S669</f>
        <v>0</v>
      </c>
      <c r="AA669" s="347">
        <f>+'NF-KSF-TRIAL-BAL-2021'!T669+'RA-TRIAL-BAL-2021'!T669+'DES-TRIAL-BAL-2021'!T669+'DMP-TRIAL-BAL-2021'!T669</f>
        <v>0</v>
      </c>
      <c r="AB669" s="51"/>
      <c r="AC669" s="8">
        <v>0</v>
      </c>
      <c r="AD669" s="9">
        <v>0</v>
      </c>
      <c r="AE669" s="325"/>
      <c r="AF669" s="324"/>
      <c r="AG669" s="27">
        <f t="shared" si="327"/>
        <v>0</v>
      </c>
      <c r="AH669" s="28">
        <f t="shared" si="328"/>
        <v>0</v>
      </c>
      <c r="AI669" s="51"/>
      <c r="AJ669" s="1497">
        <f t="shared" si="319"/>
        <v>7222</v>
      </c>
      <c r="AK669" s="8">
        <v>0</v>
      </c>
      <c r="AL669" s="9">
        <v>0</v>
      </c>
      <c r="AM669" s="326">
        <f t="shared" si="329"/>
        <v>0</v>
      </c>
      <c r="AN669" s="970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58">
        <f t="shared" si="312"/>
        <v>0</v>
      </c>
      <c r="AS669" s="359">
        <f t="shared" si="313"/>
        <v>0</v>
      </c>
      <c r="AT669" s="360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25"/>
      <c r="R670" s="324"/>
      <c r="S670" s="27">
        <f t="shared" si="325"/>
        <v>0</v>
      </c>
      <c r="T670" s="28">
        <f t="shared" si="326"/>
        <v>0</v>
      </c>
      <c r="U670" s="51"/>
      <c r="V670" s="541">
        <f>+'NF-KSF-TRIAL-BAL-2021'!O670+'RA-TRIAL-BAL-2021'!O670+'DES-TRIAL-BAL-2021'!O670+'DMP-TRIAL-BAL-2021'!O670</f>
        <v>0</v>
      </c>
      <c r="W670" s="529">
        <f>+'NF-KSF-TRIAL-BAL-2021'!P670+'RA-TRIAL-BAL-2021'!P670+'DES-TRIAL-BAL-2021'!P670+'DMP-TRIAL-BAL-2021'!P670</f>
        <v>0</v>
      </c>
      <c r="X670" s="528">
        <f>+'NF-KSF-TRIAL-BAL-2021'!Q670+'RA-TRIAL-BAL-2021'!Q670+'DES-TRIAL-BAL-2021'!Q670+'DMP-TRIAL-BAL-2021'!Q670</f>
        <v>0</v>
      </c>
      <c r="Y670" s="529">
        <f>+'NF-KSF-TRIAL-BAL-2021'!R670+'RA-TRIAL-BAL-2021'!R670+'DES-TRIAL-BAL-2021'!R670+'DMP-TRIAL-BAL-2021'!R670</f>
        <v>0</v>
      </c>
      <c r="Z670" s="528">
        <f>+'NF-KSF-TRIAL-BAL-2021'!S670+'RA-TRIAL-BAL-2021'!S670+'DES-TRIAL-BAL-2021'!S670+'DMP-TRIAL-BAL-2021'!S670</f>
        <v>0</v>
      </c>
      <c r="AA670" s="347">
        <f>+'NF-KSF-TRIAL-BAL-2021'!T670+'RA-TRIAL-BAL-2021'!T670+'DES-TRIAL-BAL-2021'!T670+'DMP-TRIAL-BAL-2021'!T670</f>
        <v>0</v>
      </c>
      <c r="AB670" s="51"/>
      <c r="AC670" s="8">
        <v>0</v>
      </c>
      <c r="AD670" s="9">
        <v>0</v>
      </c>
      <c r="AE670" s="325"/>
      <c r="AF670" s="324"/>
      <c r="AG670" s="27">
        <f t="shared" si="327"/>
        <v>0</v>
      </c>
      <c r="AH670" s="28">
        <f t="shared" si="328"/>
        <v>0</v>
      </c>
      <c r="AI670" s="51"/>
      <c r="AJ670" s="1497">
        <f t="shared" si="319"/>
        <v>7223</v>
      </c>
      <c r="AK670" s="8">
        <v>0</v>
      </c>
      <c r="AL670" s="9">
        <v>0</v>
      </c>
      <c r="AM670" s="326">
        <f t="shared" si="329"/>
        <v>0</v>
      </c>
      <c r="AN670" s="970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58">
        <f t="shared" ref="AR670:AR768" si="330">+ROUND(+SUM(AK670-AL670)-SUM(O670-P670)-SUM(V670-W670)-SUM(AC670-AD670),2)</f>
        <v>0</v>
      </c>
      <c r="AS670" s="359">
        <f t="shared" ref="AS670:AS768" si="331">+ROUND(+SUM(AM670-AN670)-SUM(Q670-R670)-SUM(X670-Y670)-SUM(AE670-AF670),2)</f>
        <v>0</v>
      </c>
      <c r="AT670" s="360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25"/>
      <c r="R671" s="324"/>
      <c r="S671" s="27">
        <f t="shared" si="325"/>
        <v>0</v>
      </c>
      <c r="T671" s="28">
        <f t="shared" si="326"/>
        <v>0</v>
      </c>
      <c r="U671" s="51"/>
      <c r="V671" s="541">
        <f>+'NF-KSF-TRIAL-BAL-2021'!O671+'RA-TRIAL-BAL-2021'!O671+'DES-TRIAL-BAL-2021'!O671+'DMP-TRIAL-BAL-2021'!O671</f>
        <v>0</v>
      </c>
      <c r="W671" s="529">
        <f>+'NF-KSF-TRIAL-BAL-2021'!P671+'RA-TRIAL-BAL-2021'!P671+'DES-TRIAL-BAL-2021'!P671+'DMP-TRIAL-BAL-2021'!P671</f>
        <v>0</v>
      </c>
      <c r="X671" s="528">
        <f>+'NF-KSF-TRIAL-BAL-2021'!Q671+'RA-TRIAL-BAL-2021'!Q671+'DES-TRIAL-BAL-2021'!Q671+'DMP-TRIAL-BAL-2021'!Q671</f>
        <v>0</v>
      </c>
      <c r="Y671" s="529">
        <f>+'NF-KSF-TRIAL-BAL-2021'!R671+'RA-TRIAL-BAL-2021'!R671+'DES-TRIAL-BAL-2021'!R671+'DMP-TRIAL-BAL-2021'!R671</f>
        <v>0</v>
      </c>
      <c r="Z671" s="528">
        <f>+'NF-KSF-TRIAL-BAL-2021'!S671+'RA-TRIAL-BAL-2021'!S671+'DES-TRIAL-BAL-2021'!S671+'DMP-TRIAL-BAL-2021'!S671</f>
        <v>0</v>
      </c>
      <c r="AA671" s="347">
        <f>+'NF-KSF-TRIAL-BAL-2021'!T671+'RA-TRIAL-BAL-2021'!T671+'DES-TRIAL-BAL-2021'!T671+'DMP-TRIAL-BAL-2021'!T671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97">
        <f t="shared" si="319"/>
        <v>7224</v>
      </c>
      <c r="AK671" s="8">
        <v>0</v>
      </c>
      <c r="AL671" s="9">
        <v>0</v>
      </c>
      <c r="AM671" s="326">
        <f t="shared" ref="AM671:AN673" si="334">+ROUND(+Q671+X671+AE671,2)</f>
        <v>0</v>
      </c>
      <c r="AN671" s="970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58">
        <f t="shared" si="330"/>
        <v>0</v>
      </c>
      <c r="AS671" s="359">
        <f t="shared" si="331"/>
        <v>0</v>
      </c>
      <c r="AT671" s="360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25"/>
      <c r="R672" s="324"/>
      <c r="S672" s="27">
        <f t="shared" si="325"/>
        <v>0</v>
      </c>
      <c r="T672" s="28">
        <f t="shared" si="326"/>
        <v>0</v>
      </c>
      <c r="U672" s="51"/>
      <c r="V672" s="541">
        <f>+'NF-KSF-TRIAL-BAL-2021'!O672+'RA-TRIAL-BAL-2021'!O672+'DES-TRIAL-BAL-2021'!O672+'DMP-TRIAL-BAL-2021'!O672</f>
        <v>0</v>
      </c>
      <c r="W672" s="529">
        <f>+'NF-KSF-TRIAL-BAL-2021'!P672+'RA-TRIAL-BAL-2021'!P672+'DES-TRIAL-BAL-2021'!P672+'DMP-TRIAL-BAL-2021'!P672</f>
        <v>0</v>
      </c>
      <c r="X672" s="528">
        <f>+'NF-KSF-TRIAL-BAL-2021'!Q672+'RA-TRIAL-BAL-2021'!Q672+'DES-TRIAL-BAL-2021'!Q672+'DMP-TRIAL-BAL-2021'!Q672</f>
        <v>0</v>
      </c>
      <c r="Y672" s="529">
        <f>+'NF-KSF-TRIAL-BAL-2021'!R672+'RA-TRIAL-BAL-2021'!R672+'DES-TRIAL-BAL-2021'!R672+'DMP-TRIAL-BAL-2021'!R672</f>
        <v>0</v>
      </c>
      <c r="Z672" s="528">
        <f>+'NF-KSF-TRIAL-BAL-2021'!S672+'RA-TRIAL-BAL-2021'!S672+'DES-TRIAL-BAL-2021'!S672+'DMP-TRIAL-BAL-2021'!S672</f>
        <v>0</v>
      </c>
      <c r="AA672" s="347">
        <f>+'NF-KSF-TRIAL-BAL-2021'!T672+'RA-TRIAL-BAL-2021'!T672+'DES-TRIAL-BAL-2021'!T672+'DMP-TRIAL-BAL-2021'!T672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97">
        <f>+N672</f>
        <v>7226</v>
      </c>
      <c r="AK672" s="8">
        <v>0</v>
      </c>
      <c r="AL672" s="9">
        <v>0</v>
      </c>
      <c r="AM672" s="326">
        <f t="shared" si="334"/>
        <v>0</v>
      </c>
      <c r="AN672" s="970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58">
        <f t="shared" si="330"/>
        <v>0</v>
      </c>
      <c r="AS672" s="359">
        <f t="shared" si="331"/>
        <v>0</v>
      </c>
      <c r="AT672" s="360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25"/>
      <c r="R673" s="324"/>
      <c r="S673" s="27">
        <f t="shared" si="325"/>
        <v>0</v>
      </c>
      <c r="T673" s="28">
        <f t="shared" si="326"/>
        <v>0</v>
      </c>
      <c r="U673" s="51"/>
      <c r="V673" s="541">
        <f>+'NF-KSF-TRIAL-BAL-2021'!O673+'RA-TRIAL-BAL-2021'!O673+'DES-TRIAL-BAL-2021'!O673+'DMP-TRIAL-BAL-2021'!O673</f>
        <v>0</v>
      </c>
      <c r="W673" s="529">
        <f>+'NF-KSF-TRIAL-BAL-2021'!P673+'RA-TRIAL-BAL-2021'!P673+'DES-TRIAL-BAL-2021'!P673+'DMP-TRIAL-BAL-2021'!P673</f>
        <v>0</v>
      </c>
      <c r="X673" s="528">
        <f>+'NF-KSF-TRIAL-BAL-2021'!Q673+'RA-TRIAL-BAL-2021'!Q673+'DES-TRIAL-BAL-2021'!Q673+'DMP-TRIAL-BAL-2021'!Q673</f>
        <v>0</v>
      </c>
      <c r="Y673" s="529">
        <f>+'NF-KSF-TRIAL-BAL-2021'!R673+'RA-TRIAL-BAL-2021'!R673+'DES-TRIAL-BAL-2021'!R673+'DMP-TRIAL-BAL-2021'!R673</f>
        <v>0</v>
      </c>
      <c r="Z673" s="528">
        <f>+'NF-KSF-TRIAL-BAL-2021'!S673+'RA-TRIAL-BAL-2021'!S673+'DES-TRIAL-BAL-2021'!S673+'DMP-TRIAL-BAL-2021'!S673</f>
        <v>0</v>
      </c>
      <c r="AA673" s="347">
        <f>+'NF-KSF-TRIAL-BAL-2021'!T673+'RA-TRIAL-BAL-2021'!T673+'DES-TRIAL-BAL-2021'!T673+'DMP-TRIAL-BAL-2021'!T673</f>
        <v>0</v>
      </c>
      <c r="AB673" s="51"/>
      <c r="AC673" s="8">
        <v>0</v>
      </c>
      <c r="AD673" s="9">
        <v>0</v>
      </c>
      <c r="AE673" s="325"/>
      <c r="AF673" s="324"/>
      <c r="AG673" s="27">
        <f t="shared" si="327"/>
        <v>0</v>
      </c>
      <c r="AH673" s="28">
        <f t="shared" si="328"/>
        <v>0</v>
      </c>
      <c r="AI673" s="51"/>
      <c r="AJ673" s="1497">
        <f>+N673</f>
        <v>7229</v>
      </c>
      <c r="AK673" s="8">
        <v>0</v>
      </c>
      <c r="AL673" s="9">
        <v>0</v>
      </c>
      <c r="AM673" s="326">
        <f t="shared" si="334"/>
        <v>0</v>
      </c>
      <c r="AN673" s="970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58">
        <f t="shared" si="330"/>
        <v>0</v>
      </c>
      <c r="AS673" s="359">
        <f t="shared" si="331"/>
        <v>0</v>
      </c>
      <c r="AT673" s="360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25"/>
      <c r="R674" s="324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41">
        <f>+'NF-KSF-TRIAL-BAL-2021'!O674+'RA-TRIAL-BAL-2021'!O674+'DES-TRIAL-BAL-2021'!O674+'DMP-TRIAL-BAL-2021'!O674</f>
        <v>0</v>
      </c>
      <c r="W674" s="529">
        <f>+'NF-KSF-TRIAL-BAL-2021'!P674+'RA-TRIAL-BAL-2021'!P674+'DES-TRIAL-BAL-2021'!P674+'DMP-TRIAL-BAL-2021'!P674</f>
        <v>0</v>
      </c>
      <c r="X674" s="528">
        <f>+'NF-KSF-TRIAL-BAL-2021'!Q674+'RA-TRIAL-BAL-2021'!Q674+'DES-TRIAL-BAL-2021'!Q674+'DMP-TRIAL-BAL-2021'!Q674</f>
        <v>0</v>
      </c>
      <c r="Y674" s="529">
        <f>+'NF-KSF-TRIAL-BAL-2021'!R674+'RA-TRIAL-BAL-2021'!R674+'DES-TRIAL-BAL-2021'!R674+'DMP-TRIAL-BAL-2021'!R674</f>
        <v>0</v>
      </c>
      <c r="Z674" s="528">
        <f>+'NF-KSF-TRIAL-BAL-2021'!S674+'RA-TRIAL-BAL-2021'!S674+'DES-TRIAL-BAL-2021'!S674+'DMP-TRIAL-BAL-2021'!S674</f>
        <v>0</v>
      </c>
      <c r="AA674" s="347">
        <f>+'NF-KSF-TRIAL-BAL-2021'!T674+'RA-TRIAL-BAL-2021'!T674+'DES-TRIAL-BAL-2021'!T674+'DMP-TRIAL-BAL-2021'!T674</f>
        <v>0</v>
      </c>
      <c r="AB674" s="51"/>
      <c r="AC674" s="8">
        <v>0</v>
      </c>
      <c r="AD674" s="9">
        <v>0</v>
      </c>
      <c r="AE674" s="325"/>
      <c r="AF674" s="324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97">
        <f t="shared" si="319"/>
        <v>7231</v>
      </c>
      <c r="AK674" s="8">
        <v>0</v>
      </c>
      <c r="AL674" s="9">
        <v>0</v>
      </c>
      <c r="AM674" s="326">
        <f t="shared" ref="AM674:AN769" si="341">+ROUND(+Q674+X674+AE674,2)</f>
        <v>0</v>
      </c>
      <c r="AN674" s="970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58">
        <f t="shared" si="330"/>
        <v>0</v>
      </c>
      <c r="AS674" s="359">
        <f t="shared" si="331"/>
        <v>0</v>
      </c>
      <c r="AT674" s="360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25"/>
      <c r="R675" s="324"/>
      <c r="S675" s="27">
        <f t="shared" si="337"/>
        <v>0</v>
      </c>
      <c r="T675" s="28">
        <f t="shared" si="338"/>
        <v>0</v>
      </c>
      <c r="U675" s="51"/>
      <c r="V675" s="541">
        <f>+'NF-KSF-TRIAL-BAL-2021'!O675+'RA-TRIAL-BAL-2021'!O675+'DES-TRIAL-BAL-2021'!O675+'DMP-TRIAL-BAL-2021'!O675</f>
        <v>0</v>
      </c>
      <c r="W675" s="529">
        <f>+'NF-KSF-TRIAL-BAL-2021'!P675+'RA-TRIAL-BAL-2021'!P675+'DES-TRIAL-BAL-2021'!P675+'DMP-TRIAL-BAL-2021'!P675</f>
        <v>0</v>
      </c>
      <c r="X675" s="528">
        <f>+'NF-KSF-TRIAL-BAL-2021'!Q675+'RA-TRIAL-BAL-2021'!Q675+'DES-TRIAL-BAL-2021'!Q675+'DMP-TRIAL-BAL-2021'!Q675</f>
        <v>0</v>
      </c>
      <c r="Y675" s="529">
        <f>+'NF-KSF-TRIAL-BAL-2021'!R675+'RA-TRIAL-BAL-2021'!R675+'DES-TRIAL-BAL-2021'!R675+'DMP-TRIAL-BAL-2021'!R675</f>
        <v>0</v>
      </c>
      <c r="Z675" s="528">
        <f>+'NF-KSF-TRIAL-BAL-2021'!S675+'RA-TRIAL-BAL-2021'!S675+'DES-TRIAL-BAL-2021'!S675+'DMP-TRIAL-BAL-2021'!S675</f>
        <v>0</v>
      </c>
      <c r="AA675" s="347">
        <f>+'NF-KSF-TRIAL-BAL-2021'!T675+'RA-TRIAL-BAL-2021'!T675+'DES-TRIAL-BAL-2021'!T675+'DMP-TRIAL-BAL-2021'!T675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97">
        <f t="shared" si="319"/>
        <v>7232</v>
      </c>
      <c r="AK675" s="8">
        <v>0</v>
      </c>
      <c r="AL675" s="9">
        <v>0</v>
      </c>
      <c r="AM675" s="326">
        <f t="shared" si="341"/>
        <v>0</v>
      </c>
      <c r="AN675" s="970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58">
        <f t="shared" si="330"/>
        <v>0</v>
      </c>
      <c r="AS675" s="359">
        <f t="shared" si="331"/>
        <v>0</v>
      </c>
      <c r="AT675" s="360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25"/>
      <c r="R676" s="324"/>
      <c r="S676" s="27">
        <f t="shared" si="337"/>
        <v>0</v>
      </c>
      <c r="T676" s="28">
        <f t="shared" si="338"/>
        <v>0</v>
      </c>
      <c r="U676" s="51"/>
      <c r="V676" s="541">
        <f>+'NF-KSF-TRIAL-BAL-2021'!O676+'RA-TRIAL-BAL-2021'!O676+'DES-TRIAL-BAL-2021'!O676+'DMP-TRIAL-BAL-2021'!O676</f>
        <v>0</v>
      </c>
      <c r="W676" s="529">
        <f>+'NF-KSF-TRIAL-BAL-2021'!P676+'RA-TRIAL-BAL-2021'!P676+'DES-TRIAL-BAL-2021'!P676+'DMP-TRIAL-BAL-2021'!P676</f>
        <v>0</v>
      </c>
      <c r="X676" s="528">
        <f>+'NF-KSF-TRIAL-BAL-2021'!Q676+'RA-TRIAL-BAL-2021'!Q676+'DES-TRIAL-BAL-2021'!Q676+'DMP-TRIAL-BAL-2021'!Q676</f>
        <v>0</v>
      </c>
      <c r="Y676" s="529">
        <f>+'NF-KSF-TRIAL-BAL-2021'!R676+'RA-TRIAL-BAL-2021'!R676+'DES-TRIAL-BAL-2021'!R676+'DMP-TRIAL-BAL-2021'!R676</f>
        <v>0</v>
      </c>
      <c r="Z676" s="528">
        <f>+'NF-KSF-TRIAL-BAL-2021'!S676+'RA-TRIAL-BAL-2021'!S676+'DES-TRIAL-BAL-2021'!S676+'DMP-TRIAL-BAL-2021'!S676</f>
        <v>0</v>
      </c>
      <c r="AA676" s="347">
        <f>+'NF-KSF-TRIAL-BAL-2021'!T676+'RA-TRIAL-BAL-2021'!T676+'DES-TRIAL-BAL-2021'!T676+'DMP-TRIAL-BAL-2021'!T676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97">
        <f t="shared" si="319"/>
        <v>7241</v>
      </c>
      <c r="AK676" s="8">
        <v>0</v>
      </c>
      <c r="AL676" s="9">
        <v>0</v>
      </c>
      <c r="AM676" s="326">
        <f t="shared" si="341"/>
        <v>0</v>
      </c>
      <c r="AN676" s="970">
        <f t="shared" si="341"/>
        <v>0</v>
      </c>
      <c r="AO676" s="27">
        <f t="shared" si="335"/>
        <v>0</v>
      </c>
      <c r="AP676" s="28">
        <f t="shared" si="336"/>
        <v>0</v>
      </c>
      <c r="AQ676" s="43"/>
      <c r="AR676" s="358">
        <f t="shared" si="330"/>
        <v>0</v>
      </c>
      <c r="AS676" s="359">
        <f t="shared" si="331"/>
        <v>0</v>
      </c>
      <c r="AT676" s="360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25"/>
      <c r="R677" s="324"/>
      <c r="S677" s="27">
        <f t="shared" si="337"/>
        <v>0</v>
      </c>
      <c r="T677" s="28">
        <f t="shared" si="338"/>
        <v>0</v>
      </c>
      <c r="U677" s="51"/>
      <c r="V677" s="541">
        <f>+'NF-KSF-TRIAL-BAL-2021'!O677+'RA-TRIAL-BAL-2021'!O677+'DES-TRIAL-BAL-2021'!O677+'DMP-TRIAL-BAL-2021'!O677</f>
        <v>0</v>
      </c>
      <c r="W677" s="529">
        <f>+'NF-KSF-TRIAL-BAL-2021'!P677+'RA-TRIAL-BAL-2021'!P677+'DES-TRIAL-BAL-2021'!P677+'DMP-TRIAL-BAL-2021'!P677</f>
        <v>0</v>
      </c>
      <c r="X677" s="528">
        <f>+'NF-KSF-TRIAL-BAL-2021'!Q677+'RA-TRIAL-BAL-2021'!Q677+'DES-TRIAL-BAL-2021'!Q677+'DMP-TRIAL-BAL-2021'!Q677</f>
        <v>0</v>
      </c>
      <c r="Y677" s="529">
        <f>+'NF-KSF-TRIAL-BAL-2021'!R677+'RA-TRIAL-BAL-2021'!R677+'DES-TRIAL-BAL-2021'!R677+'DMP-TRIAL-BAL-2021'!R677</f>
        <v>0</v>
      </c>
      <c r="Z677" s="528">
        <f>+'NF-KSF-TRIAL-BAL-2021'!S677+'RA-TRIAL-BAL-2021'!S677+'DES-TRIAL-BAL-2021'!S677+'DMP-TRIAL-BAL-2021'!S677</f>
        <v>0</v>
      </c>
      <c r="AA677" s="347">
        <f>+'NF-KSF-TRIAL-BAL-2021'!T677+'RA-TRIAL-BAL-2021'!T677+'DES-TRIAL-BAL-2021'!T677+'DMP-TRIAL-BAL-2021'!T677</f>
        <v>0</v>
      </c>
      <c r="AB677" s="51"/>
      <c r="AC677" s="8">
        <v>0</v>
      </c>
      <c r="AD677" s="9">
        <v>0</v>
      </c>
      <c r="AE677" s="325"/>
      <c r="AF677" s="324"/>
      <c r="AG677" s="27">
        <f t="shared" si="339"/>
        <v>0</v>
      </c>
      <c r="AH677" s="28">
        <f t="shared" si="340"/>
        <v>0</v>
      </c>
      <c r="AI677" s="51"/>
      <c r="AJ677" s="1497">
        <f t="shared" si="319"/>
        <v>7242</v>
      </c>
      <c r="AK677" s="8">
        <v>0</v>
      </c>
      <c r="AL677" s="9">
        <v>0</v>
      </c>
      <c r="AM677" s="326">
        <f t="shared" si="341"/>
        <v>0</v>
      </c>
      <c r="AN677" s="970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58">
        <f t="shared" si="330"/>
        <v>0</v>
      </c>
      <c r="AS677" s="359">
        <f t="shared" si="331"/>
        <v>0</v>
      </c>
      <c r="AT677" s="360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25"/>
      <c r="R678" s="324"/>
      <c r="S678" s="27">
        <f t="shared" si="337"/>
        <v>0</v>
      </c>
      <c r="T678" s="28">
        <f t="shared" si="338"/>
        <v>0</v>
      </c>
      <c r="U678" s="51"/>
      <c r="V678" s="541">
        <f>+'NF-KSF-TRIAL-BAL-2021'!O678+'RA-TRIAL-BAL-2021'!O678+'DES-TRIAL-BAL-2021'!O678+'DMP-TRIAL-BAL-2021'!O678</f>
        <v>0</v>
      </c>
      <c r="W678" s="529">
        <f>+'NF-KSF-TRIAL-BAL-2021'!P678+'RA-TRIAL-BAL-2021'!P678+'DES-TRIAL-BAL-2021'!P678+'DMP-TRIAL-BAL-2021'!P678</f>
        <v>0</v>
      </c>
      <c r="X678" s="528">
        <f>+'NF-KSF-TRIAL-BAL-2021'!Q678+'RA-TRIAL-BAL-2021'!Q678+'DES-TRIAL-BAL-2021'!Q678+'DMP-TRIAL-BAL-2021'!Q678</f>
        <v>0</v>
      </c>
      <c r="Y678" s="529">
        <f>+'NF-KSF-TRIAL-BAL-2021'!R678+'RA-TRIAL-BAL-2021'!R678+'DES-TRIAL-BAL-2021'!R678+'DMP-TRIAL-BAL-2021'!R678</f>
        <v>0</v>
      </c>
      <c r="Z678" s="528">
        <f>+'NF-KSF-TRIAL-BAL-2021'!S678+'RA-TRIAL-BAL-2021'!S678+'DES-TRIAL-BAL-2021'!S678+'DMP-TRIAL-BAL-2021'!S678</f>
        <v>0</v>
      </c>
      <c r="AA678" s="347">
        <f>+'NF-KSF-TRIAL-BAL-2021'!T678+'RA-TRIAL-BAL-2021'!T678+'DES-TRIAL-BAL-2021'!T678+'DMP-TRIAL-BAL-2021'!T678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97">
        <f>+N678</f>
        <v>7250</v>
      </c>
      <c r="AK678" s="8">
        <v>0</v>
      </c>
      <c r="AL678" s="9">
        <v>0</v>
      </c>
      <c r="AM678" s="326">
        <f t="shared" si="341"/>
        <v>0</v>
      </c>
      <c r="AN678" s="970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58">
        <f t="shared" si="330"/>
        <v>0</v>
      </c>
      <c r="AS678" s="359">
        <f t="shared" si="331"/>
        <v>0</v>
      </c>
      <c r="AT678" s="360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25"/>
      <c r="R679" s="324">
        <v>245.53</v>
      </c>
      <c r="S679" s="27">
        <f t="shared" si="337"/>
        <v>0</v>
      </c>
      <c r="T679" s="28">
        <f t="shared" si="338"/>
        <v>245.53</v>
      </c>
      <c r="U679" s="51"/>
      <c r="V679" s="541">
        <f>+'NF-KSF-TRIAL-BAL-2021'!O679+'RA-TRIAL-BAL-2021'!O679+'DES-TRIAL-BAL-2021'!O679+'DMP-TRIAL-BAL-2021'!O679</f>
        <v>0</v>
      </c>
      <c r="W679" s="529">
        <f>+'NF-KSF-TRIAL-BAL-2021'!P679+'RA-TRIAL-BAL-2021'!P679+'DES-TRIAL-BAL-2021'!P679+'DMP-TRIAL-BAL-2021'!P679</f>
        <v>0</v>
      </c>
      <c r="X679" s="528">
        <f>+'NF-KSF-TRIAL-BAL-2021'!Q679+'RA-TRIAL-BAL-2021'!Q679+'DES-TRIAL-BAL-2021'!Q679+'DMP-TRIAL-BAL-2021'!Q679</f>
        <v>0</v>
      </c>
      <c r="Y679" s="529">
        <f>+'NF-KSF-TRIAL-BAL-2021'!R679+'RA-TRIAL-BAL-2021'!R679+'DES-TRIAL-BAL-2021'!R679+'DMP-TRIAL-BAL-2021'!R679</f>
        <v>13.92</v>
      </c>
      <c r="Z679" s="528">
        <f>+'NF-KSF-TRIAL-BAL-2021'!S679+'RA-TRIAL-BAL-2021'!S679+'DES-TRIAL-BAL-2021'!S679+'DMP-TRIAL-BAL-2021'!S679</f>
        <v>0</v>
      </c>
      <c r="AA679" s="347">
        <f>+'NF-KSF-TRIAL-BAL-2021'!T679+'RA-TRIAL-BAL-2021'!T679+'DES-TRIAL-BAL-2021'!T679+'DMP-TRIAL-BAL-2021'!T679</f>
        <v>13.92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97">
        <f t="shared" si="319"/>
        <v>7251</v>
      </c>
      <c r="AK679" s="8">
        <v>0</v>
      </c>
      <c r="AL679" s="9">
        <v>0</v>
      </c>
      <c r="AM679" s="326">
        <f t="shared" si="341"/>
        <v>0</v>
      </c>
      <c r="AN679" s="970">
        <f t="shared" si="341"/>
        <v>259.45</v>
      </c>
      <c r="AO679" s="27">
        <f t="shared" si="335"/>
        <v>0</v>
      </c>
      <c r="AP679" s="28">
        <f t="shared" si="336"/>
        <v>259.45</v>
      </c>
      <c r="AQ679" s="43"/>
      <c r="AR679" s="358">
        <f t="shared" si="330"/>
        <v>0</v>
      </c>
      <c r="AS679" s="359">
        <f t="shared" si="331"/>
        <v>0</v>
      </c>
      <c r="AT679" s="360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25"/>
      <c r="R680" s="324"/>
      <c r="S680" s="27">
        <f t="shared" si="337"/>
        <v>0</v>
      </c>
      <c r="T680" s="28">
        <f t="shared" si="338"/>
        <v>0</v>
      </c>
      <c r="U680" s="51"/>
      <c r="V680" s="541">
        <f>+'NF-KSF-TRIAL-BAL-2021'!O680+'RA-TRIAL-BAL-2021'!O680+'DES-TRIAL-BAL-2021'!O680+'DMP-TRIAL-BAL-2021'!O680</f>
        <v>0</v>
      </c>
      <c r="W680" s="529">
        <f>+'NF-KSF-TRIAL-BAL-2021'!P680+'RA-TRIAL-BAL-2021'!P680+'DES-TRIAL-BAL-2021'!P680+'DMP-TRIAL-BAL-2021'!P680</f>
        <v>0</v>
      </c>
      <c r="X680" s="528">
        <f>+'NF-KSF-TRIAL-BAL-2021'!Q680+'RA-TRIAL-BAL-2021'!Q680+'DES-TRIAL-BAL-2021'!Q680+'DMP-TRIAL-BAL-2021'!Q680</f>
        <v>0</v>
      </c>
      <c r="Y680" s="529">
        <f>+'NF-KSF-TRIAL-BAL-2021'!R680+'RA-TRIAL-BAL-2021'!R680+'DES-TRIAL-BAL-2021'!R680+'DMP-TRIAL-BAL-2021'!R680</f>
        <v>0</v>
      </c>
      <c r="Z680" s="528">
        <f>+'NF-KSF-TRIAL-BAL-2021'!S680+'RA-TRIAL-BAL-2021'!S680+'DES-TRIAL-BAL-2021'!S680+'DMP-TRIAL-BAL-2021'!S680</f>
        <v>0</v>
      </c>
      <c r="AA680" s="347">
        <f>+'NF-KSF-TRIAL-BAL-2021'!T680+'RA-TRIAL-BAL-2021'!T680+'DES-TRIAL-BAL-2021'!T680+'DMP-TRIAL-BAL-2021'!T680</f>
        <v>0</v>
      </c>
      <c r="AB680" s="51"/>
      <c r="AC680" s="8">
        <v>0</v>
      </c>
      <c r="AD680" s="9">
        <v>0</v>
      </c>
      <c r="AE680" s="325"/>
      <c r="AF680" s="324"/>
      <c r="AG680" s="27">
        <f t="shared" si="339"/>
        <v>0</v>
      </c>
      <c r="AH680" s="28">
        <f t="shared" si="340"/>
        <v>0</v>
      </c>
      <c r="AI680" s="51"/>
      <c r="AJ680" s="1497">
        <f t="shared" si="319"/>
        <v>7252</v>
      </c>
      <c r="AK680" s="8">
        <v>0</v>
      </c>
      <c r="AL680" s="9">
        <v>0</v>
      </c>
      <c r="AM680" s="326">
        <f t="shared" si="341"/>
        <v>0</v>
      </c>
      <c r="AN680" s="970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58">
        <f t="shared" si="330"/>
        <v>0</v>
      </c>
      <c r="AS680" s="359">
        <f t="shared" si="331"/>
        <v>0</v>
      </c>
      <c r="AT680" s="360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25"/>
      <c r="R681" s="324"/>
      <c r="S681" s="27">
        <f t="shared" si="337"/>
        <v>0</v>
      </c>
      <c r="T681" s="28">
        <f t="shared" si="338"/>
        <v>0</v>
      </c>
      <c r="U681" s="51"/>
      <c r="V681" s="541">
        <f>+'NF-KSF-TRIAL-BAL-2021'!O681+'RA-TRIAL-BAL-2021'!O681+'DES-TRIAL-BAL-2021'!O681+'DMP-TRIAL-BAL-2021'!O681</f>
        <v>0</v>
      </c>
      <c r="W681" s="529">
        <f>+'NF-KSF-TRIAL-BAL-2021'!P681+'RA-TRIAL-BAL-2021'!P681+'DES-TRIAL-BAL-2021'!P681+'DMP-TRIAL-BAL-2021'!P681</f>
        <v>0</v>
      </c>
      <c r="X681" s="528">
        <f>+'NF-KSF-TRIAL-BAL-2021'!Q681+'RA-TRIAL-BAL-2021'!Q681+'DES-TRIAL-BAL-2021'!Q681+'DMP-TRIAL-BAL-2021'!Q681</f>
        <v>0</v>
      </c>
      <c r="Y681" s="529">
        <f>+'NF-KSF-TRIAL-BAL-2021'!R681+'RA-TRIAL-BAL-2021'!R681+'DES-TRIAL-BAL-2021'!R681+'DMP-TRIAL-BAL-2021'!R681</f>
        <v>0</v>
      </c>
      <c r="Z681" s="528">
        <f>+'NF-KSF-TRIAL-BAL-2021'!S681+'RA-TRIAL-BAL-2021'!S681+'DES-TRIAL-BAL-2021'!S681+'DMP-TRIAL-BAL-2021'!S681</f>
        <v>0</v>
      </c>
      <c r="AA681" s="347">
        <f>+'NF-KSF-TRIAL-BAL-2021'!T681+'RA-TRIAL-BAL-2021'!T681+'DES-TRIAL-BAL-2021'!T681+'DMP-TRIAL-BAL-2021'!T681</f>
        <v>0</v>
      </c>
      <c r="AB681" s="51"/>
      <c r="AC681" s="8">
        <v>0</v>
      </c>
      <c r="AD681" s="9">
        <v>0</v>
      </c>
      <c r="AE681" s="325"/>
      <c r="AF681" s="324"/>
      <c r="AG681" s="27">
        <f t="shared" si="339"/>
        <v>0</v>
      </c>
      <c r="AH681" s="28">
        <f t="shared" si="340"/>
        <v>0</v>
      </c>
      <c r="AI681" s="51"/>
      <c r="AJ681" s="1497">
        <f t="shared" si="319"/>
        <v>7258</v>
      </c>
      <c r="AK681" s="8">
        <v>0</v>
      </c>
      <c r="AL681" s="9">
        <v>0</v>
      </c>
      <c r="AM681" s="326">
        <f t="shared" si="341"/>
        <v>0</v>
      </c>
      <c r="AN681" s="970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58">
        <f t="shared" si="330"/>
        <v>0</v>
      </c>
      <c r="AS681" s="359">
        <f t="shared" si="331"/>
        <v>0</v>
      </c>
      <c r="AT681" s="360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25"/>
      <c r="R682" s="324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41">
        <f>+'NF-KSF-TRIAL-BAL-2021'!O682+'RA-TRIAL-BAL-2021'!O682+'DES-TRIAL-BAL-2021'!O682+'DMP-TRIAL-BAL-2021'!O682</f>
        <v>0</v>
      </c>
      <c r="W682" s="529">
        <f>+'NF-KSF-TRIAL-BAL-2021'!P682+'RA-TRIAL-BAL-2021'!P682+'DES-TRIAL-BAL-2021'!P682+'DMP-TRIAL-BAL-2021'!P682</f>
        <v>0</v>
      </c>
      <c r="X682" s="528">
        <f>+'NF-KSF-TRIAL-BAL-2021'!Q682+'RA-TRIAL-BAL-2021'!Q682+'DES-TRIAL-BAL-2021'!Q682+'DMP-TRIAL-BAL-2021'!Q682</f>
        <v>0</v>
      </c>
      <c r="Y682" s="529">
        <f>+'NF-KSF-TRIAL-BAL-2021'!R682+'RA-TRIAL-BAL-2021'!R682+'DES-TRIAL-BAL-2021'!R682+'DMP-TRIAL-BAL-2021'!R682</f>
        <v>0</v>
      </c>
      <c r="Z682" s="528">
        <f>+'NF-KSF-TRIAL-BAL-2021'!S682+'RA-TRIAL-BAL-2021'!S682+'DES-TRIAL-BAL-2021'!S682+'DMP-TRIAL-BAL-2021'!S682</f>
        <v>0</v>
      </c>
      <c r="AA682" s="347">
        <f>+'NF-KSF-TRIAL-BAL-2021'!T682+'RA-TRIAL-BAL-2021'!T682+'DES-TRIAL-BAL-2021'!T682+'DMP-TRIAL-BAL-2021'!T682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97">
        <f t="shared" si="319"/>
        <v>7270</v>
      </c>
      <c r="AK682" s="8">
        <v>0</v>
      </c>
      <c r="AL682" s="9">
        <v>0</v>
      </c>
      <c r="AM682" s="326">
        <f>+ROUND(+Q682+X682+AE682,2)</f>
        <v>0</v>
      </c>
      <c r="AN682" s="970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58">
        <f>+ROUND(+SUM(AK682-AL682)-SUM(O682-P682)-SUM(V682-W682)-SUM(AC682-AD682),2)</f>
        <v>0</v>
      </c>
      <c r="AS682" s="359">
        <f>+ROUND(+SUM(AM682-AN682)-SUM(Q682-R682)-SUM(X682-Y682)-SUM(AE682-AF682),2)</f>
        <v>0</v>
      </c>
      <c r="AT682" s="360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25"/>
      <c r="R683" s="324">
        <v>23846.37</v>
      </c>
      <c r="S683" s="27">
        <f t="shared" si="337"/>
        <v>0</v>
      </c>
      <c r="T683" s="28">
        <f t="shared" si="338"/>
        <v>23846.37</v>
      </c>
      <c r="U683" s="51"/>
      <c r="V683" s="541">
        <f>+'NF-KSF-TRIAL-BAL-2021'!O683+'RA-TRIAL-BAL-2021'!O683+'DES-TRIAL-BAL-2021'!O683+'DMP-TRIAL-BAL-2021'!O683</f>
        <v>0</v>
      </c>
      <c r="W683" s="529">
        <f>+'NF-KSF-TRIAL-BAL-2021'!P683+'RA-TRIAL-BAL-2021'!P683+'DES-TRIAL-BAL-2021'!P683+'DMP-TRIAL-BAL-2021'!P683</f>
        <v>0</v>
      </c>
      <c r="X683" s="528">
        <f>+'NF-KSF-TRIAL-BAL-2021'!Q683+'RA-TRIAL-BAL-2021'!Q683+'DES-TRIAL-BAL-2021'!Q683+'DMP-TRIAL-BAL-2021'!Q683</f>
        <v>0</v>
      </c>
      <c r="Y683" s="529">
        <f>+'NF-KSF-TRIAL-BAL-2021'!R683+'RA-TRIAL-BAL-2021'!R683+'DES-TRIAL-BAL-2021'!R683+'DMP-TRIAL-BAL-2021'!R683</f>
        <v>0</v>
      </c>
      <c r="Z683" s="528">
        <f>+'NF-KSF-TRIAL-BAL-2021'!S683+'RA-TRIAL-BAL-2021'!S683+'DES-TRIAL-BAL-2021'!S683+'DMP-TRIAL-BAL-2021'!S683</f>
        <v>0</v>
      </c>
      <c r="AA683" s="347">
        <f>+'NF-KSF-TRIAL-BAL-2021'!T683+'RA-TRIAL-BAL-2021'!T683+'DES-TRIAL-BAL-2021'!T683+'DMP-TRIAL-BAL-2021'!T683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97">
        <f t="shared" si="319"/>
        <v>7271</v>
      </c>
      <c r="AK683" s="8">
        <v>0</v>
      </c>
      <c r="AL683" s="9">
        <v>0</v>
      </c>
      <c r="AM683" s="326">
        <f t="shared" si="341"/>
        <v>0</v>
      </c>
      <c r="AN683" s="970">
        <f t="shared" si="341"/>
        <v>23846.37</v>
      </c>
      <c r="AO683" s="27">
        <f t="shared" si="335"/>
        <v>0</v>
      </c>
      <c r="AP683" s="28">
        <f t="shared" si="336"/>
        <v>23846.37</v>
      </c>
      <c r="AQ683" s="43"/>
      <c r="AR683" s="358">
        <f t="shared" si="330"/>
        <v>0</v>
      </c>
      <c r="AS683" s="359">
        <f t="shared" si="331"/>
        <v>0</v>
      </c>
      <c r="AT683" s="360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25"/>
      <c r="R684" s="324"/>
      <c r="S684" s="27">
        <f t="shared" si="337"/>
        <v>0</v>
      </c>
      <c r="T684" s="28">
        <f t="shared" si="338"/>
        <v>0</v>
      </c>
      <c r="U684" s="51"/>
      <c r="V684" s="541">
        <f>+'NF-KSF-TRIAL-BAL-2021'!O684+'RA-TRIAL-BAL-2021'!O684+'DES-TRIAL-BAL-2021'!O684+'DMP-TRIAL-BAL-2021'!O684</f>
        <v>0</v>
      </c>
      <c r="W684" s="529">
        <f>+'NF-KSF-TRIAL-BAL-2021'!P684+'RA-TRIAL-BAL-2021'!P684+'DES-TRIAL-BAL-2021'!P684+'DMP-TRIAL-BAL-2021'!P684</f>
        <v>0</v>
      </c>
      <c r="X684" s="528">
        <f>+'NF-KSF-TRIAL-BAL-2021'!Q684+'RA-TRIAL-BAL-2021'!Q684+'DES-TRIAL-BAL-2021'!Q684+'DMP-TRIAL-BAL-2021'!Q684</f>
        <v>0</v>
      </c>
      <c r="Y684" s="529">
        <f>+'NF-KSF-TRIAL-BAL-2021'!R684+'RA-TRIAL-BAL-2021'!R684+'DES-TRIAL-BAL-2021'!R684+'DMP-TRIAL-BAL-2021'!R684</f>
        <v>0</v>
      </c>
      <c r="Z684" s="528">
        <f>+'NF-KSF-TRIAL-BAL-2021'!S684+'RA-TRIAL-BAL-2021'!S684+'DES-TRIAL-BAL-2021'!S684+'DMP-TRIAL-BAL-2021'!S684</f>
        <v>0</v>
      </c>
      <c r="AA684" s="347">
        <f>+'NF-KSF-TRIAL-BAL-2021'!T684+'RA-TRIAL-BAL-2021'!T684+'DES-TRIAL-BAL-2021'!T684+'DMP-TRIAL-BAL-2021'!T684</f>
        <v>0</v>
      </c>
      <c r="AB684" s="51"/>
      <c r="AC684" s="8">
        <v>0</v>
      </c>
      <c r="AD684" s="9">
        <v>0</v>
      </c>
      <c r="AE684" s="325"/>
      <c r="AF684" s="324"/>
      <c r="AG684" s="27">
        <f t="shared" si="339"/>
        <v>0</v>
      </c>
      <c r="AH684" s="28">
        <f t="shared" si="340"/>
        <v>0</v>
      </c>
      <c r="AI684" s="51"/>
      <c r="AJ684" s="1497">
        <f>+N684</f>
        <v>7274</v>
      </c>
      <c r="AK684" s="8">
        <v>0</v>
      </c>
      <c r="AL684" s="9">
        <v>0</v>
      </c>
      <c r="AM684" s="326">
        <f t="shared" si="341"/>
        <v>0</v>
      </c>
      <c r="AN684" s="970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58">
        <f t="shared" si="330"/>
        <v>0</v>
      </c>
      <c r="AS684" s="359">
        <f t="shared" si="331"/>
        <v>0</v>
      </c>
      <c r="AT684" s="360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25"/>
      <c r="R685" s="324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41">
        <f>+'NF-KSF-TRIAL-BAL-2021'!O685+'RA-TRIAL-BAL-2021'!O685+'DES-TRIAL-BAL-2021'!O685+'DMP-TRIAL-BAL-2021'!O685</f>
        <v>0</v>
      </c>
      <c r="W685" s="529">
        <f>+'NF-KSF-TRIAL-BAL-2021'!P685+'RA-TRIAL-BAL-2021'!P685+'DES-TRIAL-BAL-2021'!P685+'DMP-TRIAL-BAL-2021'!P685</f>
        <v>0</v>
      </c>
      <c r="X685" s="528">
        <f>+'NF-KSF-TRIAL-BAL-2021'!Q685+'RA-TRIAL-BAL-2021'!Q685+'DES-TRIAL-BAL-2021'!Q685+'DMP-TRIAL-BAL-2021'!Q685</f>
        <v>0</v>
      </c>
      <c r="Y685" s="529">
        <f>+'NF-KSF-TRIAL-BAL-2021'!R685+'RA-TRIAL-BAL-2021'!R685+'DES-TRIAL-BAL-2021'!R685+'DMP-TRIAL-BAL-2021'!R685</f>
        <v>0</v>
      </c>
      <c r="Z685" s="528">
        <f>+'NF-KSF-TRIAL-BAL-2021'!S685+'RA-TRIAL-BAL-2021'!S685+'DES-TRIAL-BAL-2021'!S685+'DMP-TRIAL-BAL-2021'!S685</f>
        <v>0</v>
      </c>
      <c r="AA685" s="347">
        <f>+'NF-KSF-TRIAL-BAL-2021'!T685+'RA-TRIAL-BAL-2021'!T685+'DES-TRIAL-BAL-2021'!T685+'DMP-TRIAL-BAL-2021'!T685</f>
        <v>0</v>
      </c>
      <c r="AB685" s="51"/>
      <c r="AC685" s="8">
        <v>0</v>
      </c>
      <c r="AD685" s="9">
        <v>0</v>
      </c>
      <c r="AE685" s="325"/>
      <c r="AF685" s="324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97">
        <f>+N685</f>
        <v>7275</v>
      </c>
      <c r="AK685" s="8">
        <v>0</v>
      </c>
      <c r="AL685" s="9">
        <v>0</v>
      </c>
      <c r="AM685" s="326">
        <f>+ROUND(+Q685+X685+AE685,2)</f>
        <v>0</v>
      </c>
      <c r="AN685" s="970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58">
        <f>+ROUND(+SUM(AK685-AL685)-SUM(O685-P685)-SUM(V685-W685)-SUM(AC685-AD685),2)</f>
        <v>0</v>
      </c>
      <c r="AS685" s="359">
        <f>+ROUND(+SUM(AM685-AN685)-SUM(Q685-R685)-SUM(X685-Y685)-SUM(AE685-AF685),2)</f>
        <v>0</v>
      </c>
      <c r="AT685" s="360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25"/>
      <c r="R686" s="324"/>
      <c r="S686" s="27">
        <f t="shared" si="337"/>
        <v>0</v>
      </c>
      <c r="T686" s="28">
        <f t="shared" si="338"/>
        <v>0</v>
      </c>
      <c r="U686" s="51"/>
      <c r="V686" s="541">
        <f>+'NF-KSF-TRIAL-BAL-2021'!O686+'RA-TRIAL-BAL-2021'!O686+'DES-TRIAL-BAL-2021'!O686+'DMP-TRIAL-BAL-2021'!O686</f>
        <v>0</v>
      </c>
      <c r="W686" s="529">
        <f>+'NF-KSF-TRIAL-BAL-2021'!P686+'RA-TRIAL-BAL-2021'!P686+'DES-TRIAL-BAL-2021'!P686+'DMP-TRIAL-BAL-2021'!P686</f>
        <v>0</v>
      </c>
      <c r="X686" s="528">
        <f>+'NF-KSF-TRIAL-BAL-2021'!Q686+'RA-TRIAL-BAL-2021'!Q686+'DES-TRIAL-BAL-2021'!Q686+'DMP-TRIAL-BAL-2021'!Q686</f>
        <v>0</v>
      </c>
      <c r="Y686" s="529">
        <f>+'NF-KSF-TRIAL-BAL-2021'!R686+'RA-TRIAL-BAL-2021'!R686+'DES-TRIAL-BAL-2021'!R686+'DMP-TRIAL-BAL-2021'!R686</f>
        <v>0</v>
      </c>
      <c r="Z686" s="528">
        <f>+'NF-KSF-TRIAL-BAL-2021'!S686+'RA-TRIAL-BAL-2021'!S686+'DES-TRIAL-BAL-2021'!S686+'DMP-TRIAL-BAL-2021'!S686</f>
        <v>0</v>
      </c>
      <c r="AA686" s="347">
        <f>+'NF-KSF-TRIAL-BAL-2021'!T686+'RA-TRIAL-BAL-2021'!T686+'DES-TRIAL-BAL-2021'!T686+'DMP-TRIAL-BAL-2021'!T686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97">
        <f t="shared" si="319"/>
        <v>7277</v>
      </c>
      <c r="AK686" s="8">
        <v>0</v>
      </c>
      <c r="AL686" s="9">
        <v>0</v>
      </c>
      <c r="AM686" s="326">
        <f t="shared" si="341"/>
        <v>0</v>
      </c>
      <c r="AN686" s="970">
        <f t="shared" si="341"/>
        <v>0</v>
      </c>
      <c r="AO686" s="27">
        <f t="shared" si="335"/>
        <v>0</v>
      </c>
      <c r="AP686" s="28">
        <f t="shared" si="336"/>
        <v>0</v>
      </c>
      <c r="AQ686" s="43"/>
      <c r="AR686" s="358">
        <f t="shared" si="330"/>
        <v>0</v>
      </c>
      <c r="AS686" s="359">
        <f t="shared" si="331"/>
        <v>0</v>
      </c>
      <c r="AT686" s="360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25"/>
      <c r="R687" s="324"/>
      <c r="S687" s="27">
        <f t="shared" si="337"/>
        <v>0</v>
      </c>
      <c r="T687" s="28">
        <f t="shared" si="338"/>
        <v>0</v>
      </c>
      <c r="U687" s="51"/>
      <c r="V687" s="541">
        <f>+'NF-KSF-TRIAL-BAL-2021'!O687+'RA-TRIAL-BAL-2021'!O687+'DES-TRIAL-BAL-2021'!O687+'DMP-TRIAL-BAL-2021'!O687</f>
        <v>0</v>
      </c>
      <c r="W687" s="529">
        <f>+'NF-KSF-TRIAL-BAL-2021'!P687+'RA-TRIAL-BAL-2021'!P687+'DES-TRIAL-BAL-2021'!P687+'DMP-TRIAL-BAL-2021'!P687</f>
        <v>0</v>
      </c>
      <c r="X687" s="528">
        <f>+'NF-KSF-TRIAL-BAL-2021'!Q687+'RA-TRIAL-BAL-2021'!Q687+'DES-TRIAL-BAL-2021'!Q687+'DMP-TRIAL-BAL-2021'!Q687</f>
        <v>0</v>
      </c>
      <c r="Y687" s="529">
        <f>+'NF-KSF-TRIAL-BAL-2021'!R687+'RA-TRIAL-BAL-2021'!R687+'DES-TRIAL-BAL-2021'!R687+'DMP-TRIAL-BAL-2021'!R687</f>
        <v>0</v>
      </c>
      <c r="Z687" s="528">
        <f>+'NF-KSF-TRIAL-BAL-2021'!S687+'RA-TRIAL-BAL-2021'!S687+'DES-TRIAL-BAL-2021'!S687+'DMP-TRIAL-BAL-2021'!S687</f>
        <v>0</v>
      </c>
      <c r="AA687" s="347">
        <f>+'NF-KSF-TRIAL-BAL-2021'!T687+'RA-TRIAL-BAL-2021'!T687+'DES-TRIAL-BAL-2021'!T687+'DMP-TRIAL-BAL-2021'!T687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97">
        <f t="shared" si="319"/>
        <v>7278</v>
      </c>
      <c r="AK687" s="8">
        <v>0</v>
      </c>
      <c r="AL687" s="9">
        <v>0</v>
      </c>
      <c r="AM687" s="326">
        <f t="shared" si="341"/>
        <v>0</v>
      </c>
      <c r="AN687" s="970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58">
        <f t="shared" si="330"/>
        <v>0</v>
      </c>
      <c r="AS687" s="359">
        <f t="shared" si="331"/>
        <v>0</v>
      </c>
      <c r="AT687" s="360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25"/>
      <c r="R688" s="324"/>
      <c r="S688" s="27">
        <f t="shared" si="337"/>
        <v>0</v>
      </c>
      <c r="T688" s="28">
        <f t="shared" si="338"/>
        <v>0</v>
      </c>
      <c r="U688" s="51"/>
      <c r="V688" s="541">
        <f>+'NF-KSF-TRIAL-BAL-2021'!O688+'RA-TRIAL-BAL-2021'!O688+'DES-TRIAL-BAL-2021'!O688+'DMP-TRIAL-BAL-2021'!O688</f>
        <v>0</v>
      </c>
      <c r="W688" s="529">
        <f>+'NF-KSF-TRIAL-BAL-2021'!P688+'RA-TRIAL-BAL-2021'!P688+'DES-TRIAL-BAL-2021'!P688+'DMP-TRIAL-BAL-2021'!P688</f>
        <v>0</v>
      </c>
      <c r="X688" s="528">
        <f>+'NF-KSF-TRIAL-BAL-2021'!Q688+'RA-TRIAL-BAL-2021'!Q688+'DES-TRIAL-BAL-2021'!Q688+'DMP-TRIAL-BAL-2021'!Q688</f>
        <v>0</v>
      </c>
      <c r="Y688" s="529">
        <f>+'NF-KSF-TRIAL-BAL-2021'!R688+'RA-TRIAL-BAL-2021'!R688+'DES-TRIAL-BAL-2021'!R688+'DMP-TRIAL-BAL-2021'!R688</f>
        <v>0</v>
      </c>
      <c r="Z688" s="528">
        <f>+'NF-KSF-TRIAL-BAL-2021'!S688+'RA-TRIAL-BAL-2021'!S688+'DES-TRIAL-BAL-2021'!S688+'DMP-TRIAL-BAL-2021'!S688</f>
        <v>0</v>
      </c>
      <c r="AA688" s="347">
        <f>+'NF-KSF-TRIAL-BAL-2021'!T688+'RA-TRIAL-BAL-2021'!T688+'DES-TRIAL-BAL-2021'!T688+'DMP-TRIAL-BAL-2021'!T688</f>
        <v>0</v>
      </c>
      <c r="AB688" s="51"/>
      <c r="AC688" s="8">
        <v>0</v>
      </c>
      <c r="AD688" s="9">
        <v>0</v>
      </c>
      <c r="AE688" s="325"/>
      <c r="AF688" s="324"/>
      <c r="AG688" s="27">
        <f t="shared" si="339"/>
        <v>0</v>
      </c>
      <c r="AH688" s="28">
        <f t="shared" si="340"/>
        <v>0</v>
      </c>
      <c r="AI688" s="51"/>
      <c r="AJ688" s="1497">
        <f t="shared" si="319"/>
        <v>7282</v>
      </c>
      <c r="AK688" s="8">
        <v>0</v>
      </c>
      <c r="AL688" s="9">
        <v>0</v>
      </c>
      <c r="AM688" s="326">
        <f t="shared" si="341"/>
        <v>0</v>
      </c>
      <c r="AN688" s="970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58">
        <f t="shared" si="330"/>
        <v>0</v>
      </c>
      <c r="AS688" s="359">
        <f t="shared" si="331"/>
        <v>0</v>
      </c>
      <c r="AT688" s="360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25"/>
      <c r="R689" s="324"/>
      <c r="S689" s="27">
        <f t="shared" si="337"/>
        <v>0</v>
      </c>
      <c r="T689" s="28">
        <f t="shared" si="338"/>
        <v>0</v>
      </c>
      <c r="U689" s="51"/>
      <c r="V689" s="541">
        <f>+'NF-KSF-TRIAL-BAL-2021'!O689+'RA-TRIAL-BAL-2021'!O689+'DES-TRIAL-BAL-2021'!O689+'DMP-TRIAL-BAL-2021'!O689</f>
        <v>0</v>
      </c>
      <c r="W689" s="529">
        <f>+'NF-KSF-TRIAL-BAL-2021'!P689+'RA-TRIAL-BAL-2021'!P689+'DES-TRIAL-BAL-2021'!P689+'DMP-TRIAL-BAL-2021'!P689</f>
        <v>0</v>
      </c>
      <c r="X689" s="528">
        <f>+'NF-KSF-TRIAL-BAL-2021'!Q689+'RA-TRIAL-BAL-2021'!Q689+'DES-TRIAL-BAL-2021'!Q689+'DMP-TRIAL-BAL-2021'!Q689</f>
        <v>0</v>
      </c>
      <c r="Y689" s="529">
        <f>+'NF-KSF-TRIAL-BAL-2021'!R689+'RA-TRIAL-BAL-2021'!R689+'DES-TRIAL-BAL-2021'!R689+'DMP-TRIAL-BAL-2021'!R689</f>
        <v>0</v>
      </c>
      <c r="Z689" s="528">
        <f>+'NF-KSF-TRIAL-BAL-2021'!S689+'RA-TRIAL-BAL-2021'!S689+'DES-TRIAL-BAL-2021'!S689+'DMP-TRIAL-BAL-2021'!S689</f>
        <v>0</v>
      </c>
      <c r="AA689" s="347">
        <f>+'NF-KSF-TRIAL-BAL-2021'!T689+'RA-TRIAL-BAL-2021'!T689+'DES-TRIAL-BAL-2021'!T689+'DMP-TRIAL-BAL-2021'!T689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97">
        <f t="shared" si="319"/>
        <v>7289</v>
      </c>
      <c r="AK689" s="8">
        <v>0</v>
      </c>
      <c r="AL689" s="9">
        <v>0</v>
      </c>
      <c r="AM689" s="326">
        <f t="shared" si="341"/>
        <v>0</v>
      </c>
      <c r="AN689" s="970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58">
        <f t="shared" si="330"/>
        <v>0</v>
      </c>
      <c r="AS689" s="359">
        <f t="shared" si="331"/>
        <v>0</v>
      </c>
      <c r="AT689" s="360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25"/>
      <c r="R690" s="324"/>
      <c r="S690" s="27">
        <f t="shared" si="337"/>
        <v>0</v>
      </c>
      <c r="T690" s="28">
        <f t="shared" si="338"/>
        <v>0</v>
      </c>
      <c r="U690" s="51"/>
      <c r="V690" s="541">
        <f>+'NF-KSF-TRIAL-BAL-2021'!O690+'RA-TRIAL-BAL-2021'!O690+'DES-TRIAL-BAL-2021'!O690+'DMP-TRIAL-BAL-2021'!O690</f>
        <v>0</v>
      </c>
      <c r="W690" s="529">
        <f>+'NF-KSF-TRIAL-BAL-2021'!P690+'RA-TRIAL-BAL-2021'!P690+'DES-TRIAL-BAL-2021'!P690+'DMP-TRIAL-BAL-2021'!P690</f>
        <v>0</v>
      </c>
      <c r="X690" s="528">
        <f>+'NF-KSF-TRIAL-BAL-2021'!Q690+'RA-TRIAL-BAL-2021'!Q690+'DES-TRIAL-BAL-2021'!Q690+'DMP-TRIAL-BAL-2021'!Q690</f>
        <v>0</v>
      </c>
      <c r="Y690" s="529">
        <f>+'NF-KSF-TRIAL-BAL-2021'!R690+'RA-TRIAL-BAL-2021'!R690+'DES-TRIAL-BAL-2021'!R690+'DMP-TRIAL-BAL-2021'!R690</f>
        <v>0</v>
      </c>
      <c r="Z690" s="528">
        <f>+'NF-KSF-TRIAL-BAL-2021'!S690+'RA-TRIAL-BAL-2021'!S690+'DES-TRIAL-BAL-2021'!S690+'DMP-TRIAL-BAL-2021'!S690</f>
        <v>0</v>
      </c>
      <c r="AA690" s="347">
        <f>+'NF-KSF-TRIAL-BAL-2021'!T690+'RA-TRIAL-BAL-2021'!T690+'DES-TRIAL-BAL-2021'!T690+'DMP-TRIAL-BAL-2021'!T690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97">
        <f t="shared" si="319"/>
        <v>7291</v>
      </c>
      <c r="AK690" s="8">
        <v>0</v>
      </c>
      <c r="AL690" s="9">
        <v>0</v>
      </c>
      <c r="AM690" s="326">
        <f t="shared" si="341"/>
        <v>0</v>
      </c>
      <c r="AN690" s="970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58">
        <f t="shared" si="330"/>
        <v>0</v>
      </c>
      <c r="AS690" s="359">
        <f t="shared" si="331"/>
        <v>0</v>
      </c>
      <c r="AT690" s="360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25"/>
      <c r="R691" s="324"/>
      <c r="S691" s="27">
        <f t="shared" si="337"/>
        <v>0</v>
      </c>
      <c r="T691" s="28">
        <f t="shared" si="338"/>
        <v>0</v>
      </c>
      <c r="U691" s="51"/>
      <c r="V691" s="541">
        <f>+'NF-KSF-TRIAL-BAL-2021'!O691+'RA-TRIAL-BAL-2021'!O691+'DES-TRIAL-BAL-2021'!O691+'DMP-TRIAL-BAL-2021'!O691</f>
        <v>0</v>
      </c>
      <c r="W691" s="529">
        <f>+'NF-KSF-TRIAL-BAL-2021'!P691+'RA-TRIAL-BAL-2021'!P691+'DES-TRIAL-BAL-2021'!P691+'DMP-TRIAL-BAL-2021'!P691</f>
        <v>0</v>
      </c>
      <c r="X691" s="528">
        <f>+'NF-KSF-TRIAL-BAL-2021'!Q691+'RA-TRIAL-BAL-2021'!Q691+'DES-TRIAL-BAL-2021'!Q691+'DMP-TRIAL-BAL-2021'!Q691</f>
        <v>0</v>
      </c>
      <c r="Y691" s="529">
        <f>+'NF-KSF-TRIAL-BAL-2021'!R691+'RA-TRIAL-BAL-2021'!R691+'DES-TRIAL-BAL-2021'!R691+'DMP-TRIAL-BAL-2021'!R691</f>
        <v>0</v>
      </c>
      <c r="Z691" s="528">
        <f>+'NF-KSF-TRIAL-BAL-2021'!S691+'RA-TRIAL-BAL-2021'!S691+'DES-TRIAL-BAL-2021'!S691+'DMP-TRIAL-BAL-2021'!S691</f>
        <v>0</v>
      </c>
      <c r="AA691" s="347">
        <f>+'NF-KSF-TRIAL-BAL-2021'!T691+'RA-TRIAL-BAL-2021'!T691+'DES-TRIAL-BAL-2021'!T691+'DMP-TRIAL-BAL-2021'!T691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97">
        <f t="shared" si="319"/>
        <v>7292</v>
      </c>
      <c r="AK691" s="8">
        <v>0</v>
      </c>
      <c r="AL691" s="9">
        <v>0</v>
      </c>
      <c r="AM691" s="326">
        <f t="shared" si="341"/>
        <v>0</v>
      </c>
      <c r="AN691" s="970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58">
        <f t="shared" si="330"/>
        <v>0</v>
      </c>
      <c r="AS691" s="359">
        <f t="shared" si="331"/>
        <v>0</v>
      </c>
      <c r="AT691" s="360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25"/>
      <c r="R692" s="324"/>
      <c r="S692" s="27">
        <f t="shared" si="337"/>
        <v>0</v>
      </c>
      <c r="T692" s="28">
        <f t="shared" si="338"/>
        <v>0</v>
      </c>
      <c r="U692" s="51"/>
      <c r="V692" s="541">
        <f>+'NF-KSF-TRIAL-BAL-2021'!O692+'RA-TRIAL-BAL-2021'!O692+'DES-TRIAL-BAL-2021'!O692+'DMP-TRIAL-BAL-2021'!O692</f>
        <v>0</v>
      </c>
      <c r="W692" s="529">
        <f>+'NF-KSF-TRIAL-BAL-2021'!P692+'RA-TRIAL-BAL-2021'!P692+'DES-TRIAL-BAL-2021'!P692+'DMP-TRIAL-BAL-2021'!P692</f>
        <v>0</v>
      </c>
      <c r="X692" s="528">
        <f>+'NF-KSF-TRIAL-BAL-2021'!Q692+'RA-TRIAL-BAL-2021'!Q692+'DES-TRIAL-BAL-2021'!Q692+'DMP-TRIAL-BAL-2021'!Q692</f>
        <v>0</v>
      </c>
      <c r="Y692" s="529">
        <f>+'NF-KSF-TRIAL-BAL-2021'!R692+'RA-TRIAL-BAL-2021'!R692+'DES-TRIAL-BAL-2021'!R692+'DMP-TRIAL-BAL-2021'!R692</f>
        <v>0</v>
      </c>
      <c r="Z692" s="528">
        <f>+'NF-KSF-TRIAL-BAL-2021'!S692+'RA-TRIAL-BAL-2021'!S692+'DES-TRIAL-BAL-2021'!S692+'DMP-TRIAL-BAL-2021'!S692</f>
        <v>0</v>
      </c>
      <c r="AA692" s="347">
        <f>+'NF-KSF-TRIAL-BAL-2021'!T692+'RA-TRIAL-BAL-2021'!T692+'DES-TRIAL-BAL-2021'!T692+'DMP-TRIAL-BAL-2021'!T692</f>
        <v>0</v>
      </c>
      <c r="AB692" s="51"/>
      <c r="AC692" s="8">
        <v>0</v>
      </c>
      <c r="AD692" s="9">
        <v>0</v>
      </c>
      <c r="AE692" s="325"/>
      <c r="AF692" s="324"/>
      <c r="AG692" s="27">
        <f t="shared" si="339"/>
        <v>0</v>
      </c>
      <c r="AH692" s="28">
        <f t="shared" si="340"/>
        <v>0</v>
      </c>
      <c r="AI692" s="51"/>
      <c r="AJ692" s="1497">
        <f t="shared" si="319"/>
        <v>7298</v>
      </c>
      <c r="AK692" s="8">
        <v>0</v>
      </c>
      <c r="AL692" s="9">
        <v>0</v>
      </c>
      <c r="AM692" s="326">
        <f t="shared" si="341"/>
        <v>0</v>
      </c>
      <c r="AN692" s="970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58">
        <f t="shared" si="330"/>
        <v>0</v>
      </c>
      <c r="AS692" s="359">
        <f t="shared" si="331"/>
        <v>0</v>
      </c>
      <c r="AT692" s="360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25"/>
      <c r="R693" s="324"/>
      <c r="S693" s="27">
        <f t="shared" si="337"/>
        <v>0</v>
      </c>
      <c r="T693" s="28">
        <f t="shared" si="338"/>
        <v>0</v>
      </c>
      <c r="U693" s="51"/>
      <c r="V693" s="541">
        <f>+'NF-KSF-TRIAL-BAL-2021'!O693+'RA-TRIAL-BAL-2021'!O693+'DES-TRIAL-BAL-2021'!O693+'DMP-TRIAL-BAL-2021'!O693</f>
        <v>0</v>
      </c>
      <c r="W693" s="529">
        <f>+'NF-KSF-TRIAL-BAL-2021'!P693+'RA-TRIAL-BAL-2021'!P693+'DES-TRIAL-BAL-2021'!P693+'DMP-TRIAL-BAL-2021'!P693</f>
        <v>0</v>
      </c>
      <c r="X693" s="528">
        <f>+'NF-KSF-TRIAL-BAL-2021'!Q693+'RA-TRIAL-BAL-2021'!Q693+'DES-TRIAL-BAL-2021'!Q693+'DMP-TRIAL-BAL-2021'!Q693</f>
        <v>0</v>
      </c>
      <c r="Y693" s="529">
        <f>+'NF-KSF-TRIAL-BAL-2021'!R693+'RA-TRIAL-BAL-2021'!R693+'DES-TRIAL-BAL-2021'!R693+'DMP-TRIAL-BAL-2021'!R693</f>
        <v>0</v>
      </c>
      <c r="Z693" s="528">
        <f>+'NF-KSF-TRIAL-BAL-2021'!S693+'RA-TRIAL-BAL-2021'!S693+'DES-TRIAL-BAL-2021'!S693+'DMP-TRIAL-BAL-2021'!S693</f>
        <v>0</v>
      </c>
      <c r="AA693" s="347">
        <f>+'NF-KSF-TRIAL-BAL-2021'!T693+'RA-TRIAL-BAL-2021'!T693+'DES-TRIAL-BAL-2021'!T693+'DMP-TRIAL-BAL-2021'!T693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97">
        <f t="shared" si="319"/>
        <v>7311</v>
      </c>
      <c r="AK693" s="8">
        <v>0</v>
      </c>
      <c r="AL693" s="9">
        <v>0</v>
      </c>
      <c r="AM693" s="326">
        <f t="shared" si="341"/>
        <v>0</v>
      </c>
      <c r="AN693" s="970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58">
        <f t="shared" si="330"/>
        <v>0</v>
      </c>
      <c r="AS693" s="359">
        <f t="shared" si="331"/>
        <v>0</v>
      </c>
      <c r="AT693" s="360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25"/>
      <c r="R694" s="324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41">
        <f>+'NF-KSF-TRIAL-BAL-2021'!O694+'RA-TRIAL-BAL-2021'!O694+'DES-TRIAL-BAL-2021'!O694+'DMP-TRIAL-BAL-2021'!O694</f>
        <v>0</v>
      </c>
      <c r="W694" s="529">
        <f>+'NF-KSF-TRIAL-BAL-2021'!P694+'RA-TRIAL-BAL-2021'!P694+'DES-TRIAL-BAL-2021'!P694+'DMP-TRIAL-BAL-2021'!P694</f>
        <v>0</v>
      </c>
      <c r="X694" s="528">
        <f>+'NF-KSF-TRIAL-BAL-2021'!Q694+'RA-TRIAL-BAL-2021'!Q694+'DES-TRIAL-BAL-2021'!Q694+'DMP-TRIAL-BAL-2021'!Q694</f>
        <v>0</v>
      </c>
      <c r="Y694" s="529">
        <f>+'NF-KSF-TRIAL-BAL-2021'!R694+'RA-TRIAL-BAL-2021'!R694+'DES-TRIAL-BAL-2021'!R694+'DMP-TRIAL-BAL-2021'!R694</f>
        <v>0</v>
      </c>
      <c r="Z694" s="528">
        <f>+'NF-KSF-TRIAL-BAL-2021'!S694+'RA-TRIAL-BAL-2021'!S694+'DES-TRIAL-BAL-2021'!S694+'DMP-TRIAL-BAL-2021'!S694</f>
        <v>0</v>
      </c>
      <c r="AA694" s="347">
        <f>+'NF-KSF-TRIAL-BAL-2021'!T694+'RA-TRIAL-BAL-2021'!T694+'DES-TRIAL-BAL-2021'!T694+'DMP-TRIAL-BAL-2021'!T694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97">
        <f>+N694</f>
        <v>7313</v>
      </c>
      <c r="AK694" s="8">
        <v>0</v>
      </c>
      <c r="AL694" s="9">
        <v>0</v>
      </c>
      <c r="AM694" s="326">
        <f>+ROUND(+Q694+X694+AE694,2)</f>
        <v>0</v>
      </c>
      <c r="AN694" s="970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58">
        <f>+ROUND(+SUM(AK694-AL694)-SUM(O694-P694)-SUM(V694-W694)-SUM(AC694-AD694),2)</f>
        <v>0</v>
      </c>
      <c r="AS694" s="359">
        <f>+ROUND(+SUM(AM694-AN694)-SUM(Q694-R694)-SUM(X694-Y694)-SUM(AE694-AF694),2)</f>
        <v>0</v>
      </c>
      <c r="AT694" s="360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25"/>
      <c r="R695" s="324"/>
      <c r="S695" s="27">
        <f t="shared" si="337"/>
        <v>0</v>
      </c>
      <c r="T695" s="28">
        <f t="shared" si="338"/>
        <v>0</v>
      </c>
      <c r="U695" s="51"/>
      <c r="V695" s="541">
        <f>+'NF-KSF-TRIAL-BAL-2021'!O695+'RA-TRIAL-BAL-2021'!O695+'DES-TRIAL-BAL-2021'!O695+'DMP-TRIAL-BAL-2021'!O695</f>
        <v>0</v>
      </c>
      <c r="W695" s="529">
        <f>+'NF-KSF-TRIAL-BAL-2021'!P695+'RA-TRIAL-BAL-2021'!P695+'DES-TRIAL-BAL-2021'!P695+'DMP-TRIAL-BAL-2021'!P695</f>
        <v>0</v>
      </c>
      <c r="X695" s="528">
        <f>+'NF-KSF-TRIAL-BAL-2021'!Q695+'RA-TRIAL-BAL-2021'!Q695+'DES-TRIAL-BAL-2021'!Q695+'DMP-TRIAL-BAL-2021'!Q695</f>
        <v>0</v>
      </c>
      <c r="Y695" s="529">
        <f>+'NF-KSF-TRIAL-BAL-2021'!R695+'RA-TRIAL-BAL-2021'!R695+'DES-TRIAL-BAL-2021'!R695+'DMP-TRIAL-BAL-2021'!R695</f>
        <v>0</v>
      </c>
      <c r="Z695" s="528">
        <f>+'NF-KSF-TRIAL-BAL-2021'!S695+'RA-TRIAL-BAL-2021'!S695+'DES-TRIAL-BAL-2021'!S695+'DMP-TRIAL-BAL-2021'!S695</f>
        <v>0</v>
      </c>
      <c r="AA695" s="347">
        <f>+'NF-KSF-TRIAL-BAL-2021'!T695+'RA-TRIAL-BAL-2021'!T695+'DES-TRIAL-BAL-2021'!T695+'DMP-TRIAL-BAL-2021'!T695</f>
        <v>0</v>
      </c>
      <c r="AB695" s="51"/>
      <c r="AC695" s="8">
        <v>0</v>
      </c>
      <c r="AD695" s="9">
        <v>0</v>
      </c>
      <c r="AE695" s="325"/>
      <c r="AF695" s="324"/>
      <c r="AG695" s="27">
        <f t="shared" si="339"/>
        <v>0</v>
      </c>
      <c r="AH695" s="28">
        <f t="shared" si="340"/>
        <v>0</v>
      </c>
      <c r="AI695" s="51"/>
      <c r="AJ695" s="1497">
        <f t="shared" si="319"/>
        <v>7319</v>
      </c>
      <c r="AK695" s="8">
        <v>0</v>
      </c>
      <c r="AL695" s="9">
        <v>0</v>
      </c>
      <c r="AM695" s="326">
        <f t="shared" si="341"/>
        <v>0</v>
      </c>
      <c r="AN695" s="970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58">
        <f t="shared" si="330"/>
        <v>0</v>
      </c>
      <c r="AS695" s="359">
        <f t="shared" si="331"/>
        <v>0</v>
      </c>
      <c r="AT695" s="360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25"/>
      <c r="R696" s="324"/>
      <c r="S696" s="27">
        <f t="shared" si="337"/>
        <v>0</v>
      </c>
      <c r="T696" s="28">
        <f t="shared" si="338"/>
        <v>0</v>
      </c>
      <c r="U696" s="51"/>
      <c r="V696" s="541">
        <f>+'NF-KSF-TRIAL-BAL-2021'!O696+'RA-TRIAL-BAL-2021'!O696+'DES-TRIAL-BAL-2021'!O696+'DMP-TRIAL-BAL-2021'!O696</f>
        <v>0</v>
      </c>
      <c r="W696" s="529">
        <f>+'NF-KSF-TRIAL-BAL-2021'!P696+'RA-TRIAL-BAL-2021'!P696+'DES-TRIAL-BAL-2021'!P696+'DMP-TRIAL-BAL-2021'!P696</f>
        <v>0</v>
      </c>
      <c r="X696" s="528">
        <f>+'NF-KSF-TRIAL-BAL-2021'!Q696+'RA-TRIAL-BAL-2021'!Q696+'DES-TRIAL-BAL-2021'!Q696+'DMP-TRIAL-BAL-2021'!Q696</f>
        <v>0</v>
      </c>
      <c r="Y696" s="529">
        <f>+'NF-KSF-TRIAL-BAL-2021'!R696+'RA-TRIAL-BAL-2021'!R696+'DES-TRIAL-BAL-2021'!R696+'DMP-TRIAL-BAL-2021'!R696</f>
        <v>0</v>
      </c>
      <c r="Z696" s="528">
        <f>+'NF-KSF-TRIAL-BAL-2021'!S696+'RA-TRIAL-BAL-2021'!S696+'DES-TRIAL-BAL-2021'!S696+'DMP-TRIAL-BAL-2021'!S696</f>
        <v>0</v>
      </c>
      <c r="AA696" s="347">
        <f>+'NF-KSF-TRIAL-BAL-2021'!T696+'RA-TRIAL-BAL-2021'!T696+'DES-TRIAL-BAL-2021'!T696+'DMP-TRIAL-BAL-2021'!T696</f>
        <v>0</v>
      </c>
      <c r="AB696" s="51"/>
      <c r="AC696" s="8">
        <v>0</v>
      </c>
      <c r="AD696" s="9">
        <v>0</v>
      </c>
      <c r="AE696" s="325"/>
      <c r="AF696" s="324"/>
      <c r="AG696" s="27">
        <f t="shared" si="339"/>
        <v>0</v>
      </c>
      <c r="AH696" s="28">
        <f t="shared" si="340"/>
        <v>0</v>
      </c>
      <c r="AI696" s="51"/>
      <c r="AJ696" s="1497">
        <f t="shared" si="319"/>
        <v>7381</v>
      </c>
      <c r="AK696" s="8">
        <v>0</v>
      </c>
      <c r="AL696" s="9">
        <v>0</v>
      </c>
      <c r="AM696" s="326">
        <f t="shared" si="341"/>
        <v>0</v>
      </c>
      <c r="AN696" s="970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58">
        <f t="shared" si="330"/>
        <v>0</v>
      </c>
      <c r="AS696" s="359">
        <f t="shared" si="331"/>
        <v>0</v>
      </c>
      <c r="AT696" s="360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25"/>
      <c r="R697" s="324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41">
        <f>+'NF-KSF-TRIAL-BAL-2021'!O697+'RA-TRIAL-BAL-2021'!O697+'DES-TRIAL-BAL-2021'!O697+'DMP-TRIAL-BAL-2021'!O697</f>
        <v>0</v>
      </c>
      <c r="W697" s="529">
        <f>+'NF-KSF-TRIAL-BAL-2021'!P697+'RA-TRIAL-BAL-2021'!P697+'DES-TRIAL-BAL-2021'!P697+'DMP-TRIAL-BAL-2021'!P697</f>
        <v>0</v>
      </c>
      <c r="X697" s="528">
        <f>+'NF-KSF-TRIAL-BAL-2021'!Q697+'RA-TRIAL-BAL-2021'!Q697+'DES-TRIAL-BAL-2021'!Q697+'DMP-TRIAL-BAL-2021'!Q697</f>
        <v>0</v>
      </c>
      <c r="Y697" s="529">
        <f>+'NF-KSF-TRIAL-BAL-2021'!R697+'RA-TRIAL-BAL-2021'!R697+'DES-TRIAL-BAL-2021'!R697+'DMP-TRIAL-BAL-2021'!R697</f>
        <v>0</v>
      </c>
      <c r="Z697" s="528">
        <f>+'NF-KSF-TRIAL-BAL-2021'!S697+'RA-TRIAL-BAL-2021'!S697+'DES-TRIAL-BAL-2021'!S697+'DMP-TRIAL-BAL-2021'!S697</f>
        <v>0</v>
      </c>
      <c r="AA697" s="347">
        <f>+'NF-KSF-TRIAL-BAL-2021'!T697+'RA-TRIAL-BAL-2021'!T697+'DES-TRIAL-BAL-2021'!T697+'DMP-TRIAL-BAL-2021'!T697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97">
        <f t="shared" si="319"/>
        <v>7382</v>
      </c>
      <c r="AK697" s="8">
        <v>0</v>
      </c>
      <c r="AL697" s="9">
        <v>0</v>
      </c>
      <c r="AM697" s="326">
        <f t="shared" si="341"/>
        <v>0</v>
      </c>
      <c r="AN697" s="970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58">
        <f t="shared" si="330"/>
        <v>0</v>
      </c>
      <c r="AS697" s="359">
        <f t="shared" si="331"/>
        <v>0</v>
      </c>
      <c r="AT697" s="360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25"/>
      <c r="R698" s="324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41">
        <f>+'NF-KSF-TRIAL-BAL-2021'!O698+'RA-TRIAL-BAL-2021'!O698+'DES-TRIAL-BAL-2021'!O698+'DMP-TRIAL-BAL-2021'!O698</f>
        <v>0</v>
      </c>
      <c r="W698" s="529">
        <f>+'NF-KSF-TRIAL-BAL-2021'!P698+'RA-TRIAL-BAL-2021'!P698+'DES-TRIAL-BAL-2021'!P698+'DMP-TRIAL-BAL-2021'!P698</f>
        <v>0</v>
      </c>
      <c r="X698" s="528">
        <f>+'NF-KSF-TRIAL-BAL-2021'!Q698+'RA-TRIAL-BAL-2021'!Q698+'DES-TRIAL-BAL-2021'!Q698+'DMP-TRIAL-BAL-2021'!Q698</f>
        <v>0</v>
      </c>
      <c r="Y698" s="529">
        <f>+'NF-KSF-TRIAL-BAL-2021'!R698+'RA-TRIAL-BAL-2021'!R698+'DES-TRIAL-BAL-2021'!R698+'DMP-TRIAL-BAL-2021'!R698</f>
        <v>0</v>
      </c>
      <c r="Z698" s="528">
        <f>+'NF-KSF-TRIAL-BAL-2021'!S698+'RA-TRIAL-BAL-2021'!S698+'DES-TRIAL-BAL-2021'!S698+'DMP-TRIAL-BAL-2021'!S698</f>
        <v>0</v>
      </c>
      <c r="AA698" s="347">
        <f>+'NF-KSF-TRIAL-BAL-2021'!T698+'RA-TRIAL-BAL-2021'!T698+'DES-TRIAL-BAL-2021'!T698+'DMP-TRIAL-BAL-2021'!T698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97">
        <f t="shared" si="319"/>
        <v>7383</v>
      </c>
      <c r="AK698" s="8">
        <v>0</v>
      </c>
      <c r="AL698" s="9">
        <v>0</v>
      </c>
      <c r="AM698" s="326">
        <f t="shared" si="341"/>
        <v>0</v>
      </c>
      <c r="AN698" s="970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58">
        <f t="shared" si="330"/>
        <v>0</v>
      </c>
      <c r="AS698" s="359">
        <f t="shared" si="331"/>
        <v>0</v>
      </c>
      <c r="AT698" s="360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25"/>
      <c r="R699" s="324"/>
      <c r="S699" s="27">
        <f t="shared" si="342"/>
        <v>0</v>
      </c>
      <c r="T699" s="28">
        <f t="shared" si="344"/>
        <v>0</v>
      </c>
      <c r="U699" s="51"/>
      <c r="V699" s="541">
        <f>+'NF-KSF-TRIAL-BAL-2021'!O699+'RA-TRIAL-BAL-2021'!O699+'DES-TRIAL-BAL-2021'!O699+'DMP-TRIAL-BAL-2021'!O699</f>
        <v>0</v>
      </c>
      <c r="W699" s="529">
        <f>+'NF-KSF-TRIAL-BAL-2021'!P699+'RA-TRIAL-BAL-2021'!P699+'DES-TRIAL-BAL-2021'!P699+'DMP-TRIAL-BAL-2021'!P699</f>
        <v>0</v>
      </c>
      <c r="X699" s="528">
        <f>+'NF-KSF-TRIAL-BAL-2021'!Q699+'RA-TRIAL-BAL-2021'!Q699+'DES-TRIAL-BAL-2021'!Q699+'DMP-TRIAL-BAL-2021'!Q699</f>
        <v>0</v>
      </c>
      <c r="Y699" s="529">
        <f>+'NF-KSF-TRIAL-BAL-2021'!R699+'RA-TRIAL-BAL-2021'!R699+'DES-TRIAL-BAL-2021'!R699+'DMP-TRIAL-BAL-2021'!R699</f>
        <v>0</v>
      </c>
      <c r="Z699" s="528">
        <f>+'NF-KSF-TRIAL-BAL-2021'!S699+'RA-TRIAL-BAL-2021'!S699+'DES-TRIAL-BAL-2021'!S699+'DMP-TRIAL-BAL-2021'!S699</f>
        <v>0</v>
      </c>
      <c r="AA699" s="347">
        <f>+'NF-KSF-TRIAL-BAL-2021'!T699+'RA-TRIAL-BAL-2021'!T699+'DES-TRIAL-BAL-2021'!T699+'DMP-TRIAL-BAL-2021'!T699</f>
        <v>0</v>
      </c>
      <c r="AB699" s="51"/>
      <c r="AC699" s="8">
        <v>0</v>
      </c>
      <c r="AD699" s="9">
        <v>0</v>
      </c>
      <c r="AE699" s="325"/>
      <c r="AF699" s="324"/>
      <c r="AG699" s="27">
        <f t="shared" si="343"/>
        <v>0</v>
      </c>
      <c r="AH699" s="28">
        <f t="shared" si="345"/>
        <v>0</v>
      </c>
      <c r="AI699" s="51"/>
      <c r="AJ699" s="1497">
        <f>+N699</f>
        <v>7384</v>
      </c>
      <c r="AK699" s="8">
        <v>0</v>
      </c>
      <c r="AL699" s="9">
        <v>0</v>
      </c>
      <c r="AM699" s="326">
        <f t="shared" ref="AM699:AN703" si="346">+ROUND(+Q699+X699+AE699,2)</f>
        <v>0</v>
      </c>
      <c r="AN699" s="970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58">
        <f>+ROUND(+SUM(AK699-AL699)-SUM(O699-P699)-SUM(V699-W699)-SUM(AC699-AD699),2)</f>
        <v>0</v>
      </c>
      <c r="AS699" s="359">
        <f>+ROUND(+SUM(AM699-AN699)-SUM(Q699-R699)-SUM(X699-Y699)-SUM(AE699-AF699),2)</f>
        <v>0</v>
      </c>
      <c r="AT699" s="360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25"/>
      <c r="R700" s="324"/>
      <c r="S700" s="27">
        <f t="shared" si="342"/>
        <v>0</v>
      </c>
      <c r="T700" s="28">
        <f t="shared" si="344"/>
        <v>0</v>
      </c>
      <c r="U700" s="51"/>
      <c r="V700" s="541">
        <f>+'NF-KSF-TRIAL-BAL-2021'!O700+'RA-TRIAL-BAL-2021'!O700+'DES-TRIAL-BAL-2021'!O700+'DMP-TRIAL-BAL-2021'!O700</f>
        <v>0</v>
      </c>
      <c r="W700" s="529">
        <f>+'NF-KSF-TRIAL-BAL-2021'!P700+'RA-TRIAL-BAL-2021'!P700+'DES-TRIAL-BAL-2021'!P700+'DMP-TRIAL-BAL-2021'!P700</f>
        <v>0</v>
      </c>
      <c r="X700" s="528">
        <f>+'NF-KSF-TRIAL-BAL-2021'!Q700+'RA-TRIAL-BAL-2021'!Q700+'DES-TRIAL-BAL-2021'!Q700+'DMP-TRIAL-BAL-2021'!Q700</f>
        <v>0</v>
      </c>
      <c r="Y700" s="529">
        <f>+'NF-KSF-TRIAL-BAL-2021'!R700+'RA-TRIAL-BAL-2021'!R700+'DES-TRIAL-BAL-2021'!R700+'DMP-TRIAL-BAL-2021'!R700</f>
        <v>0</v>
      </c>
      <c r="Z700" s="528">
        <f>+'NF-KSF-TRIAL-BAL-2021'!S700+'RA-TRIAL-BAL-2021'!S700+'DES-TRIAL-BAL-2021'!S700+'DMP-TRIAL-BAL-2021'!S700</f>
        <v>0</v>
      </c>
      <c r="AA700" s="347">
        <f>+'NF-KSF-TRIAL-BAL-2021'!T700+'RA-TRIAL-BAL-2021'!T700+'DES-TRIAL-BAL-2021'!T700+'DMP-TRIAL-BAL-2021'!T700</f>
        <v>0</v>
      </c>
      <c r="AB700" s="51"/>
      <c r="AC700" s="8">
        <v>0</v>
      </c>
      <c r="AD700" s="9">
        <v>0</v>
      </c>
      <c r="AE700" s="325"/>
      <c r="AF700" s="324"/>
      <c r="AG700" s="27">
        <f t="shared" si="343"/>
        <v>0</v>
      </c>
      <c r="AH700" s="28">
        <f t="shared" si="345"/>
        <v>0</v>
      </c>
      <c r="AI700" s="51"/>
      <c r="AJ700" s="1497">
        <f>+N700</f>
        <v>7385</v>
      </c>
      <c r="AK700" s="8">
        <v>0</v>
      </c>
      <c r="AL700" s="9">
        <v>0</v>
      </c>
      <c r="AM700" s="326">
        <f t="shared" si="346"/>
        <v>0</v>
      </c>
      <c r="AN700" s="970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58">
        <f>+ROUND(+SUM(AK700-AL700)-SUM(O700-P700)-SUM(V700-W700)-SUM(AC700-AD700),2)</f>
        <v>0</v>
      </c>
      <c r="AS700" s="359">
        <f>+ROUND(+SUM(AM700-AN700)-SUM(Q700-R700)-SUM(X700-Y700)-SUM(AE700-AF700),2)</f>
        <v>0</v>
      </c>
      <c r="AT700" s="360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25"/>
      <c r="R701" s="324"/>
      <c r="S701" s="27">
        <f t="shared" si="342"/>
        <v>0</v>
      </c>
      <c r="T701" s="28">
        <f t="shared" si="344"/>
        <v>0</v>
      </c>
      <c r="U701" s="51"/>
      <c r="V701" s="541">
        <f>+'NF-KSF-TRIAL-BAL-2021'!O701+'RA-TRIAL-BAL-2021'!O701+'DES-TRIAL-BAL-2021'!O701+'DMP-TRIAL-BAL-2021'!O701</f>
        <v>0</v>
      </c>
      <c r="W701" s="529">
        <f>+'NF-KSF-TRIAL-BAL-2021'!P701+'RA-TRIAL-BAL-2021'!P701+'DES-TRIAL-BAL-2021'!P701+'DMP-TRIAL-BAL-2021'!P701</f>
        <v>0</v>
      </c>
      <c r="X701" s="528">
        <f>+'NF-KSF-TRIAL-BAL-2021'!Q701+'RA-TRIAL-BAL-2021'!Q701+'DES-TRIAL-BAL-2021'!Q701+'DMP-TRIAL-BAL-2021'!Q701</f>
        <v>0</v>
      </c>
      <c r="Y701" s="529">
        <f>+'NF-KSF-TRIAL-BAL-2021'!R701+'RA-TRIAL-BAL-2021'!R701+'DES-TRIAL-BAL-2021'!R701+'DMP-TRIAL-BAL-2021'!R701</f>
        <v>0</v>
      </c>
      <c r="Z701" s="528">
        <f>+'NF-KSF-TRIAL-BAL-2021'!S701+'RA-TRIAL-BAL-2021'!S701+'DES-TRIAL-BAL-2021'!S701+'DMP-TRIAL-BAL-2021'!S701</f>
        <v>0</v>
      </c>
      <c r="AA701" s="347">
        <f>+'NF-KSF-TRIAL-BAL-2021'!T701+'RA-TRIAL-BAL-2021'!T701+'DES-TRIAL-BAL-2021'!T701+'DMP-TRIAL-BAL-2021'!T701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97">
        <f>+N701</f>
        <v>7386</v>
      </c>
      <c r="AK701" s="8">
        <v>0</v>
      </c>
      <c r="AL701" s="9">
        <v>0</v>
      </c>
      <c r="AM701" s="326">
        <f t="shared" si="346"/>
        <v>0</v>
      </c>
      <c r="AN701" s="970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58">
        <f>+ROUND(+SUM(AK701-AL701)-SUM(O701-P701)-SUM(V701-W701)-SUM(AC701-AD701),2)</f>
        <v>0</v>
      </c>
      <c r="AS701" s="359">
        <f>+ROUND(+SUM(AM701-AN701)-SUM(Q701-R701)-SUM(X701-Y701)-SUM(AE701-AF701),2)</f>
        <v>0</v>
      </c>
      <c r="AT701" s="360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25"/>
      <c r="R702" s="324"/>
      <c r="S702" s="27">
        <f t="shared" si="342"/>
        <v>0</v>
      </c>
      <c r="T702" s="28">
        <f t="shared" si="344"/>
        <v>0</v>
      </c>
      <c r="U702" s="51"/>
      <c r="V702" s="541">
        <f>+'NF-KSF-TRIAL-BAL-2021'!O702+'RA-TRIAL-BAL-2021'!O702+'DES-TRIAL-BAL-2021'!O702+'DMP-TRIAL-BAL-2021'!O702</f>
        <v>0</v>
      </c>
      <c r="W702" s="529">
        <f>+'NF-KSF-TRIAL-BAL-2021'!P702+'RA-TRIAL-BAL-2021'!P702+'DES-TRIAL-BAL-2021'!P702+'DMP-TRIAL-BAL-2021'!P702</f>
        <v>0</v>
      </c>
      <c r="X702" s="528">
        <f>+'NF-KSF-TRIAL-BAL-2021'!Q702+'RA-TRIAL-BAL-2021'!Q702+'DES-TRIAL-BAL-2021'!Q702+'DMP-TRIAL-BAL-2021'!Q702</f>
        <v>0</v>
      </c>
      <c r="Y702" s="529">
        <f>+'NF-KSF-TRIAL-BAL-2021'!R702+'RA-TRIAL-BAL-2021'!R702+'DES-TRIAL-BAL-2021'!R702+'DMP-TRIAL-BAL-2021'!R702</f>
        <v>0</v>
      </c>
      <c r="Z702" s="528">
        <f>+'NF-KSF-TRIAL-BAL-2021'!S702+'RA-TRIAL-BAL-2021'!S702+'DES-TRIAL-BAL-2021'!S702+'DMP-TRIAL-BAL-2021'!S702</f>
        <v>0</v>
      </c>
      <c r="AA702" s="347">
        <f>+'NF-KSF-TRIAL-BAL-2021'!T702+'RA-TRIAL-BAL-2021'!T702+'DES-TRIAL-BAL-2021'!T702+'DMP-TRIAL-BAL-2021'!T702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97">
        <f>+N702</f>
        <v>7387</v>
      </c>
      <c r="AK702" s="8">
        <v>0</v>
      </c>
      <c r="AL702" s="9">
        <v>0</v>
      </c>
      <c r="AM702" s="326">
        <f t="shared" si="346"/>
        <v>0</v>
      </c>
      <c r="AN702" s="970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58">
        <f>+ROUND(+SUM(AK702-AL702)-SUM(O702-P702)-SUM(V702-W702)-SUM(AC702-AD702),2)</f>
        <v>0</v>
      </c>
      <c r="AS702" s="359">
        <f>+ROUND(+SUM(AM702-AN702)-SUM(Q702-R702)-SUM(X702-Y702)-SUM(AE702-AF702),2)</f>
        <v>0</v>
      </c>
      <c r="AT702" s="360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25"/>
      <c r="R703" s="324"/>
      <c r="S703" s="27">
        <f t="shared" si="342"/>
        <v>0</v>
      </c>
      <c r="T703" s="28">
        <f t="shared" si="344"/>
        <v>0</v>
      </c>
      <c r="U703" s="51"/>
      <c r="V703" s="541">
        <f>+'NF-KSF-TRIAL-BAL-2021'!O703+'RA-TRIAL-BAL-2021'!O703+'DES-TRIAL-BAL-2021'!O703+'DMP-TRIAL-BAL-2021'!O703</f>
        <v>0</v>
      </c>
      <c r="W703" s="529">
        <f>+'NF-KSF-TRIAL-BAL-2021'!P703+'RA-TRIAL-BAL-2021'!P703+'DES-TRIAL-BAL-2021'!P703+'DMP-TRIAL-BAL-2021'!P703</f>
        <v>0</v>
      </c>
      <c r="X703" s="528">
        <f>+'NF-KSF-TRIAL-BAL-2021'!Q703+'RA-TRIAL-BAL-2021'!Q703+'DES-TRIAL-BAL-2021'!Q703+'DMP-TRIAL-BAL-2021'!Q703</f>
        <v>0</v>
      </c>
      <c r="Y703" s="529">
        <f>+'NF-KSF-TRIAL-BAL-2021'!R703+'RA-TRIAL-BAL-2021'!R703+'DES-TRIAL-BAL-2021'!R703+'DMP-TRIAL-BAL-2021'!R703</f>
        <v>0</v>
      </c>
      <c r="Z703" s="528">
        <f>+'NF-KSF-TRIAL-BAL-2021'!S703+'RA-TRIAL-BAL-2021'!S703+'DES-TRIAL-BAL-2021'!S703+'DMP-TRIAL-BAL-2021'!S703</f>
        <v>0</v>
      </c>
      <c r="AA703" s="347">
        <f>+'NF-KSF-TRIAL-BAL-2021'!T703+'RA-TRIAL-BAL-2021'!T703+'DES-TRIAL-BAL-2021'!T703+'DMP-TRIAL-BAL-2021'!T703</f>
        <v>0</v>
      </c>
      <c r="AB703" s="51"/>
      <c r="AC703" s="8">
        <v>0</v>
      </c>
      <c r="AD703" s="9">
        <v>0</v>
      </c>
      <c r="AE703" s="325"/>
      <c r="AF703" s="324"/>
      <c r="AG703" s="27">
        <f t="shared" si="343"/>
        <v>0</v>
      </c>
      <c r="AH703" s="28">
        <f t="shared" si="345"/>
        <v>0</v>
      </c>
      <c r="AI703" s="51"/>
      <c r="AJ703" s="1497">
        <f>+N703</f>
        <v>7388</v>
      </c>
      <c r="AK703" s="8">
        <v>0</v>
      </c>
      <c r="AL703" s="9">
        <v>0</v>
      </c>
      <c r="AM703" s="326">
        <f t="shared" si="346"/>
        <v>0</v>
      </c>
      <c r="AN703" s="970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58">
        <f>+ROUND(+SUM(AK703-AL703)-SUM(O703-P703)-SUM(V703-W703)-SUM(AC703-AD703),2)</f>
        <v>0</v>
      </c>
      <c r="AS703" s="359">
        <f>+ROUND(+SUM(AM703-AN703)-SUM(Q703-R703)-SUM(X703-Y703)-SUM(AE703-AF703),2)</f>
        <v>0</v>
      </c>
      <c r="AT703" s="360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25"/>
      <c r="R704" s="324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41">
        <f>+'NF-KSF-TRIAL-BAL-2021'!O704+'RA-TRIAL-BAL-2021'!O704+'DES-TRIAL-BAL-2021'!O704+'DMP-TRIAL-BAL-2021'!O704</f>
        <v>0</v>
      </c>
      <c r="W704" s="529">
        <f>+'NF-KSF-TRIAL-BAL-2021'!P704+'RA-TRIAL-BAL-2021'!P704+'DES-TRIAL-BAL-2021'!P704+'DMP-TRIAL-BAL-2021'!P704</f>
        <v>0</v>
      </c>
      <c r="X704" s="528">
        <f>+'NF-KSF-TRIAL-BAL-2021'!Q704+'RA-TRIAL-BAL-2021'!Q704+'DES-TRIAL-BAL-2021'!Q704+'DMP-TRIAL-BAL-2021'!Q704</f>
        <v>0</v>
      </c>
      <c r="Y704" s="529">
        <f>+'NF-KSF-TRIAL-BAL-2021'!R704+'RA-TRIAL-BAL-2021'!R704+'DES-TRIAL-BAL-2021'!R704+'DMP-TRIAL-BAL-2021'!R704</f>
        <v>0</v>
      </c>
      <c r="Z704" s="528">
        <f>+'NF-KSF-TRIAL-BAL-2021'!S704+'RA-TRIAL-BAL-2021'!S704+'DES-TRIAL-BAL-2021'!S704+'DMP-TRIAL-BAL-2021'!S704</f>
        <v>0</v>
      </c>
      <c r="AA704" s="347">
        <f>+'NF-KSF-TRIAL-BAL-2021'!T704+'RA-TRIAL-BAL-2021'!T704+'DES-TRIAL-BAL-2021'!T704+'DMP-TRIAL-BAL-2021'!T704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97">
        <f t="shared" si="319"/>
        <v>7391</v>
      </c>
      <c r="AK704" s="8">
        <v>0</v>
      </c>
      <c r="AL704" s="9">
        <v>0</v>
      </c>
      <c r="AM704" s="326">
        <f t="shared" si="341"/>
        <v>0</v>
      </c>
      <c r="AN704" s="970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58">
        <f t="shared" si="330"/>
        <v>0</v>
      </c>
      <c r="AS704" s="359">
        <f t="shared" si="331"/>
        <v>0</v>
      </c>
      <c r="AT704" s="360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25">
        <v>8.5399999999999991</v>
      </c>
      <c r="R705" s="324"/>
      <c r="S705" s="27">
        <f t="shared" ref="S705:S715" si="347">+IF(ABS(+O705+Q705)&gt;=ABS(P705+R705),+O705-P705+Q705-R705,0)</f>
        <v>8.5399999999999991</v>
      </c>
      <c r="T705" s="28">
        <f t="shared" ref="T705:T715" si="348">+IF(ABS(+O705+Q705)&lt;=ABS(P705+R705),-O705+P705-Q705+R705,0)</f>
        <v>0</v>
      </c>
      <c r="U705" s="51"/>
      <c r="V705" s="541">
        <f>+'NF-KSF-TRIAL-BAL-2021'!O705+'RA-TRIAL-BAL-2021'!O705+'DES-TRIAL-BAL-2021'!O705+'DMP-TRIAL-BAL-2021'!O705</f>
        <v>0</v>
      </c>
      <c r="W705" s="529">
        <f>+'NF-KSF-TRIAL-BAL-2021'!P705+'RA-TRIAL-BAL-2021'!P705+'DES-TRIAL-BAL-2021'!P705+'DMP-TRIAL-BAL-2021'!P705</f>
        <v>0</v>
      </c>
      <c r="X705" s="528">
        <f>+'NF-KSF-TRIAL-BAL-2021'!Q705+'RA-TRIAL-BAL-2021'!Q705+'DES-TRIAL-BAL-2021'!Q705+'DMP-TRIAL-BAL-2021'!Q705</f>
        <v>0</v>
      </c>
      <c r="Y705" s="529">
        <f>+'NF-KSF-TRIAL-BAL-2021'!R705+'RA-TRIAL-BAL-2021'!R705+'DES-TRIAL-BAL-2021'!R705+'DMP-TRIAL-BAL-2021'!R705</f>
        <v>0</v>
      </c>
      <c r="Z705" s="528">
        <f>+'NF-KSF-TRIAL-BAL-2021'!S705+'RA-TRIAL-BAL-2021'!S705+'DES-TRIAL-BAL-2021'!S705+'DMP-TRIAL-BAL-2021'!S705</f>
        <v>0</v>
      </c>
      <c r="AA705" s="347">
        <f>+'NF-KSF-TRIAL-BAL-2021'!T705+'RA-TRIAL-BAL-2021'!T705+'DES-TRIAL-BAL-2021'!T705+'DMP-TRIAL-BAL-2021'!T705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97">
        <f t="shared" ref="AJ705:AJ819" si="351">+N705</f>
        <v>7392</v>
      </c>
      <c r="AK705" s="8">
        <v>0</v>
      </c>
      <c r="AL705" s="9">
        <v>0</v>
      </c>
      <c r="AM705" s="326">
        <f t="shared" si="341"/>
        <v>8.5399999999999991</v>
      </c>
      <c r="AN705" s="970">
        <f t="shared" si="341"/>
        <v>0</v>
      </c>
      <c r="AO705" s="27">
        <f t="shared" si="335"/>
        <v>8.5399999999999991</v>
      </c>
      <c r="AP705" s="28">
        <f t="shared" si="336"/>
        <v>0</v>
      </c>
      <c r="AQ705" s="43"/>
      <c r="AR705" s="358">
        <f t="shared" si="330"/>
        <v>0</v>
      </c>
      <c r="AS705" s="359">
        <f t="shared" si="331"/>
        <v>0</v>
      </c>
      <c r="AT705" s="360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25">
        <v>-8485</v>
      </c>
      <c r="R706" s="324"/>
      <c r="S706" s="27">
        <f t="shared" si="347"/>
        <v>-8485</v>
      </c>
      <c r="T706" s="28">
        <f t="shared" si="348"/>
        <v>0</v>
      </c>
      <c r="U706" s="51"/>
      <c r="V706" s="541">
        <f>+'NF-KSF-TRIAL-BAL-2021'!O706+'RA-TRIAL-BAL-2021'!O706+'DES-TRIAL-BAL-2021'!O706+'DMP-TRIAL-BAL-2021'!O706</f>
        <v>0</v>
      </c>
      <c r="W706" s="529">
        <f>+'NF-KSF-TRIAL-BAL-2021'!P706+'RA-TRIAL-BAL-2021'!P706+'DES-TRIAL-BAL-2021'!P706+'DMP-TRIAL-BAL-2021'!P706</f>
        <v>0</v>
      </c>
      <c r="X706" s="528">
        <f>+'NF-KSF-TRIAL-BAL-2021'!Q706+'RA-TRIAL-BAL-2021'!Q706+'DES-TRIAL-BAL-2021'!Q706+'DMP-TRIAL-BAL-2021'!Q706</f>
        <v>0</v>
      </c>
      <c r="Y706" s="529">
        <f>+'NF-KSF-TRIAL-BAL-2021'!R706+'RA-TRIAL-BAL-2021'!R706+'DES-TRIAL-BAL-2021'!R706+'DMP-TRIAL-BAL-2021'!R706</f>
        <v>0</v>
      </c>
      <c r="Z706" s="528">
        <f>+'NF-KSF-TRIAL-BAL-2021'!S706+'RA-TRIAL-BAL-2021'!S706+'DES-TRIAL-BAL-2021'!S706+'DMP-TRIAL-BAL-2021'!S706</f>
        <v>0</v>
      </c>
      <c r="AA706" s="347">
        <f>+'NF-KSF-TRIAL-BAL-2021'!T706+'RA-TRIAL-BAL-2021'!T706+'DES-TRIAL-BAL-2021'!T706+'DMP-TRIAL-BAL-2021'!T706</f>
        <v>0</v>
      </c>
      <c r="AB706" s="51"/>
      <c r="AC706" s="8">
        <v>0</v>
      </c>
      <c r="AD706" s="9">
        <v>0</v>
      </c>
      <c r="AE706" s="325"/>
      <c r="AF706" s="324"/>
      <c r="AG706" s="27">
        <f t="shared" si="349"/>
        <v>0</v>
      </c>
      <c r="AH706" s="28">
        <f t="shared" si="350"/>
        <v>0</v>
      </c>
      <c r="AI706" s="51"/>
      <c r="AJ706" s="1497">
        <f t="shared" si="351"/>
        <v>7400</v>
      </c>
      <c r="AK706" s="8">
        <v>0</v>
      </c>
      <c r="AL706" s="9">
        <v>0</v>
      </c>
      <c r="AM706" s="326">
        <f>+ROUND(+Q706+X706+AE706,2)</f>
        <v>-8485</v>
      </c>
      <c r="AN706" s="970">
        <f t="shared" si="341"/>
        <v>0</v>
      </c>
      <c r="AO706" s="27">
        <f t="shared" si="335"/>
        <v>-8485</v>
      </c>
      <c r="AP706" s="28">
        <f t="shared" si="336"/>
        <v>0</v>
      </c>
      <c r="AQ706" s="43"/>
      <c r="AR706" s="358">
        <f t="shared" ref="AR706:AR715" si="353">+ROUND(+SUM(AK706-AL706)-SUM(O706-P706)-SUM(V706-W706)-SUM(AC706-AD706),2)</f>
        <v>0</v>
      </c>
      <c r="AS706" s="359">
        <f t="shared" ref="AS706:AS715" si="354">+ROUND(+SUM(AM706-AN706)-SUM(Q706-R706)-SUM(X706-Y706)-SUM(AE706-AF706),2)</f>
        <v>0</v>
      </c>
      <c r="AT706" s="360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25"/>
      <c r="R707" s="324"/>
      <c r="S707" s="27">
        <f t="shared" si="347"/>
        <v>0</v>
      </c>
      <c r="T707" s="28">
        <f t="shared" si="348"/>
        <v>0</v>
      </c>
      <c r="U707" s="51"/>
      <c r="V707" s="541">
        <f>+'NF-KSF-TRIAL-BAL-2021'!O707+'RA-TRIAL-BAL-2021'!O707+'DES-TRIAL-BAL-2021'!O707+'DMP-TRIAL-BAL-2021'!O707</f>
        <v>0</v>
      </c>
      <c r="W707" s="529">
        <f>+'NF-KSF-TRIAL-BAL-2021'!P707+'RA-TRIAL-BAL-2021'!P707+'DES-TRIAL-BAL-2021'!P707+'DMP-TRIAL-BAL-2021'!P707</f>
        <v>0</v>
      </c>
      <c r="X707" s="528">
        <f>+'NF-KSF-TRIAL-BAL-2021'!Q707+'RA-TRIAL-BAL-2021'!Q707+'DES-TRIAL-BAL-2021'!Q707+'DMP-TRIAL-BAL-2021'!Q707</f>
        <v>0</v>
      </c>
      <c r="Y707" s="529">
        <f>+'NF-KSF-TRIAL-BAL-2021'!R707+'RA-TRIAL-BAL-2021'!R707+'DES-TRIAL-BAL-2021'!R707+'DMP-TRIAL-BAL-2021'!R707</f>
        <v>0</v>
      </c>
      <c r="Z707" s="528">
        <f>+'NF-KSF-TRIAL-BAL-2021'!S707+'RA-TRIAL-BAL-2021'!S707+'DES-TRIAL-BAL-2021'!S707+'DMP-TRIAL-BAL-2021'!S707</f>
        <v>0</v>
      </c>
      <c r="AA707" s="347">
        <f>+'NF-KSF-TRIAL-BAL-2021'!T707+'RA-TRIAL-BAL-2021'!T707+'DES-TRIAL-BAL-2021'!T707+'DMP-TRIAL-BAL-2021'!T707</f>
        <v>0</v>
      </c>
      <c r="AB707" s="51"/>
      <c r="AC707" s="8">
        <v>0</v>
      </c>
      <c r="AD707" s="9">
        <v>0</v>
      </c>
      <c r="AE707" s="325"/>
      <c r="AF707" s="324"/>
      <c r="AG707" s="27">
        <f t="shared" si="349"/>
        <v>0</v>
      </c>
      <c r="AH707" s="28">
        <f t="shared" si="350"/>
        <v>0</v>
      </c>
      <c r="AI707" s="51"/>
      <c r="AJ707" s="1497">
        <f t="shared" si="351"/>
        <v>7401</v>
      </c>
      <c r="AK707" s="8">
        <v>0</v>
      </c>
      <c r="AL707" s="9">
        <v>0</v>
      </c>
      <c r="AM707" s="326">
        <f t="shared" si="341"/>
        <v>0</v>
      </c>
      <c r="AN707" s="970">
        <f t="shared" si="341"/>
        <v>0</v>
      </c>
      <c r="AO707" s="27">
        <f t="shared" si="335"/>
        <v>0</v>
      </c>
      <c r="AP707" s="28">
        <f t="shared" si="336"/>
        <v>0</v>
      </c>
      <c r="AQ707" s="43"/>
      <c r="AR707" s="358">
        <f t="shared" si="353"/>
        <v>0</v>
      </c>
      <c r="AS707" s="359">
        <f t="shared" si="354"/>
        <v>0</v>
      </c>
      <c r="AT707" s="360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25"/>
      <c r="R708" s="324"/>
      <c r="S708" s="27">
        <f t="shared" si="347"/>
        <v>0</v>
      </c>
      <c r="T708" s="28">
        <f t="shared" si="348"/>
        <v>0</v>
      </c>
      <c r="U708" s="51"/>
      <c r="V708" s="541">
        <f>+'NF-KSF-TRIAL-BAL-2021'!O708+'RA-TRIAL-BAL-2021'!O708+'DES-TRIAL-BAL-2021'!O708+'DMP-TRIAL-BAL-2021'!O708</f>
        <v>0</v>
      </c>
      <c r="W708" s="529">
        <f>+'NF-KSF-TRIAL-BAL-2021'!P708+'RA-TRIAL-BAL-2021'!P708+'DES-TRIAL-BAL-2021'!P708+'DMP-TRIAL-BAL-2021'!P708</f>
        <v>0</v>
      </c>
      <c r="X708" s="528">
        <f>+'NF-KSF-TRIAL-BAL-2021'!Q708+'RA-TRIAL-BAL-2021'!Q708+'DES-TRIAL-BAL-2021'!Q708+'DMP-TRIAL-BAL-2021'!Q708</f>
        <v>0</v>
      </c>
      <c r="Y708" s="529">
        <f>+'NF-KSF-TRIAL-BAL-2021'!R708+'RA-TRIAL-BAL-2021'!R708+'DES-TRIAL-BAL-2021'!R708+'DMP-TRIAL-BAL-2021'!R708</f>
        <v>0</v>
      </c>
      <c r="Z708" s="528">
        <f>+'NF-KSF-TRIAL-BAL-2021'!S708+'RA-TRIAL-BAL-2021'!S708+'DES-TRIAL-BAL-2021'!S708+'DMP-TRIAL-BAL-2021'!S708</f>
        <v>0</v>
      </c>
      <c r="AA708" s="347">
        <f>+'NF-KSF-TRIAL-BAL-2021'!T708+'RA-TRIAL-BAL-2021'!T708+'DES-TRIAL-BAL-2021'!T708+'DMP-TRIAL-BAL-2021'!T708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97">
        <f t="shared" si="351"/>
        <v>7402</v>
      </c>
      <c r="AK708" s="8">
        <v>0</v>
      </c>
      <c r="AL708" s="9">
        <v>0</v>
      </c>
      <c r="AM708" s="326">
        <f t="shared" si="341"/>
        <v>0</v>
      </c>
      <c r="AN708" s="970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58">
        <f t="shared" si="353"/>
        <v>0</v>
      </c>
      <c r="AS708" s="359">
        <f t="shared" si="354"/>
        <v>0</v>
      </c>
      <c r="AT708" s="360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25"/>
      <c r="R709" s="324"/>
      <c r="S709" s="27">
        <f t="shared" si="347"/>
        <v>0</v>
      </c>
      <c r="T709" s="28">
        <f t="shared" si="348"/>
        <v>0</v>
      </c>
      <c r="U709" s="51"/>
      <c r="V709" s="541">
        <f>+'NF-KSF-TRIAL-BAL-2021'!O709+'RA-TRIAL-BAL-2021'!O709+'DES-TRIAL-BAL-2021'!O709+'DMP-TRIAL-BAL-2021'!O709</f>
        <v>0</v>
      </c>
      <c r="W709" s="529">
        <f>+'NF-KSF-TRIAL-BAL-2021'!P709+'RA-TRIAL-BAL-2021'!P709+'DES-TRIAL-BAL-2021'!P709+'DMP-TRIAL-BAL-2021'!P709</f>
        <v>0</v>
      </c>
      <c r="X709" s="528">
        <f>+'NF-KSF-TRIAL-BAL-2021'!Q709+'RA-TRIAL-BAL-2021'!Q709+'DES-TRIAL-BAL-2021'!Q709+'DMP-TRIAL-BAL-2021'!Q709</f>
        <v>0</v>
      </c>
      <c r="Y709" s="529">
        <f>+'NF-KSF-TRIAL-BAL-2021'!R709+'RA-TRIAL-BAL-2021'!R709+'DES-TRIAL-BAL-2021'!R709+'DMP-TRIAL-BAL-2021'!R709</f>
        <v>0</v>
      </c>
      <c r="Z709" s="528">
        <f>+'NF-KSF-TRIAL-BAL-2021'!S709+'RA-TRIAL-BAL-2021'!S709+'DES-TRIAL-BAL-2021'!S709+'DMP-TRIAL-BAL-2021'!S709</f>
        <v>0</v>
      </c>
      <c r="AA709" s="347">
        <f>+'NF-KSF-TRIAL-BAL-2021'!T709+'RA-TRIAL-BAL-2021'!T709+'DES-TRIAL-BAL-2021'!T709+'DMP-TRIAL-BAL-2021'!T709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97">
        <f t="shared" si="351"/>
        <v>7403</v>
      </c>
      <c r="AK709" s="8">
        <v>0</v>
      </c>
      <c r="AL709" s="9">
        <v>0</v>
      </c>
      <c r="AM709" s="326">
        <f t="shared" si="341"/>
        <v>0</v>
      </c>
      <c r="AN709" s="970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58">
        <f t="shared" si="353"/>
        <v>0</v>
      </c>
      <c r="AS709" s="359">
        <f t="shared" si="354"/>
        <v>0</v>
      </c>
      <c r="AT709" s="360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25"/>
      <c r="R710" s="324"/>
      <c r="S710" s="27">
        <f t="shared" si="347"/>
        <v>0</v>
      </c>
      <c r="T710" s="28">
        <f t="shared" si="348"/>
        <v>0</v>
      </c>
      <c r="U710" s="51"/>
      <c r="V710" s="541">
        <f>+'NF-KSF-TRIAL-BAL-2021'!O710+'RA-TRIAL-BAL-2021'!O710+'DES-TRIAL-BAL-2021'!O710+'DMP-TRIAL-BAL-2021'!O710</f>
        <v>0</v>
      </c>
      <c r="W710" s="529">
        <f>+'NF-KSF-TRIAL-BAL-2021'!P710+'RA-TRIAL-BAL-2021'!P710+'DES-TRIAL-BAL-2021'!P710+'DMP-TRIAL-BAL-2021'!P710</f>
        <v>0</v>
      </c>
      <c r="X710" s="528">
        <f>+'NF-KSF-TRIAL-BAL-2021'!Q710+'RA-TRIAL-BAL-2021'!Q710+'DES-TRIAL-BAL-2021'!Q710+'DMP-TRIAL-BAL-2021'!Q710</f>
        <v>0</v>
      </c>
      <c r="Y710" s="529">
        <f>+'NF-KSF-TRIAL-BAL-2021'!R710+'RA-TRIAL-BAL-2021'!R710+'DES-TRIAL-BAL-2021'!R710+'DMP-TRIAL-BAL-2021'!R710</f>
        <v>0</v>
      </c>
      <c r="Z710" s="528">
        <f>+'NF-KSF-TRIAL-BAL-2021'!S710+'RA-TRIAL-BAL-2021'!S710+'DES-TRIAL-BAL-2021'!S710+'DMP-TRIAL-BAL-2021'!S710</f>
        <v>0</v>
      </c>
      <c r="AA710" s="347">
        <f>+'NF-KSF-TRIAL-BAL-2021'!T710+'RA-TRIAL-BAL-2021'!T710+'DES-TRIAL-BAL-2021'!T710+'DMP-TRIAL-BAL-2021'!T710</f>
        <v>0</v>
      </c>
      <c r="AB710" s="51"/>
      <c r="AC710" s="8">
        <v>0</v>
      </c>
      <c r="AD710" s="9">
        <v>0</v>
      </c>
      <c r="AE710" s="325"/>
      <c r="AF710" s="324"/>
      <c r="AG710" s="27">
        <f t="shared" si="349"/>
        <v>0</v>
      </c>
      <c r="AH710" s="28">
        <f t="shared" si="350"/>
        <v>0</v>
      </c>
      <c r="AI710" s="51"/>
      <c r="AJ710" s="1497">
        <f t="shared" si="351"/>
        <v>7404</v>
      </c>
      <c r="AK710" s="8">
        <v>0</v>
      </c>
      <c r="AL710" s="9">
        <v>0</v>
      </c>
      <c r="AM710" s="326">
        <f t="shared" si="341"/>
        <v>0</v>
      </c>
      <c r="AN710" s="970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58">
        <f t="shared" si="353"/>
        <v>0</v>
      </c>
      <c r="AS710" s="359">
        <f t="shared" si="354"/>
        <v>0</v>
      </c>
      <c r="AT710" s="360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25"/>
      <c r="R711" s="324"/>
      <c r="S711" s="27">
        <f t="shared" si="347"/>
        <v>0</v>
      </c>
      <c r="T711" s="28">
        <f t="shared" si="348"/>
        <v>0</v>
      </c>
      <c r="U711" s="51"/>
      <c r="V711" s="541">
        <f>+'NF-KSF-TRIAL-BAL-2021'!O711+'RA-TRIAL-BAL-2021'!O711+'DES-TRIAL-BAL-2021'!O711+'DMP-TRIAL-BAL-2021'!O711</f>
        <v>0</v>
      </c>
      <c r="W711" s="529">
        <f>+'NF-KSF-TRIAL-BAL-2021'!P711+'RA-TRIAL-BAL-2021'!P711+'DES-TRIAL-BAL-2021'!P711+'DMP-TRIAL-BAL-2021'!P711</f>
        <v>0</v>
      </c>
      <c r="X711" s="528">
        <f>+'NF-KSF-TRIAL-BAL-2021'!Q711+'RA-TRIAL-BAL-2021'!Q711+'DES-TRIAL-BAL-2021'!Q711+'DMP-TRIAL-BAL-2021'!Q711</f>
        <v>0</v>
      </c>
      <c r="Y711" s="529">
        <f>+'NF-KSF-TRIAL-BAL-2021'!R711+'RA-TRIAL-BAL-2021'!R711+'DES-TRIAL-BAL-2021'!R711+'DMP-TRIAL-BAL-2021'!R711</f>
        <v>0</v>
      </c>
      <c r="Z711" s="528">
        <f>+'NF-KSF-TRIAL-BAL-2021'!S711+'RA-TRIAL-BAL-2021'!S711+'DES-TRIAL-BAL-2021'!S711+'DMP-TRIAL-BAL-2021'!S711</f>
        <v>0</v>
      </c>
      <c r="AA711" s="347">
        <f>+'NF-KSF-TRIAL-BAL-2021'!T711+'RA-TRIAL-BAL-2021'!T711+'DES-TRIAL-BAL-2021'!T711+'DMP-TRIAL-BAL-2021'!T711</f>
        <v>0</v>
      </c>
      <c r="AB711" s="51"/>
      <c r="AC711" s="8">
        <v>0</v>
      </c>
      <c r="AD711" s="9">
        <v>0</v>
      </c>
      <c r="AE711" s="325"/>
      <c r="AF711" s="324"/>
      <c r="AG711" s="27">
        <f t="shared" si="349"/>
        <v>0</v>
      </c>
      <c r="AH711" s="28">
        <f t="shared" si="350"/>
        <v>0</v>
      </c>
      <c r="AI711" s="51"/>
      <c r="AJ711" s="1497">
        <f>+N711</f>
        <v>7405</v>
      </c>
      <c r="AK711" s="8">
        <v>0</v>
      </c>
      <c r="AL711" s="9">
        <v>0</v>
      </c>
      <c r="AM711" s="326">
        <f t="shared" si="341"/>
        <v>0</v>
      </c>
      <c r="AN711" s="970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58">
        <f t="shared" si="353"/>
        <v>0</v>
      </c>
      <c r="AS711" s="359">
        <f t="shared" si="354"/>
        <v>0</v>
      </c>
      <c r="AT711" s="360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25"/>
      <c r="R712" s="324"/>
      <c r="S712" s="27">
        <f t="shared" si="347"/>
        <v>0</v>
      </c>
      <c r="T712" s="28">
        <f t="shared" si="348"/>
        <v>0</v>
      </c>
      <c r="U712" s="51"/>
      <c r="V712" s="541">
        <f>+'NF-KSF-TRIAL-BAL-2021'!O712+'RA-TRIAL-BAL-2021'!O712+'DES-TRIAL-BAL-2021'!O712+'DMP-TRIAL-BAL-2021'!O712</f>
        <v>0</v>
      </c>
      <c r="W712" s="529">
        <f>+'NF-KSF-TRIAL-BAL-2021'!P712+'RA-TRIAL-BAL-2021'!P712+'DES-TRIAL-BAL-2021'!P712+'DMP-TRIAL-BAL-2021'!P712</f>
        <v>0</v>
      </c>
      <c r="X712" s="528">
        <f>+'NF-KSF-TRIAL-BAL-2021'!Q712+'RA-TRIAL-BAL-2021'!Q712+'DES-TRIAL-BAL-2021'!Q712+'DMP-TRIAL-BAL-2021'!Q712</f>
        <v>0</v>
      </c>
      <c r="Y712" s="529">
        <f>+'NF-KSF-TRIAL-BAL-2021'!R712+'RA-TRIAL-BAL-2021'!R712+'DES-TRIAL-BAL-2021'!R712+'DMP-TRIAL-BAL-2021'!R712</f>
        <v>0</v>
      </c>
      <c r="Z712" s="528">
        <f>+'NF-KSF-TRIAL-BAL-2021'!S712+'RA-TRIAL-BAL-2021'!S712+'DES-TRIAL-BAL-2021'!S712+'DMP-TRIAL-BAL-2021'!S712</f>
        <v>0</v>
      </c>
      <c r="AA712" s="347">
        <f>+'NF-KSF-TRIAL-BAL-2021'!T712+'RA-TRIAL-BAL-2021'!T712+'DES-TRIAL-BAL-2021'!T712+'DMP-TRIAL-BAL-2021'!T712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97">
        <f>+N712</f>
        <v>7406</v>
      </c>
      <c r="AK712" s="8">
        <v>0</v>
      </c>
      <c r="AL712" s="9">
        <v>0</v>
      </c>
      <c r="AM712" s="326">
        <f t="shared" si="341"/>
        <v>0</v>
      </c>
      <c r="AN712" s="970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58">
        <f t="shared" si="353"/>
        <v>0</v>
      </c>
      <c r="AS712" s="359">
        <f t="shared" si="354"/>
        <v>0</v>
      </c>
      <c r="AT712" s="360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25"/>
      <c r="R713" s="324"/>
      <c r="S713" s="27">
        <f t="shared" si="347"/>
        <v>0</v>
      </c>
      <c r="T713" s="28">
        <f t="shared" si="348"/>
        <v>0</v>
      </c>
      <c r="U713" s="51"/>
      <c r="V713" s="541">
        <f>+'NF-KSF-TRIAL-BAL-2021'!O713+'RA-TRIAL-BAL-2021'!O713+'DES-TRIAL-BAL-2021'!O713+'DMP-TRIAL-BAL-2021'!O713</f>
        <v>0</v>
      </c>
      <c r="W713" s="529">
        <f>+'NF-KSF-TRIAL-BAL-2021'!P713+'RA-TRIAL-BAL-2021'!P713+'DES-TRIAL-BAL-2021'!P713+'DMP-TRIAL-BAL-2021'!P713</f>
        <v>0</v>
      </c>
      <c r="X713" s="528">
        <f>+'NF-KSF-TRIAL-BAL-2021'!Q713+'RA-TRIAL-BAL-2021'!Q713+'DES-TRIAL-BAL-2021'!Q713+'DMP-TRIAL-BAL-2021'!Q713</f>
        <v>0</v>
      </c>
      <c r="Y713" s="529">
        <f>+'NF-KSF-TRIAL-BAL-2021'!R713+'RA-TRIAL-BAL-2021'!R713+'DES-TRIAL-BAL-2021'!R713+'DMP-TRIAL-BAL-2021'!R713</f>
        <v>0</v>
      </c>
      <c r="Z713" s="528">
        <f>+'NF-KSF-TRIAL-BAL-2021'!S713+'RA-TRIAL-BAL-2021'!S713+'DES-TRIAL-BAL-2021'!S713+'DMP-TRIAL-BAL-2021'!S713</f>
        <v>0</v>
      </c>
      <c r="AA713" s="347">
        <f>+'NF-KSF-TRIAL-BAL-2021'!T713+'RA-TRIAL-BAL-2021'!T713+'DES-TRIAL-BAL-2021'!T713+'DMP-TRIAL-BAL-2021'!T713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97">
        <f>+N713</f>
        <v>7407</v>
      </c>
      <c r="AK713" s="8">
        <v>0</v>
      </c>
      <c r="AL713" s="9">
        <v>0</v>
      </c>
      <c r="AM713" s="326">
        <f t="shared" si="341"/>
        <v>0</v>
      </c>
      <c r="AN713" s="970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58">
        <f t="shared" si="353"/>
        <v>0</v>
      </c>
      <c r="AS713" s="359">
        <f t="shared" si="354"/>
        <v>0</v>
      </c>
      <c r="AT713" s="360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25"/>
      <c r="R714" s="324"/>
      <c r="S714" s="27">
        <f t="shared" si="347"/>
        <v>0</v>
      </c>
      <c r="T714" s="28">
        <f t="shared" si="348"/>
        <v>0</v>
      </c>
      <c r="U714" s="51"/>
      <c r="V714" s="541">
        <f>+'NF-KSF-TRIAL-BAL-2021'!O714+'RA-TRIAL-BAL-2021'!O714+'DES-TRIAL-BAL-2021'!O714+'DMP-TRIAL-BAL-2021'!O714</f>
        <v>0</v>
      </c>
      <c r="W714" s="529">
        <f>+'NF-KSF-TRIAL-BAL-2021'!P714+'RA-TRIAL-BAL-2021'!P714+'DES-TRIAL-BAL-2021'!P714+'DMP-TRIAL-BAL-2021'!P714</f>
        <v>0</v>
      </c>
      <c r="X714" s="528">
        <f>+'NF-KSF-TRIAL-BAL-2021'!Q714+'RA-TRIAL-BAL-2021'!Q714+'DES-TRIAL-BAL-2021'!Q714+'DMP-TRIAL-BAL-2021'!Q714</f>
        <v>0</v>
      </c>
      <c r="Y714" s="529">
        <f>+'NF-KSF-TRIAL-BAL-2021'!R714+'RA-TRIAL-BAL-2021'!R714+'DES-TRIAL-BAL-2021'!R714+'DMP-TRIAL-BAL-2021'!R714</f>
        <v>0</v>
      </c>
      <c r="Z714" s="528">
        <f>+'NF-KSF-TRIAL-BAL-2021'!S714+'RA-TRIAL-BAL-2021'!S714+'DES-TRIAL-BAL-2021'!S714+'DMP-TRIAL-BAL-2021'!S714</f>
        <v>0</v>
      </c>
      <c r="AA714" s="347">
        <f>+'NF-KSF-TRIAL-BAL-2021'!T714+'RA-TRIAL-BAL-2021'!T714+'DES-TRIAL-BAL-2021'!T714+'DMP-TRIAL-BAL-2021'!T714</f>
        <v>0</v>
      </c>
      <c r="AB714" s="51"/>
      <c r="AC714" s="8">
        <v>0</v>
      </c>
      <c r="AD714" s="9">
        <v>0</v>
      </c>
      <c r="AE714" s="325"/>
      <c r="AF714" s="324"/>
      <c r="AG714" s="27">
        <f t="shared" si="349"/>
        <v>0</v>
      </c>
      <c r="AH714" s="28">
        <f t="shared" si="350"/>
        <v>0</v>
      </c>
      <c r="AI714" s="51"/>
      <c r="AJ714" s="1497">
        <f>+N714</f>
        <v>7408</v>
      </c>
      <c r="AK714" s="8">
        <v>0</v>
      </c>
      <c r="AL714" s="9">
        <v>0</v>
      </c>
      <c r="AM714" s="326">
        <f t="shared" si="341"/>
        <v>0</v>
      </c>
      <c r="AN714" s="970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58">
        <f t="shared" si="353"/>
        <v>0</v>
      </c>
      <c r="AS714" s="359">
        <f t="shared" si="354"/>
        <v>0</v>
      </c>
      <c r="AT714" s="360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25"/>
      <c r="R715" s="324"/>
      <c r="S715" s="27">
        <f t="shared" si="347"/>
        <v>0</v>
      </c>
      <c r="T715" s="28">
        <f t="shared" si="348"/>
        <v>0</v>
      </c>
      <c r="U715" s="51"/>
      <c r="V715" s="541">
        <f>+'NF-KSF-TRIAL-BAL-2021'!O715+'RA-TRIAL-BAL-2021'!O715+'DES-TRIAL-BAL-2021'!O715+'DMP-TRIAL-BAL-2021'!O715</f>
        <v>0</v>
      </c>
      <c r="W715" s="529">
        <f>+'NF-KSF-TRIAL-BAL-2021'!P715+'RA-TRIAL-BAL-2021'!P715+'DES-TRIAL-BAL-2021'!P715+'DMP-TRIAL-BAL-2021'!P715</f>
        <v>0</v>
      </c>
      <c r="X715" s="528">
        <f>+'NF-KSF-TRIAL-BAL-2021'!Q715+'RA-TRIAL-BAL-2021'!Q715+'DES-TRIAL-BAL-2021'!Q715+'DMP-TRIAL-BAL-2021'!Q715</f>
        <v>0</v>
      </c>
      <c r="Y715" s="529">
        <f>+'NF-KSF-TRIAL-BAL-2021'!R715+'RA-TRIAL-BAL-2021'!R715+'DES-TRIAL-BAL-2021'!R715+'DMP-TRIAL-BAL-2021'!R715</f>
        <v>0</v>
      </c>
      <c r="Z715" s="528">
        <f>+'NF-KSF-TRIAL-BAL-2021'!S715+'RA-TRIAL-BAL-2021'!S715+'DES-TRIAL-BAL-2021'!S715+'DMP-TRIAL-BAL-2021'!S715</f>
        <v>0</v>
      </c>
      <c r="AA715" s="347">
        <f>+'NF-KSF-TRIAL-BAL-2021'!T715+'RA-TRIAL-BAL-2021'!T715+'DES-TRIAL-BAL-2021'!T715+'DMP-TRIAL-BAL-2021'!T715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97">
        <f>+N715</f>
        <v>7409</v>
      </c>
      <c r="AK715" s="8">
        <v>0</v>
      </c>
      <c r="AL715" s="9">
        <v>0</v>
      </c>
      <c r="AM715" s="326">
        <f t="shared" si="341"/>
        <v>0</v>
      </c>
      <c r="AN715" s="970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58">
        <f t="shared" si="353"/>
        <v>0</v>
      </c>
      <c r="AS715" s="359">
        <f t="shared" si="354"/>
        <v>0</v>
      </c>
      <c r="AT715" s="360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25"/>
      <c r="R716" s="324">
        <v>2500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2500</v>
      </c>
      <c r="U716" s="51"/>
      <c r="V716" s="541">
        <f>+'NF-KSF-TRIAL-BAL-2021'!O716+'RA-TRIAL-BAL-2021'!O716+'DES-TRIAL-BAL-2021'!O716+'DMP-TRIAL-BAL-2021'!O716</f>
        <v>0</v>
      </c>
      <c r="W716" s="529">
        <f>+'NF-KSF-TRIAL-BAL-2021'!P716+'RA-TRIAL-BAL-2021'!P716+'DES-TRIAL-BAL-2021'!P716+'DMP-TRIAL-BAL-2021'!P716</f>
        <v>0</v>
      </c>
      <c r="X716" s="528">
        <f>+'NF-KSF-TRIAL-BAL-2021'!Q716+'RA-TRIAL-BAL-2021'!Q716+'DES-TRIAL-BAL-2021'!Q716+'DMP-TRIAL-BAL-2021'!Q716</f>
        <v>0</v>
      </c>
      <c r="Y716" s="529">
        <f>+'NF-KSF-TRIAL-BAL-2021'!R716+'RA-TRIAL-BAL-2021'!R716+'DES-TRIAL-BAL-2021'!R716+'DMP-TRIAL-BAL-2021'!R716</f>
        <v>0</v>
      </c>
      <c r="Z716" s="528">
        <f>+'NF-KSF-TRIAL-BAL-2021'!S716+'RA-TRIAL-BAL-2021'!S716+'DES-TRIAL-BAL-2021'!S716+'DMP-TRIAL-BAL-2021'!S716</f>
        <v>0</v>
      </c>
      <c r="AA716" s="347">
        <f>+'NF-KSF-TRIAL-BAL-2021'!T716+'RA-TRIAL-BAL-2021'!T716+'DES-TRIAL-BAL-2021'!T716+'DMP-TRIAL-BAL-2021'!T716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97">
        <f t="shared" si="351"/>
        <v>7411</v>
      </c>
      <c r="AK716" s="8">
        <v>0</v>
      </c>
      <c r="AL716" s="9">
        <v>0</v>
      </c>
      <c r="AM716" s="326">
        <f t="shared" si="341"/>
        <v>0</v>
      </c>
      <c r="AN716" s="970">
        <f t="shared" si="341"/>
        <v>2500</v>
      </c>
      <c r="AO716" s="27">
        <f t="shared" si="335"/>
        <v>0</v>
      </c>
      <c r="AP716" s="28">
        <f t="shared" si="336"/>
        <v>2500</v>
      </c>
      <c r="AQ716" s="43"/>
      <c r="AR716" s="358">
        <f t="shared" si="330"/>
        <v>0</v>
      </c>
      <c r="AS716" s="359">
        <f t="shared" si="331"/>
        <v>0</v>
      </c>
      <c r="AT716" s="360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25"/>
      <c r="R717" s="324"/>
      <c r="S717" s="27">
        <f t="shared" si="356"/>
        <v>0</v>
      </c>
      <c r="T717" s="28">
        <f t="shared" si="357"/>
        <v>0</v>
      </c>
      <c r="U717" s="51"/>
      <c r="V717" s="541">
        <f>+'NF-KSF-TRIAL-BAL-2021'!O717+'RA-TRIAL-BAL-2021'!O717+'DES-TRIAL-BAL-2021'!O717+'DMP-TRIAL-BAL-2021'!O717</f>
        <v>0</v>
      </c>
      <c r="W717" s="529">
        <f>+'NF-KSF-TRIAL-BAL-2021'!P717+'RA-TRIAL-BAL-2021'!P717+'DES-TRIAL-BAL-2021'!P717+'DMP-TRIAL-BAL-2021'!P717</f>
        <v>0</v>
      </c>
      <c r="X717" s="528">
        <f>+'NF-KSF-TRIAL-BAL-2021'!Q717+'RA-TRIAL-BAL-2021'!Q717+'DES-TRIAL-BAL-2021'!Q717+'DMP-TRIAL-BAL-2021'!Q717</f>
        <v>0</v>
      </c>
      <c r="Y717" s="529">
        <f>+'NF-KSF-TRIAL-BAL-2021'!R717+'RA-TRIAL-BAL-2021'!R717+'DES-TRIAL-BAL-2021'!R717+'DMP-TRIAL-BAL-2021'!R717</f>
        <v>0</v>
      </c>
      <c r="Z717" s="528">
        <f>+'NF-KSF-TRIAL-BAL-2021'!S717+'RA-TRIAL-BAL-2021'!S717+'DES-TRIAL-BAL-2021'!S717+'DMP-TRIAL-BAL-2021'!S717</f>
        <v>0</v>
      </c>
      <c r="AA717" s="347">
        <f>+'NF-KSF-TRIAL-BAL-2021'!T717+'RA-TRIAL-BAL-2021'!T717+'DES-TRIAL-BAL-2021'!T717+'DMP-TRIAL-BAL-2021'!T717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97">
        <f t="shared" si="351"/>
        <v>7412</v>
      </c>
      <c r="AK717" s="8">
        <v>0</v>
      </c>
      <c r="AL717" s="9">
        <v>0</v>
      </c>
      <c r="AM717" s="326">
        <f t="shared" si="341"/>
        <v>0</v>
      </c>
      <c r="AN717" s="970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58">
        <f t="shared" si="330"/>
        <v>0</v>
      </c>
      <c r="AS717" s="359">
        <f t="shared" si="331"/>
        <v>0</v>
      </c>
      <c r="AT717" s="360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25"/>
      <c r="R718" s="324">
        <v>7194.11</v>
      </c>
      <c r="S718" s="27">
        <f t="shared" si="356"/>
        <v>0</v>
      </c>
      <c r="T718" s="28">
        <f t="shared" si="357"/>
        <v>7194.11</v>
      </c>
      <c r="U718" s="51"/>
      <c r="V718" s="541">
        <f>+'NF-KSF-TRIAL-BAL-2021'!O718+'RA-TRIAL-BAL-2021'!O718+'DES-TRIAL-BAL-2021'!O718+'DMP-TRIAL-BAL-2021'!O718</f>
        <v>0</v>
      </c>
      <c r="W718" s="529">
        <f>+'NF-KSF-TRIAL-BAL-2021'!P718+'RA-TRIAL-BAL-2021'!P718+'DES-TRIAL-BAL-2021'!P718+'DMP-TRIAL-BAL-2021'!P718</f>
        <v>0</v>
      </c>
      <c r="X718" s="528">
        <f>+'NF-KSF-TRIAL-BAL-2021'!Q718+'RA-TRIAL-BAL-2021'!Q718+'DES-TRIAL-BAL-2021'!Q718+'DMP-TRIAL-BAL-2021'!Q718</f>
        <v>0</v>
      </c>
      <c r="Y718" s="529">
        <f>+'NF-KSF-TRIAL-BAL-2021'!R718+'RA-TRIAL-BAL-2021'!R718+'DES-TRIAL-BAL-2021'!R718+'DMP-TRIAL-BAL-2021'!R718</f>
        <v>0</v>
      </c>
      <c r="Z718" s="528">
        <f>+'NF-KSF-TRIAL-BAL-2021'!S718+'RA-TRIAL-BAL-2021'!S718+'DES-TRIAL-BAL-2021'!S718+'DMP-TRIAL-BAL-2021'!S718</f>
        <v>0</v>
      </c>
      <c r="AA718" s="347">
        <f>+'NF-KSF-TRIAL-BAL-2021'!T718+'RA-TRIAL-BAL-2021'!T718+'DES-TRIAL-BAL-2021'!T718+'DMP-TRIAL-BAL-2021'!T718</f>
        <v>0</v>
      </c>
      <c r="AB718" s="51"/>
      <c r="AC718" s="8">
        <v>0</v>
      </c>
      <c r="AD718" s="9">
        <v>0</v>
      </c>
      <c r="AE718" s="325"/>
      <c r="AF718" s="324"/>
      <c r="AG718" s="27">
        <f t="shared" si="358"/>
        <v>0</v>
      </c>
      <c r="AH718" s="28">
        <f t="shared" si="359"/>
        <v>0</v>
      </c>
      <c r="AI718" s="51"/>
      <c r="AJ718" s="1497">
        <f t="shared" si="351"/>
        <v>7413</v>
      </c>
      <c r="AK718" s="8">
        <v>0</v>
      </c>
      <c r="AL718" s="9">
        <v>0</v>
      </c>
      <c r="AM718" s="326">
        <f t="shared" si="341"/>
        <v>0</v>
      </c>
      <c r="AN718" s="970">
        <f t="shared" si="341"/>
        <v>7194.11</v>
      </c>
      <c r="AO718" s="27">
        <f t="shared" si="335"/>
        <v>0</v>
      </c>
      <c r="AP718" s="28">
        <f t="shared" si="336"/>
        <v>7194.11</v>
      </c>
      <c r="AQ718" s="43"/>
      <c r="AR718" s="358">
        <f t="shared" si="330"/>
        <v>0</v>
      </c>
      <c r="AS718" s="359">
        <f t="shared" si="331"/>
        <v>0</v>
      </c>
      <c r="AT718" s="360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25"/>
      <c r="R719" s="324"/>
      <c r="S719" s="27">
        <f t="shared" si="356"/>
        <v>0</v>
      </c>
      <c r="T719" s="28">
        <f t="shared" si="357"/>
        <v>0</v>
      </c>
      <c r="U719" s="51"/>
      <c r="V719" s="541">
        <f>+'NF-KSF-TRIAL-BAL-2021'!O719+'RA-TRIAL-BAL-2021'!O719+'DES-TRIAL-BAL-2021'!O719+'DMP-TRIAL-BAL-2021'!O719</f>
        <v>0</v>
      </c>
      <c r="W719" s="529">
        <f>+'NF-KSF-TRIAL-BAL-2021'!P719+'RA-TRIAL-BAL-2021'!P719+'DES-TRIAL-BAL-2021'!P719+'DMP-TRIAL-BAL-2021'!P719</f>
        <v>0</v>
      </c>
      <c r="X719" s="528">
        <f>+'NF-KSF-TRIAL-BAL-2021'!Q719+'RA-TRIAL-BAL-2021'!Q719+'DES-TRIAL-BAL-2021'!Q719+'DMP-TRIAL-BAL-2021'!Q719</f>
        <v>0</v>
      </c>
      <c r="Y719" s="529">
        <f>+'NF-KSF-TRIAL-BAL-2021'!R719+'RA-TRIAL-BAL-2021'!R719+'DES-TRIAL-BAL-2021'!R719+'DMP-TRIAL-BAL-2021'!R719</f>
        <v>0</v>
      </c>
      <c r="Z719" s="528">
        <f>+'NF-KSF-TRIAL-BAL-2021'!S719+'RA-TRIAL-BAL-2021'!S719+'DES-TRIAL-BAL-2021'!S719+'DMP-TRIAL-BAL-2021'!S719</f>
        <v>0</v>
      </c>
      <c r="AA719" s="347">
        <f>+'NF-KSF-TRIAL-BAL-2021'!T719+'RA-TRIAL-BAL-2021'!T719+'DES-TRIAL-BAL-2021'!T719+'DMP-TRIAL-BAL-2021'!T719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97">
        <f t="shared" si="351"/>
        <v>7414</v>
      </c>
      <c r="AK719" s="8">
        <v>0</v>
      </c>
      <c r="AL719" s="9">
        <v>0</v>
      </c>
      <c r="AM719" s="326">
        <f t="shared" si="341"/>
        <v>0</v>
      </c>
      <c r="AN719" s="970">
        <f t="shared" si="341"/>
        <v>0</v>
      </c>
      <c r="AO719" s="27">
        <f t="shared" si="335"/>
        <v>0</v>
      </c>
      <c r="AP719" s="28">
        <f t="shared" si="336"/>
        <v>0</v>
      </c>
      <c r="AQ719" s="43"/>
      <c r="AR719" s="358">
        <f t="shared" si="330"/>
        <v>0</v>
      </c>
      <c r="AS719" s="359">
        <f t="shared" si="331"/>
        <v>0</v>
      </c>
      <c r="AT719" s="360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25"/>
      <c r="R720" s="324"/>
      <c r="S720" s="27">
        <f t="shared" si="356"/>
        <v>0</v>
      </c>
      <c r="T720" s="28">
        <f t="shared" si="357"/>
        <v>0</v>
      </c>
      <c r="U720" s="51"/>
      <c r="V720" s="541">
        <f>+'NF-KSF-TRIAL-BAL-2021'!O720+'RA-TRIAL-BAL-2021'!O720+'DES-TRIAL-BAL-2021'!O720+'DMP-TRIAL-BAL-2021'!O720</f>
        <v>0</v>
      </c>
      <c r="W720" s="529">
        <f>+'NF-KSF-TRIAL-BAL-2021'!P720+'RA-TRIAL-BAL-2021'!P720+'DES-TRIAL-BAL-2021'!P720+'DMP-TRIAL-BAL-2021'!P720</f>
        <v>0</v>
      </c>
      <c r="X720" s="528">
        <f>+'NF-KSF-TRIAL-BAL-2021'!Q720+'RA-TRIAL-BAL-2021'!Q720+'DES-TRIAL-BAL-2021'!Q720+'DMP-TRIAL-BAL-2021'!Q720</f>
        <v>0</v>
      </c>
      <c r="Y720" s="529">
        <f>+'NF-KSF-TRIAL-BAL-2021'!R720+'RA-TRIAL-BAL-2021'!R720+'DES-TRIAL-BAL-2021'!R720+'DMP-TRIAL-BAL-2021'!R720</f>
        <v>0</v>
      </c>
      <c r="Z720" s="528">
        <f>+'NF-KSF-TRIAL-BAL-2021'!S720+'RA-TRIAL-BAL-2021'!S720+'DES-TRIAL-BAL-2021'!S720+'DMP-TRIAL-BAL-2021'!S720</f>
        <v>0</v>
      </c>
      <c r="AA720" s="347">
        <f>+'NF-KSF-TRIAL-BAL-2021'!T720+'RA-TRIAL-BAL-2021'!T720+'DES-TRIAL-BAL-2021'!T720+'DMP-TRIAL-BAL-2021'!T720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97">
        <f t="shared" si="351"/>
        <v>7419</v>
      </c>
      <c r="AK720" s="8">
        <v>0</v>
      </c>
      <c r="AL720" s="9">
        <v>0</v>
      </c>
      <c r="AM720" s="326">
        <f t="shared" si="341"/>
        <v>0</v>
      </c>
      <c r="AN720" s="970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58">
        <f t="shared" si="330"/>
        <v>0</v>
      </c>
      <c r="AS720" s="359">
        <f t="shared" si="331"/>
        <v>0</v>
      </c>
      <c r="AT720" s="360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25"/>
      <c r="R721" s="324"/>
      <c r="S721" s="27">
        <f t="shared" si="356"/>
        <v>0</v>
      </c>
      <c r="T721" s="28">
        <f t="shared" si="357"/>
        <v>0</v>
      </c>
      <c r="U721" s="51"/>
      <c r="V721" s="541">
        <f>+'NF-KSF-TRIAL-BAL-2021'!O721+'RA-TRIAL-BAL-2021'!O721+'DES-TRIAL-BAL-2021'!O721+'DMP-TRIAL-BAL-2021'!O721</f>
        <v>0</v>
      </c>
      <c r="W721" s="529">
        <f>+'NF-KSF-TRIAL-BAL-2021'!P721+'RA-TRIAL-BAL-2021'!P721+'DES-TRIAL-BAL-2021'!P721+'DMP-TRIAL-BAL-2021'!P721</f>
        <v>0</v>
      </c>
      <c r="X721" s="528">
        <f>+'NF-KSF-TRIAL-BAL-2021'!Q721+'RA-TRIAL-BAL-2021'!Q721+'DES-TRIAL-BAL-2021'!Q721+'DMP-TRIAL-BAL-2021'!Q721</f>
        <v>0</v>
      </c>
      <c r="Y721" s="529">
        <f>+'NF-KSF-TRIAL-BAL-2021'!R721+'RA-TRIAL-BAL-2021'!R721+'DES-TRIAL-BAL-2021'!R721+'DMP-TRIAL-BAL-2021'!R721</f>
        <v>0</v>
      </c>
      <c r="Z721" s="528">
        <f>+'NF-KSF-TRIAL-BAL-2021'!S721+'RA-TRIAL-BAL-2021'!S721+'DES-TRIAL-BAL-2021'!S721+'DMP-TRIAL-BAL-2021'!S721</f>
        <v>0</v>
      </c>
      <c r="AA721" s="347">
        <f>+'NF-KSF-TRIAL-BAL-2021'!T721+'RA-TRIAL-BAL-2021'!T721+'DES-TRIAL-BAL-2021'!T721+'DMP-TRIAL-BAL-2021'!T721</f>
        <v>0</v>
      </c>
      <c r="AB721" s="51"/>
      <c r="AC721" s="8">
        <v>0</v>
      </c>
      <c r="AD721" s="9">
        <v>0</v>
      </c>
      <c r="AE721" s="325"/>
      <c r="AF721" s="324"/>
      <c r="AG721" s="27">
        <f t="shared" si="358"/>
        <v>0</v>
      </c>
      <c r="AH721" s="28">
        <f t="shared" si="359"/>
        <v>0</v>
      </c>
      <c r="AI721" s="51"/>
      <c r="AJ721" s="1497">
        <f t="shared" si="351"/>
        <v>7450</v>
      </c>
      <c r="AK721" s="8">
        <v>0</v>
      </c>
      <c r="AL721" s="9">
        <v>0</v>
      </c>
      <c r="AM721" s="326">
        <f t="shared" si="341"/>
        <v>0</v>
      </c>
      <c r="AN721" s="970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58">
        <f t="shared" si="330"/>
        <v>0</v>
      </c>
      <c r="AS721" s="359">
        <f t="shared" si="331"/>
        <v>0</v>
      </c>
      <c r="AT721" s="360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25"/>
      <c r="R722" s="324"/>
      <c r="S722" s="27">
        <f t="shared" si="356"/>
        <v>0</v>
      </c>
      <c r="T722" s="28">
        <f t="shared" si="357"/>
        <v>0</v>
      </c>
      <c r="U722" s="51"/>
      <c r="V722" s="541">
        <f>+'NF-KSF-TRIAL-BAL-2021'!O722+'RA-TRIAL-BAL-2021'!O722+'DES-TRIAL-BAL-2021'!O722+'DMP-TRIAL-BAL-2021'!O722</f>
        <v>0</v>
      </c>
      <c r="W722" s="529">
        <f>+'NF-KSF-TRIAL-BAL-2021'!P722+'RA-TRIAL-BAL-2021'!P722+'DES-TRIAL-BAL-2021'!P722+'DMP-TRIAL-BAL-2021'!P722</f>
        <v>0</v>
      </c>
      <c r="X722" s="528">
        <f>+'NF-KSF-TRIAL-BAL-2021'!Q722+'RA-TRIAL-BAL-2021'!Q722+'DES-TRIAL-BAL-2021'!Q722+'DMP-TRIAL-BAL-2021'!Q722</f>
        <v>0</v>
      </c>
      <c r="Y722" s="529">
        <f>+'NF-KSF-TRIAL-BAL-2021'!R722+'RA-TRIAL-BAL-2021'!R722+'DES-TRIAL-BAL-2021'!R722+'DMP-TRIAL-BAL-2021'!R722</f>
        <v>0</v>
      </c>
      <c r="Z722" s="528">
        <f>+'NF-KSF-TRIAL-BAL-2021'!S722+'RA-TRIAL-BAL-2021'!S722+'DES-TRIAL-BAL-2021'!S722+'DMP-TRIAL-BAL-2021'!S722</f>
        <v>0</v>
      </c>
      <c r="AA722" s="347">
        <f>+'NF-KSF-TRIAL-BAL-2021'!T722+'RA-TRIAL-BAL-2021'!T722+'DES-TRIAL-BAL-2021'!T722+'DMP-TRIAL-BAL-2021'!T722</f>
        <v>0</v>
      </c>
      <c r="AB722" s="51"/>
      <c r="AC722" s="8">
        <v>0</v>
      </c>
      <c r="AD722" s="9">
        <v>0</v>
      </c>
      <c r="AE722" s="325"/>
      <c r="AF722" s="324"/>
      <c r="AG722" s="27">
        <f t="shared" si="358"/>
        <v>0</v>
      </c>
      <c r="AH722" s="28">
        <f t="shared" si="359"/>
        <v>0</v>
      </c>
      <c r="AI722" s="51"/>
      <c r="AJ722" s="1497">
        <f t="shared" si="351"/>
        <v>7471</v>
      </c>
      <c r="AK722" s="8">
        <v>0</v>
      </c>
      <c r="AL722" s="9">
        <v>0</v>
      </c>
      <c r="AM722" s="326">
        <f t="shared" si="341"/>
        <v>0</v>
      </c>
      <c r="AN722" s="970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58">
        <f t="shared" si="330"/>
        <v>0</v>
      </c>
      <c r="AS722" s="359">
        <f t="shared" si="331"/>
        <v>0</v>
      </c>
      <c r="AT722" s="360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25"/>
      <c r="R723" s="324"/>
      <c r="S723" s="27">
        <f t="shared" si="356"/>
        <v>0</v>
      </c>
      <c r="T723" s="28">
        <f t="shared" si="357"/>
        <v>0</v>
      </c>
      <c r="U723" s="51"/>
      <c r="V723" s="541">
        <f>+'NF-KSF-TRIAL-BAL-2021'!O723+'RA-TRIAL-BAL-2021'!O723+'DES-TRIAL-BAL-2021'!O723+'DMP-TRIAL-BAL-2021'!O723</f>
        <v>0</v>
      </c>
      <c r="W723" s="529">
        <f>+'NF-KSF-TRIAL-BAL-2021'!P723+'RA-TRIAL-BAL-2021'!P723+'DES-TRIAL-BAL-2021'!P723+'DMP-TRIAL-BAL-2021'!P723</f>
        <v>0</v>
      </c>
      <c r="X723" s="528">
        <f>+'NF-KSF-TRIAL-BAL-2021'!Q723+'RA-TRIAL-BAL-2021'!Q723+'DES-TRIAL-BAL-2021'!Q723+'DMP-TRIAL-BAL-2021'!Q723</f>
        <v>0</v>
      </c>
      <c r="Y723" s="529">
        <f>+'NF-KSF-TRIAL-BAL-2021'!R723+'RA-TRIAL-BAL-2021'!R723+'DES-TRIAL-BAL-2021'!R723+'DMP-TRIAL-BAL-2021'!R723</f>
        <v>0</v>
      </c>
      <c r="Z723" s="528">
        <f>+'NF-KSF-TRIAL-BAL-2021'!S723+'RA-TRIAL-BAL-2021'!S723+'DES-TRIAL-BAL-2021'!S723+'DMP-TRIAL-BAL-2021'!S723</f>
        <v>0</v>
      </c>
      <c r="AA723" s="347">
        <f>+'NF-KSF-TRIAL-BAL-2021'!T723+'RA-TRIAL-BAL-2021'!T723+'DES-TRIAL-BAL-2021'!T723+'DMP-TRIAL-BAL-2021'!T723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97">
        <f t="shared" si="351"/>
        <v>7472</v>
      </c>
      <c r="AK723" s="8">
        <v>0</v>
      </c>
      <c r="AL723" s="9">
        <v>0</v>
      </c>
      <c r="AM723" s="326">
        <f t="shared" si="341"/>
        <v>0</v>
      </c>
      <c r="AN723" s="970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58">
        <f t="shared" si="330"/>
        <v>0</v>
      </c>
      <c r="AS723" s="359">
        <f t="shared" si="331"/>
        <v>0</v>
      </c>
      <c r="AT723" s="360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25"/>
      <c r="R724" s="324"/>
      <c r="S724" s="27">
        <f t="shared" si="356"/>
        <v>0</v>
      </c>
      <c r="T724" s="28">
        <f t="shared" si="357"/>
        <v>0</v>
      </c>
      <c r="U724" s="51"/>
      <c r="V724" s="541">
        <f>+'NF-KSF-TRIAL-BAL-2021'!O724+'RA-TRIAL-BAL-2021'!O724+'DES-TRIAL-BAL-2021'!O724+'DMP-TRIAL-BAL-2021'!O724</f>
        <v>0</v>
      </c>
      <c r="W724" s="529">
        <f>+'NF-KSF-TRIAL-BAL-2021'!P724+'RA-TRIAL-BAL-2021'!P724+'DES-TRIAL-BAL-2021'!P724+'DMP-TRIAL-BAL-2021'!P724</f>
        <v>0</v>
      </c>
      <c r="X724" s="528">
        <f>+'NF-KSF-TRIAL-BAL-2021'!Q724+'RA-TRIAL-BAL-2021'!Q724+'DES-TRIAL-BAL-2021'!Q724+'DMP-TRIAL-BAL-2021'!Q724</f>
        <v>0</v>
      </c>
      <c r="Y724" s="529">
        <f>+'NF-KSF-TRIAL-BAL-2021'!R724+'RA-TRIAL-BAL-2021'!R724+'DES-TRIAL-BAL-2021'!R724+'DMP-TRIAL-BAL-2021'!R724</f>
        <v>0</v>
      </c>
      <c r="Z724" s="528">
        <f>+'NF-KSF-TRIAL-BAL-2021'!S724+'RA-TRIAL-BAL-2021'!S724+'DES-TRIAL-BAL-2021'!S724+'DMP-TRIAL-BAL-2021'!S724</f>
        <v>0</v>
      </c>
      <c r="AA724" s="347">
        <f>+'NF-KSF-TRIAL-BAL-2021'!T724+'RA-TRIAL-BAL-2021'!T724+'DES-TRIAL-BAL-2021'!T724+'DMP-TRIAL-BAL-2021'!T724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97">
        <f t="shared" si="351"/>
        <v>7473</v>
      </c>
      <c r="AK724" s="8">
        <v>0</v>
      </c>
      <c r="AL724" s="9">
        <v>0</v>
      </c>
      <c r="AM724" s="326">
        <f t="shared" si="341"/>
        <v>0</v>
      </c>
      <c r="AN724" s="970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58">
        <f t="shared" si="330"/>
        <v>0</v>
      </c>
      <c r="AS724" s="359">
        <f t="shared" si="331"/>
        <v>0</v>
      </c>
      <c r="AT724" s="360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25"/>
      <c r="R725" s="324"/>
      <c r="S725" s="27">
        <f t="shared" si="356"/>
        <v>0</v>
      </c>
      <c r="T725" s="28">
        <f t="shared" si="357"/>
        <v>0</v>
      </c>
      <c r="U725" s="51"/>
      <c r="V725" s="541">
        <f>+'NF-KSF-TRIAL-BAL-2021'!O725+'RA-TRIAL-BAL-2021'!O725+'DES-TRIAL-BAL-2021'!O725+'DMP-TRIAL-BAL-2021'!O725</f>
        <v>0</v>
      </c>
      <c r="W725" s="529">
        <f>+'NF-KSF-TRIAL-BAL-2021'!P725+'RA-TRIAL-BAL-2021'!P725+'DES-TRIAL-BAL-2021'!P725+'DMP-TRIAL-BAL-2021'!P725</f>
        <v>0</v>
      </c>
      <c r="X725" s="528">
        <f>+'NF-KSF-TRIAL-BAL-2021'!Q725+'RA-TRIAL-BAL-2021'!Q725+'DES-TRIAL-BAL-2021'!Q725+'DMP-TRIAL-BAL-2021'!Q725</f>
        <v>0</v>
      </c>
      <c r="Y725" s="529">
        <f>+'NF-KSF-TRIAL-BAL-2021'!R725+'RA-TRIAL-BAL-2021'!R725+'DES-TRIAL-BAL-2021'!R725+'DMP-TRIAL-BAL-2021'!R725</f>
        <v>0</v>
      </c>
      <c r="Z725" s="528">
        <f>+'NF-KSF-TRIAL-BAL-2021'!S725+'RA-TRIAL-BAL-2021'!S725+'DES-TRIAL-BAL-2021'!S725+'DMP-TRIAL-BAL-2021'!S725</f>
        <v>0</v>
      </c>
      <c r="AA725" s="347">
        <f>+'NF-KSF-TRIAL-BAL-2021'!T725+'RA-TRIAL-BAL-2021'!T725+'DES-TRIAL-BAL-2021'!T725+'DMP-TRIAL-BAL-2021'!T725</f>
        <v>0</v>
      </c>
      <c r="AB725" s="51"/>
      <c r="AC725" s="8">
        <v>0</v>
      </c>
      <c r="AD725" s="9">
        <v>0</v>
      </c>
      <c r="AE725" s="325"/>
      <c r="AF725" s="324"/>
      <c r="AG725" s="27">
        <f t="shared" si="358"/>
        <v>0</v>
      </c>
      <c r="AH725" s="28">
        <f t="shared" si="359"/>
        <v>0</v>
      </c>
      <c r="AI725" s="51"/>
      <c r="AJ725" s="1497">
        <f t="shared" si="351"/>
        <v>7474</v>
      </c>
      <c r="AK725" s="8">
        <v>0</v>
      </c>
      <c r="AL725" s="9">
        <v>0</v>
      </c>
      <c r="AM725" s="326">
        <f t="shared" si="341"/>
        <v>0</v>
      </c>
      <c r="AN725" s="970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58">
        <f t="shared" si="330"/>
        <v>0</v>
      </c>
      <c r="AS725" s="359">
        <f t="shared" si="331"/>
        <v>0</v>
      </c>
      <c r="AT725" s="360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25"/>
      <c r="R726" s="324"/>
      <c r="S726" s="27">
        <f t="shared" si="356"/>
        <v>0</v>
      </c>
      <c r="T726" s="28">
        <f t="shared" si="357"/>
        <v>0</v>
      </c>
      <c r="U726" s="51"/>
      <c r="V726" s="541">
        <f>+'NF-KSF-TRIAL-BAL-2021'!O726+'RA-TRIAL-BAL-2021'!O726+'DES-TRIAL-BAL-2021'!O726+'DMP-TRIAL-BAL-2021'!O726</f>
        <v>0</v>
      </c>
      <c r="W726" s="529">
        <f>+'NF-KSF-TRIAL-BAL-2021'!P726+'RA-TRIAL-BAL-2021'!P726+'DES-TRIAL-BAL-2021'!P726+'DMP-TRIAL-BAL-2021'!P726</f>
        <v>0</v>
      </c>
      <c r="X726" s="528">
        <f>+'NF-KSF-TRIAL-BAL-2021'!Q726+'RA-TRIAL-BAL-2021'!Q726+'DES-TRIAL-BAL-2021'!Q726+'DMP-TRIAL-BAL-2021'!Q726</f>
        <v>0</v>
      </c>
      <c r="Y726" s="529">
        <f>+'NF-KSF-TRIAL-BAL-2021'!R726+'RA-TRIAL-BAL-2021'!R726+'DES-TRIAL-BAL-2021'!R726+'DMP-TRIAL-BAL-2021'!R726</f>
        <v>2008.78</v>
      </c>
      <c r="Z726" s="528">
        <f>+'NF-KSF-TRIAL-BAL-2021'!S726+'RA-TRIAL-BAL-2021'!S726+'DES-TRIAL-BAL-2021'!S726+'DMP-TRIAL-BAL-2021'!S726</f>
        <v>0</v>
      </c>
      <c r="AA726" s="347">
        <f>+'NF-KSF-TRIAL-BAL-2021'!T726+'RA-TRIAL-BAL-2021'!T726+'DES-TRIAL-BAL-2021'!T726+'DMP-TRIAL-BAL-2021'!T726</f>
        <v>2008.78</v>
      </c>
      <c r="AB726" s="51"/>
      <c r="AC726" s="8">
        <v>0</v>
      </c>
      <c r="AD726" s="9">
        <v>0</v>
      </c>
      <c r="AE726" s="325"/>
      <c r="AF726" s="324"/>
      <c r="AG726" s="27">
        <f t="shared" si="358"/>
        <v>0</v>
      </c>
      <c r="AH726" s="28">
        <f t="shared" si="359"/>
        <v>0</v>
      </c>
      <c r="AI726" s="51"/>
      <c r="AJ726" s="1497">
        <f t="shared" si="351"/>
        <v>7481</v>
      </c>
      <c r="AK726" s="8">
        <v>0</v>
      </c>
      <c r="AL726" s="9">
        <v>0</v>
      </c>
      <c r="AM726" s="326">
        <f t="shared" si="341"/>
        <v>0</v>
      </c>
      <c r="AN726" s="970">
        <f t="shared" si="341"/>
        <v>2008.78</v>
      </c>
      <c r="AO726" s="27">
        <f t="shared" si="335"/>
        <v>0</v>
      </c>
      <c r="AP726" s="28">
        <f t="shared" si="336"/>
        <v>2008.78</v>
      </c>
      <c r="AQ726" s="43"/>
      <c r="AR726" s="358">
        <f t="shared" si="330"/>
        <v>0</v>
      </c>
      <c r="AS726" s="359">
        <f t="shared" si="331"/>
        <v>0</v>
      </c>
      <c r="AT726" s="360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25"/>
      <c r="R727" s="324"/>
      <c r="S727" s="27">
        <f t="shared" si="356"/>
        <v>0</v>
      </c>
      <c r="T727" s="28">
        <f t="shared" si="357"/>
        <v>0</v>
      </c>
      <c r="U727" s="51"/>
      <c r="V727" s="541">
        <f>+'NF-KSF-TRIAL-BAL-2021'!O727+'RA-TRIAL-BAL-2021'!O727+'DES-TRIAL-BAL-2021'!O727+'DMP-TRIAL-BAL-2021'!O727</f>
        <v>0</v>
      </c>
      <c r="W727" s="529">
        <f>+'NF-KSF-TRIAL-BAL-2021'!P727+'RA-TRIAL-BAL-2021'!P727+'DES-TRIAL-BAL-2021'!P727+'DMP-TRIAL-BAL-2021'!P727</f>
        <v>0</v>
      </c>
      <c r="X727" s="528">
        <f>+'NF-KSF-TRIAL-BAL-2021'!Q727+'RA-TRIAL-BAL-2021'!Q727+'DES-TRIAL-BAL-2021'!Q727+'DMP-TRIAL-BAL-2021'!Q727</f>
        <v>0</v>
      </c>
      <c r="Y727" s="529">
        <f>+'NF-KSF-TRIAL-BAL-2021'!R727+'RA-TRIAL-BAL-2021'!R727+'DES-TRIAL-BAL-2021'!R727+'DMP-TRIAL-BAL-2021'!R727</f>
        <v>0</v>
      </c>
      <c r="Z727" s="528">
        <f>+'NF-KSF-TRIAL-BAL-2021'!S727+'RA-TRIAL-BAL-2021'!S727+'DES-TRIAL-BAL-2021'!S727+'DMP-TRIAL-BAL-2021'!S727</f>
        <v>0</v>
      </c>
      <c r="AA727" s="347">
        <f>+'NF-KSF-TRIAL-BAL-2021'!T727+'RA-TRIAL-BAL-2021'!T727+'DES-TRIAL-BAL-2021'!T727+'DMP-TRIAL-BAL-2021'!T727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97">
        <f t="shared" si="351"/>
        <v>7482</v>
      </c>
      <c r="AK727" s="8">
        <v>0</v>
      </c>
      <c r="AL727" s="9">
        <v>0</v>
      </c>
      <c r="AM727" s="326">
        <f t="shared" si="341"/>
        <v>0</v>
      </c>
      <c r="AN727" s="970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58">
        <f t="shared" si="330"/>
        <v>0</v>
      </c>
      <c r="AS727" s="359">
        <f t="shared" si="331"/>
        <v>0</v>
      </c>
      <c r="AT727" s="360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25"/>
      <c r="R728" s="324"/>
      <c r="S728" s="27">
        <f t="shared" si="356"/>
        <v>0</v>
      </c>
      <c r="T728" s="28">
        <f t="shared" si="357"/>
        <v>0</v>
      </c>
      <c r="U728" s="51"/>
      <c r="V728" s="541">
        <f>+'NF-KSF-TRIAL-BAL-2021'!O728+'RA-TRIAL-BAL-2021'!O728+'DES-TRIAL-BAL-2021'!O728+'DMP-TRIAL-BAL-2021'!O728</f>
        <v>0</v>
      </c>
      <c r="W728" s="529">
        <f>+'NF-KSF-TRIAL-BAL-2021'!P728+'RA-TRIAL-BAL-2021'!P728+'DES-TRIAL-BAL-2021'!P728+'DMP-TRIAL-BAL-2021'!P728</f>
        <v>0</v>
      </c>
      <c r="X728" s="528">
        <f>+'NF-KSF-TRIAL-BAL-2021'!Q728+'RA-TRIAL-BAL-2021'!Q728+'DES-TRIAL-BAL-2021'!Q728+'DMP-TRIAL-BAL-2021'!Q728</f>
        <v>0</v>
      </c>
      <c r="Y728" s="529">
        <f>+'NF-KSF-TRIAL-BAL-2021'!R728+'RA-TRIAL-BAL-2021'!R728+'DES-TRIAL-BAL-2021'!R728+'DMP-TRIAL-BAL-2021'!R728</f>
        <v>0</v>
      </c>
      <c r="Z728" s="528">
        <f>+'NF-KSF-TRIAL-BAL-2021'!S728+'RA-TRIAL-BAL-2021'!S728+'DES-TRIAL-BAL-2021'!S728+'DMP-TRIAL-BAL-2021'!S728</f>
        <v>0</v>
      </c>
      <c r="AA728" s="347">
        <f>+'NF-KSF-TRIAL-BAL-2021'!T728+'RA-TRIAL-BAL-2021'!T728+'DES-TRIAL-BAL-2021'!T728+'DMP-TRIAL-BAL-2021'!T728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97">
        <f t="shared" si="351"/>
        <v>7483</v>
      </c>
      <c r="AK728" s="8">
        <v>0</v>
      </c>
      <c r="AL728" s="9">
        <v>0</v>
      </c>
      <c r="AM728" s="326">
        <f t="shared" si="341"/>
        <v>0</v>
      </c>
      <c r="AN728" s="970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58">
        <f t="shared" si="330"/>
        <v>0</v>
      </c>
      <c r="AS728" s="359">
        <f t="shared" si="331"/>
        <v>0</v>
      </c>
      <c r="AT728" s="360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25"/>
      <c r="R729" s="324"/>
      <c r="S729" s="27">
        <f t="shared" si="356"/>
        <v>0</v>
      </c>
      <c r="T729" s="28">
        <f t="shared" si="357"/>
        <v>0</v>
      </c>
      <c r="U729" s="51"/>
      <c r="V729" s="541">
        <f>+'NF-KSF-TRIAL-BAL-2021'!O729+'RA-TRIAL-BAL-2021'!O729+'DES-TRIAL-BAL-2021'!O729+'DMP-TRIAL-BAL-2021'!O729</f>
        <v>0</v>
      </c>
      <c r="W729" s="529">
        <f>+'NF-KSF-TRIAL-BAL-2021'!P729+'RA-TRIAL-BAL-2021'!P729+'DES-TRIAL-BAL-2021'!P729+'DMP-TRIAL-BAL-2021'!P729</f>
        <v>0</v>
      </c>
      <c r="X729" s="528">
        <f>+'NF-KSF-TRIAL-BAL-2021'!Q729+'RA-TRIAL-BAL-2021'!Q729+'DES-TRIAL-BAL-2021'!Q729+'DMP-TRIAL-BAL-2021'!Q729</f>
        <v>0</v>
      </c>
      <c r="Y729" s="529">
        <f>+'NF-KSF-TRIAL-BAL-2021'!R729+'RA-TRIAL-BAL-2021'!R729+'DES-TRIAL-BAL-2021'!R729+'DMP-TRIAL-BAL-2021'!R729</f>
        <v>0</v>
      </c>
      <c r="Z729" s="528">
        <f>+'NF-KSF-TRIAL-BAL-2021'!S729+'RA-TRIAL-BAL-2021'!S729+'DES-TRIAL-BAL-2021'!S729+'DMP-TRIAL-BAL-2021'!S729</f>
        <v>0</v>
      </c>
      <c r="AA729" s="347">
        <f>+'NF-KSF-TRIAL-BAL-2021'!T729+'RA-TRIAL-BAL-2021'!T729+'DES-TRIAL-BAL-2021'!T729+'DMP-TRIAL-BAL-2021'!T729</f>
        <v>0</v>
      </c>
      <c r="AB729" s="51"/>
      <c r="AC729" s="8">
        <v>0</v>
      </c>
      <c r="AD729" s="9">
        <v>0</v>
      </c>
      <c r="AE729" s="325"/>
      <c r="AF729" s="324"/>
      <c r="AG729" s="27">
        <f t="shared" si="358"/>
        <v>0</v>
      </c>
      <c r="AH729" s="28">
        <f t="shared" si="359"/>
        <v>0</v>
      </c>
      <c r="AI729" s="51"/>
      <c r="AJ729" s="1497">
        <f t="shared" si="351"/>
        <v>7484</v>
      </c>
      <c r="AK729" s="8">
        <v>0</v>
      </c>
      <c r="AL729" s="9">
        <v>0</v>
      </c>
      <c r="AM729" s="326">
        <f t="shared" si="341"/>
        <v>0</v>
      </c>
      <c r="AN729" s="970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58">
        <f t="shared" si="330"/>
        <v>0</v>
      </c>
      <c r="AS729" s="359">
        <f t="shared" si="331"/>
        <v>0</v>
      </c>
      <c r="AT729" s="360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25"/>
      <c r="R730" s="324"/>
      <c r="S730" s="27">
        <f t="shared" si="356"/>
        <v>0</v>
      </c>
      <c r="T730" s="28">
        <f t="shared" si="357"/>
        <v>0</v>
      </c>
      <c r="U730" s="51"/>
      <c r="V730" s="541">
        <f>+'NF-KSF-TRIAL-BAL-2021'!O730+'RA-TRIAL-BAL-2021'!O730+'DES-TRIAL-BAL-2021'!O730+'DMP-TRIAL-BAL-2021'!O730</f>
        <v>0</v>
      </c>
      <c r="W730" s="529">
        <f>+'NF-KSF-TRIAL-BAL-2021'!P730+'RA-TRIAL-BAL-2021'!P730+'DES-TRIAL-BAL-2021'!P730+'DMP-TRIAL-BAL-2021'!P730</f>
        <v>0</v>
      </c>
      <c r="X730" s="528">
        <f>+'NF-KSF-TRIAL-BAL-2021'!Q730+'RA-TRIAL-BAL-2021'!Q730+'DES-TRIAL-BAL-2021'!Q730+'DMP-TRIAL-BAL-2021'!Q730</f>
        <v>0</v>
      </c>
      <c r="Y730" s="529">
        <f>+'NF-KSF-TRIAL-BAL-2021'!R730+'RA-TRIAL-BAL-2021'!R730+'DES-TRIAL-BAL-2021'!R730+'DMP-TRIAL-BAL-2021'!R730</f>
        <v>0</v>
      </c>
      <c r="Z730" s="528">
        <f>+'NF-KSF-TRIAL-BAL-2021'!S730+'RA-TRIAL-BAL-2021'!S730+'DES-TRIAL-BAL-2021'!S730+'DMP-TRIAL-BAL-2021'!S730</f>
        <v>0</v>
      </c>
      <c r="AA730" s="347">
        <f>+'NF-KSF-TRIAL-BAL-2021'!T730+'RA-TRIAL-BAL-2021'!T730+'DES-TRIAL-BAL-2021'!T730+'DMP-TRIAL-BAL-2021'!T730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97">
        <f t="shared" si="351"/>
        <v>7485</v>
      </c>
      <c r="AK730" s="8">
        <v>0</v>
      </c>
      <c r="AL730" s="9">
        <v>0</v>
      </c>
      <c r="AM730" s="326">
        <f t="shared" si="341"/>
        <v>0</v>
      </c>
      <c r="AN730" s="970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58">
        <f t="shared" si="330"/>
        <v>0</v>
      </c>
      <c r="AS730" s="359">
        <f t="shared" si="331"/>
        <v>0</v>
      </c>
      <c r="AT730" s="360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25"/>
      <c r="R731" s="324"/>
      <c r="S731" s="27">
        <f t="shared" si="356"/>
        <v>0</v>
      </c>
      <c r="T731" s="28">
        <f t="shared" si="357"/>
        <v>0</v>
      </c>
      <c r="U731" s="51"/>
      <c r="V731" s="541">
        <f>+'NF-KSF-TRIAL-BAL-2021'!O731+'RA-TRIAL-BAL-2021'!O731+'DES-TRIAL-BAL-2021'!O731+'DMP-TRIAL-BAL-2021'!O731</f>
        <v>0</v>
      </c>
      <c r="W731" s="529">
        <f>+'NF-KSF-TRIAL-BAL-2021'!P731+'RA-TRIAL-BAL-2021'!P731+'DES-TRIAL-BAL-2021'!P731+'DMP-TRIAL-BAL-2021'!P731</f>
        <v>0</v>
      </c>
      <c r="X731" s="528">
        <f>+'NF-KSF-TRIAL-BAL-2021'!Q731+'RA-TRIAL-BAL-2021'!Q731+'DES-TRIAL-BAL-2021'!Q731+'DMP-TRIAL-BAL-2021'!Q731</f>
        <v>0</v>
      </c>
      <c r="Y731" s="529">
        <f>+'NF-KSF-TRIAL-BAL-2021'!R731+'RA-TRIAL-BAL-2021'!R731+'DES-TRIAL-BAL-2021'!R731+'DMP-TRIAL-BAL-2021'!R731</f>
        <v>0</v>
      </c>
      <c r="Z731" s="528">
        <f>+'NF-KSF-TRIAL-BAL-2021'!S731+'RA-TRIAL-BAL-2021'!S731+'DES-TRIAL-BAL-2021'!S731+'DMP-TRIAL-BAL-2021'!S731</f>
        <v>0</v>
      </c>
      <c r="AA731" s="347">
        <f>+'NF-KSF-TRIAL-BAL-2021'!T731+'RA-TRIAL-BAL-2021'!T731+'DES-TRIAL-BAL-2021'!T731+'DMP-TRIAL-BAL-2021'!T731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97">
        <f t="shared" si="351"/>
        <v>7486</v>
      </c>
      <c r="AK731" s="8">
        <v>0</v>
      </c>
      <c r="AL731" s="9">
        <v>0</v>
      </c>
      <c r="AM731" s="326">
        <f t="shared" si="341"/>
        <v>0</v>
      </c>
      <c r="AN731" s="970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58">
        <f t="shared" si="330"/>
        <v>0</v>
      </c>
      <c r="AS731" s="359">
        <f t="shared" si="331"/>
        <v>0</v>
      </c>
      <c r="AT731" s="360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25"/>
      <c r="R732" s="324"/>
      <c r="S732" s="27">
        <f t="shared" si="356"/>
        <v>0</v>
      </c>
      <c r="T732" s="28">
        <f t="shared" si="357"/>
        <v>0</v>
      </c>
      <c r="U732" s="51"/>
      <c r="V732" s="541">
        <f>+'NF-KSF-TRIAL-BAL-2021'!O732+'RA-TRIAL-BAL-2021'!O732+'DES-TRIAL-BAL-2021'!O732+'DMP-TRIAL-BAL-2021'!O732</f>
        <v>0</v>
      </c>
      <c r="W732" s="529">
        <f>+'NF-KSF-TRIAL-BAL-2021'!P732+'RA-TRIAL-BAL-2021'!P732+'DES-TRIAL-BAL-2021'!P732+'DMP-TRIAL-BAL-2021'!P732</f>
        <v>0</v>
      </c>
      <c r="X732" s="528">
        <f>+'NF-KSF-TRIAL-BAL-2021'!Q732+'RA-TRIAL-BAL-2021'!Q732+'DES-TRIAL-BAL-2021'!Q732+'DMP-TRIAL-BAL-2021'!Q732</f>
        <v>0</v>
      </c>
      <c r="Y732" s="529">
        <f>+'NF-KSF-TRIAL-BAL-2021'!R732+'RA-TRIAL-BAL-2021'!R732+'DES-TRIAL-BAL-2021'!R732+'DMP-TRIAL-BAL-2021'!R732</f>
        <v>0</v>
      </c>
      <c r="Z732" s="528">
        <f>+'NF-KSF-TRIAL-BAL-2021'!S732+'RA-TRIAL-BAL-2021'!S732+'DES-TRIAL-BAL-2021'!S732+'DMP-TRIAL-BAL-2021'!S732</f>
        <v>0</v>
      </c>
      <c r="AA732" s="347">
        <f>+'NF-KSF-TRIAL-BAL-2021'!T732+'RA-TRIAL-BAL-2021'!T732+'DES-TRIAL-BAL-2021'!T732+'DMP-TRIAL-BAL-2021'!T732</f>
        <v>0</v>
      </c>
      <c r="AB732" s="51"/>
      <c r="AC732" s="8">
        <v>0</v>
      </c>
      <c r="AD732" s="9">
        <v>0</v>
      </c>
      <c r="AE732" s="325"/>
      <c r="AF732" s="324"/>
      <c r="AG732" s="27">
        <f t="shared" si="358"/>
        <v>0</v>
      </c>
      <c r="AH732" s="28">
        <f t="shared" si="359"/>
        <v>0</v>
      </c>
      <c r="AI732" s="51"/>
      <c r="AJ732" s="1497">
        <f t="shared" si="351"/>
        <v>7487</v>
      </c>
      <c r="AK732" s="8">
        <v>0</v>
      </c>
      <c r="AL732" s="9">
        <v>0</v>
      </c>
      <c r="AM732" s="326">
        <f t="shared" si="341"/>
        <v>0</v>
      </c>
      <c r="AN732" s="970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58">
        <f t="shared" si="330"/>
        <v>0</v>
      </c>
      <c r="AS732" s="359">
        <f t="shared" si="331"/>
        <v>0</v>
      </c>
      <c r="AT732" s="360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25"/>
      <c r="R733" s="324"/>
      <c r="S733" s="27">
        <f t="shared" si="356"/>
        <v>0</v>
      </c>
      <c r="T733" s="28">
        <f t="shared" si="357"/>
        <v>0</v>
      </c>
      <c r="U733" s="51"/>
      <c r="V733" s="541">
        <f>+'NF-KSF-TRIAL-BAL-2021'!O733+'RA-TRIAL-BAL-2021'!O733+'DES-TRIAL-BAL-2021'!O733+'DMP-TRIAL-BAL-2021'!O733</f>
        <v>0</v>
      </c>
      <c r="W733" s="529">
        <f>+'NF-KSF-TRIAL-BAL-2021'!P733+'RA-TRIAL-BAL-2021'!P733+'DES-TRIAL-BAL-2021'!P733+'DMP-TRIAL-BAL-2021'!P733</f>
        <v>0</v>
      </c>
      <c r="X733" s="528">
        <f>+'NF-KSF-TRIAL-BAL-2021'!Q733+'RA-TRIAL-BAL-2021'!Q733+'DES-TRIAL-BAL-2021'!Q733+'DMP-TRIAL-BAL-2021'!Q733</f>
        <v>0</v>
      </c>
      <c r="Y733" s="529">
        <f>+'NF-KSF-TRIAL-BAL-2021'!R733+'RA-TRIAL-BAL-2021'!R733+'DES-TRIAL-BAL-2021'!R733+'DMP-TRIAL-BAL-2021'!R733</f>
        <v>0</v>
      </c>
      <c r="Z733" s="528">
        <f>+'NF-KSF-TRIAL-BAL-2021'!S733+'RA-TRIAL-BAL-2021'!S733+'DES-TRIAL-BAL-2021'!S733+'DMP-TRIAL-BAL-2021'!S733</f>
        <v>0</v>
      </c>
      <c r="AA733" s="347">
        <f>+'NF-KSF-TRIAL-BAL-2021'!T733+'RA-TRIAL-BAL-2021'!T733+'DES-TRIAL-BAL-2021'!T733+'DMP-TRIAL-BAL-2021'!T733</f>
        <v>0</v>
      </c>
      <c r="AB733" s="51"/>
      <c r="AC733" s="8">
        <v>0</v>
      </c>
      <c r="AD733" s="9">
        <v>0</v>
      </c>
      <c r="AE733" s="325"/>
      <c r="AF733" s="324"/>
      <c r="AG733" s="27">
        <f t="shared" si="358"/>
        <v>0</v>
      </c>
      <c r="AH733" s="28">
        <f t="shared" si="359"/>
        <v>0</v>
      </c>
      <c r="AI733" s="51"/>
      <c r="AJ733" s="1497">
        <f t="shared" si="351"/>
        <v>7488</v>
      </c>
      <c r="AK733" s="8">
        <v>0</v>
      </c>
      <c r="AL733" s="9">
        <v>0</v>
      </c>
      <c r="AM733" s="326">
        <f t="shared" si="341"/>
        <v>0</v>
      </c>
      <c r="AN733" s="970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58">
        <f t="shared" si="330"/>
        <v>0</v>
      </c>
      <c r="AS733" s="359">
        <f t="shared" si="331"/>
        <v>0</v>
      </c>
      <c r="AT733" s="360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25"/>
      <c r="R734" s="324"/>
      <c r="S734" s="27">
        <f t="shared" si="356"/>
        <v>0</v>
      </c>
      <c r="T734" s="28">
        <f t="shared" si="357"/>
        <v>0</v>
      </c>
      <c r="U734" s="51"/>
      <c r="V734" s="541">
        <f>+'NF-KSF-TRIAL-BAL-2021'!O734+'RA-TRIAL-BAL-2021'!O734+'DES-TRIAL-BAL-2021'!O734+'DMP-TRIAL-BAL-2021'!O734</f>
        <v>0</v>
      </c>
      <c r="W734" s="529">
        <f>+'NF-KSF-TRIAL-BAL-2021'!P734+'RA-TRIAL-BAL-2021'!P734+'DES-TRIAL-BAL-2021'!P734+'DMP-TRIAL-BAL-2021'!P734</f>
        <v>0</v>
      </c>
      <c r="X734" s="528">
        <f>+'NF-KSF-TRIAL-BAL-2021'!Q734+'RA-TRIAL-BAL-2021'!Q734+'DES-TRIAL-BAL-2021'!Q734+'DMP-TRIAL-BAL-2021'!Q734</f>
        <v>0</v>
      </c>
      <c r="Y734" s="529">
        <f>+'NF-KSF-TRIAL-BAL-2021'!R734+'RA-TRIAL-BAL-2021'!R734+'DES-TRIAL-BAL-2021'!R734+'DMP-TRIAL-BAL-2021'!R734</f>
        <v>0</v>
      </c>
      <c r="Z734" s="528">
        <f>+'NF-KSF-TRIAL-BAL-2021'!S734+'RA-TRIAL-BAL-2021'!S734+'DES-TRIAL-BAL-2021'!S734+'DMP-TRIAL-BAL-2021'!S734</f>
        <v>0</v>
      </c>
      <c r="AA734" s="347">
        <f>+'NF-KSF-TRIAL-BAL-2021'!T734+'RA-TRIAL-BAL-2021'!T734+'DES-TRIAL-BAL-2021'!T734+'DMP-TRIAL-BAL-2021'!T734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97">
        <f t="shared" si="351"/>
        <v>7491</v>
      </c>
      <c r="AK734" s="8">
        <v>0</v>
      </c>
      <c r="AL734" s="9">
        <v>0</v>
      </c>
      <c r="AM734" s="326">
        <f t="shared" si="341"/>
        <v>0</v>
      </c>
      <c r="AN734" s="970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58">
        <f t="shared" si="330"/>
        <v>0</v>
      </c>
      <c r="AS734" s="359">
        <f t="shared" si="331"/>
        <v>0</v>
      </c>
      <c r="AT734" s="360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25"/>
      <c r="R735" s="324"/>
      <c r="S735" s="27">
        <f t="shared" si="356"/>
        <v>0</v>
      </c>
      <c r="T735" s="28">
        <f t="shared" si="357"/>
        <v>0</v>
      </c>
      <c r="U735" s="51"/>
      <c r="V735" s="541">
        <f>+'NF-KSF-TRIAL-BAL-2021'!O735+'RA-TRIAL-BAL-2021'!O735+'DES-TRIAL-BAL-2021'!O735+'DMP-TRIAL-BAL-2021'!O735</f>
        <v>0</v>
      </c>
      <c r="W735" s="529">
        <f>+'NF-KSF-TRIAL-BAL-2021'!P735+'RA-TRIAL-BAL-2021'!P735+'DES-TRIAL-BAL-2021'!P735+'DMP-TRIAL-BAL-2021'!P735</f>
        <v>0</v>
      </c>
      <c r="X735" s="528">
        <f>+'NF-KSF-TRIAL-BAL-2021'!Q735+'RA-TRIAL-BAL-2021'!Q735+'DES-TRIAL-BAL-2021'!Q735+'DMP-TRIAL-BAL-2021'!Q735</f>
        <v>0</v>
      </c>
      <c r="Y735" s="529">
        <f>+'NF-KSF-TRIAL-BAL-2021'!R735+'RA-TRIAL-BAL-2021'!R735+'DES-TRIAL-BAL-2021'!R735+'DMP-TRIAL-BAL-2021'!R735</f>
        <v>0</v>
      </c>
      <c r="Z735" s="528">
        <f>+'NF-KSF-TRIAL-BAL-2021'!S735+'RA-TRIAL-BAL-2021'!S735+'DES-TRIAL-BAL-2021'!S735+'DMP-TRIAL-BAL-2021'!S735</f>
        <v>0</v>
      </c>
      <c r="AA735" s="347">
        <f>+'NF-KSF-TRIAL-BAL-2021'!T735+'RA-TRIAL-BAL-2021'!T735+'DES-TRIAL-BAL-2021'!T735+'DMP-TRIAL-BAL-2021'!T735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97">
        <f t="shared" si="351"/>
        <v>7492</v>
      </c>
      <c r="AK735" s="8">
        <v>0</v>
      </c>
      <c r="AL735" s="9">
        <v>0</v>
      </c>
      <c r="AM735" s="326">
        <f t="shared" si="341"/>
        <v>0</v>
      </c>
      <c r="AN735" s="970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58">
        <f t="shared" si="330"/>
        <v>0</v>
      </c>
      <c r="AS735" s="359">
        <f t="shared" si="331"/>
        <v>0</v>
      </c>
      <c r="AT735" s="360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25"/>
      <c r="R736" s="324"/>
      <c r="S736" s="27">
        <f t="shared" si="356"/>
        <v>0</v>
      </c>
      <c r="T736" s="28">
        <f t="shared" si="357"/>
        <v>0</v>
      </c>
      <c r="U736" s="51"/>
      <c r="V736" s="541">
        <f>+'NF-KSF-TRIAL-BAL-2021'!O736+'RA-TRIAL-BAL-2021'!O736+'DES-TRIAL-BAL-2021'!O736+'DMP-TRIAL-BAL-2021'!O736</f>
        <v>0</v>
      </c>
      <c r="W736" s="529">
        <f>+'NF-KSF-TRIAL-BAL-2021'!P736+'RA-TRIAL-BAL-2021'!P736+'DES-TRIAL-BAL-2021'!P736+'DMP-TRIAL-BAL-2021'!P736</f>
        <v>0</v>
      </c>
      <c r="X736" s="528">
        <f>+'NF-KSF-TRIAL-BAL-2021'!Q736+'RA-TRIAL-BAL-2021'!Q736+'DES-TRIAL-BAL-2021'!Q736+'DMP-TRIAL-BAL-2021'!Q736</f>
        <v>0</v>
      </c>
      <c r="Y736" s="529">
        <f>+'NF-KSF-TRIAL-BAL-2021'!R736+'RA-TRIAL-BAL-2021'!R736+'DES-TRIAL-BAL-2021'!R736+'DMP-TRIAL-BAL-2021'!R736</f>
        <v>0</v>
      </c>
      <c r="Z736" s="528">
        <f>+'NF-KSF-TRIAL-BAL-2021'!S736+'RA-TRIAL-BAL-2021'!S736+'DES-TRIAL-BAL-2021'!S736+'DMP-TRIAL-BAL-2021'!S736</f>
        <v>0</v>
      </c>
      <c r="AA736" s="347">
        <f>+'NF-KSF-TRIAL-BAL-2021'!T736+'RA-TRIAL-BAL-2021'!T736+'DES-TRIAL-BAL-2021'!T736+'DMP-TRIAL-BAL-2021'!T736</f>
        <v>0</v>
      </c>
      <c r="AB736" s="51"/>
      <c r="AC736" s="8">
        <v>0</v>
      </c>
      <c r="AD736" s="9">
        <v>0</v>
      </c>
      <c r="AE736" s="325"/>
      <c r="AF736" s="324"/>
      <c r="AG736" s="27">
        <f t="shared" si="358"/>
        <v>0</v>
      </c>
      <c r="AH736" s="28">
        <f t="shared" si="359"/>
        <v>0</v>
      </c>
      <c r="AI736" s="51"/>
      <c r="AJ736" s="1497">
        <f t="shared" si="351"/>
        <v>7493</v>
      </c>
      <c r="AK736" s="8">
        <v>0</v>
      </c>
      <c r="AL736" s="9">
        <v>0</v>
      </c>
      <c r="AM736" s="326">
        <f t="shared" si="341"/>
        <v>0</v>
      </c>
      <c r="AN736" s="970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58">
        <f t="shared" si="330"/>
        <v>0</v>
      </c>
      <c r="AS736" s="359">
        <f t="shared" si="331"/>
        <v>0</v>
      </c>
      <c r="AT736" s="360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25"/>
      <c r="R737" s="324"/>
      <c r="S737" s="27">
        <f t="shared" si="356"/>
        <v>0</v>
      </c>
      <c r="T737" s="28">
        <f t="shared" si="357"/>
        <v>0</v>
      </c>
      <c r="U737" s="51"/>
      <c r="V737" s="541">
        <f>+'NF-KSF-TRIAL-BAL-2021'!O737+'RA-TRIAL-BAL-2021'!O737+'DES-TRIAL-BAL-2021'!O737+'DMP-TRIAL-BAL-2021'!O737</f>
        <v>0</v>
      </c>
      <c r="W737" s="529">
        <f>+'NF-KSF-TRIAL-BAL-2021'!P737+'RA-TRIAL-BAL-2021'!P737+'DES-TRIAL-BAL-2021'!P737+'DMP-TRIAL-BAL-2021'!P737</f>
        <v>0</v>
      </c>
      <c r="X737" s="528">
        <f>+'NF-KSF-TRIAL-BAL-2021'!Q737+'RA-TRIAL-BAL-2021'!Q737+'DES-TRIAL-BAL-2021'!Q737+'DMP-TRIAL-BAL-2021'!Q737</f>
        <v>0</v>
      </c>
      <c r="Y737" s="529">
        <f>+'NF-KSF-TRIAL-BAL-2021'!R737+'RA-TRIAL-BAL-2021'!R737+'DES-TRIAL-BAL-2021'!R737+'DMP-TRIAL-BAL-2021'!R737</f>
        <v>0</v>
      </c>
      <c r="Z737" s="528">
        <f>+'NF-KSF-TRIAL-BAL-2021'!S737+'RA-TRIAL-BAL-2021'!S737+'DES-TRIAL-BAL-2021'!S737+'DMP-TRIAL-BAL-2021'!S737</f>
        <v>0</v>
      </c>
      <c r="AA737" s="347">
        <f>+'NF-KSF-TRIAL-BAL-2021'!T737+'RA-TRIAL-BAL-2021'!T737+'DES-TRIAL-BAL-2021'!T737+'DMP-TRIAL-BAL-2021'!T737</f>
        <v>0</v>
      </c>
      <c r="AB737" s="51"/>
      <c r="AC737" s="8">
        <v>0</v>
      </c>
      <c r="AD737" s="9">
        <v>0</v>
      </c>
      <c r="AE737" s="325"/>
      <c r="AF737" s="324"/>
      <c r="AG737" s="27">
        <f t="shared" si="358"/>
        <v>0</v>
      </c>
      <c r="AH737" s="28">
        <f t="shared" si="359"/>
        <v>0</v>
      </c>
      <c r="AI737" s="51"/>
      <c r="AJ737" s="1497">
        <f t="shared" si="351"/>
        <v>7494</v>
      </c>
      <c r="AK737" s="8">
        <v>0</v>
      </c>
      <c r="AL737" s="9">
        <v>0</v>
      </c>
      <c r="AM737" s="326">
        <f t="shared" si="341"/>
        <v>0</v>
      </c>
      <c r="AN737" s="970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58">
        <f t="shared" si="330"/>
        <v>0</v>
      </c>
      <c r="AS737" s="359">
        <f t="shared" si="331"/>
        <v>0</v>
      </c>
      <c r="AT737" s="360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25"/>
      <c r="R738" s="324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41">
        <f>+'NF-KSF-TRIAL-BAL-2021'!O738+'RA-TRIAL-BAL-2021'!O738+'DES-TRIAL-BAL-2021'!O738+'DMP-TRIAL-BAL-2021'!O738</f>
        <v>0</v>
      </c>
      <c r="W738" s="529">
        <f>+'NF-KSF-TRIAL-BAL-2021'!P738+'RA-TRIAL-BAL-2021'!P738+'DES-TRIAL-BAL-2021'!P738+'DMP-TRIAL-BAL-2021'!P738</f>
        <v>0</v>
      </c>
      <c r="X738" s="528">
        <f>+'NF-KSF-TRIAL-BAL-2021'!Q738+'RA-TRIAL-BAL-2021'!Q738+'DES-TRIAL-BAL-2021'!Q738+'DMP-TRIAL-BAL-2021'!Q738</f>
        <v>0</v>
      </c>
      <c r="Y738" s="529">
        <f>+'NF-KSF-TRIAL-BAL-2021'!R738+'RA-TRIAL-BAL-2021'!R738+'DES-TRIAL-BAL-2021'!R738+'DMP-TRIAL-BAL-2021'!R738</f>
        <v>0</v>
      </c>
      <c r="Z738" s="528">
        <f>+'NF-KSF-TRIAL-BAL-2021'!S738+'RA-TRIAL-BAL-2021'!S738+'DES-TRIAL-BAL-2021'!S738+'DMP-TRIAL-BAL-2021'!S738</f>
        <v>0</v>
      </c>
      <c r="AA738" s="347">
        <f>+'NF-KSF-TRIAL-BAL-2021'!T738+'RA-TRIAL-BAL-2021'!T738+'DES-TRIAL-BAL-2021'!T738+'DMP-TRIAL-BAL-2021'!T738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97">
        <f>+N738</f>
        <v>7499</v>
      </c>
      <c r="AK738" s="8">
        <v>0</v>
      </c>
      <c r="AL738" s="9">
        <v>0</v>
      </c>
      <c r="AM738" s="326">
        <f>+ROUND(+Q738+X738+AE738,2)</f>
        <v>0</v>
      </c>
      <c r="AN738" s="970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58">
        <f>+ROUND(+SUM(AK738-AL738)-SUM(O738-P738)-SUM(V738-W738)-SUM(AC738-AD738),2)</f>
        <v>0</v>
      </c>
      <c r="AS738" s="359">
        <f>+ROUND(+SUM(AM738-AN738)-SUM(Q738-R738)-SUM(X738-Y738)-SUM(AE738-AF738),2)</f>
        <v>0</v>
      </c>
      <c r="AT738" s="360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25"/>
      <c r="R739" s="324"/>
      <c r="S739" s="27">
        <f t="shared" si="356"/>
        <v>0</v>
      </c>
      <c r="T739" s="28">
        <f t="shared" si="357"/>
        <v>0</v>
      </c>
      <c r="U739" s="51"/>
      <c r="V739" s="541">
        <f>+'NF-KSF-TRIAL-BAL-2021'!O739+'RA-TRIAL-BAL-2021'!O739+'DES-TRIAL-BAL-2021'!O739+'DMP-TRIAL-BAL-2021'!O739</f>
        <v>0</v>
      </c>
      <c r="W739" s="529">
        <f>+'NF-KSF-TRIAL-BAL-2021'!P739+'RA-TRIAL-BAL-2021'!P739+'DES-TRIAL-BAL-2021'!P739+'DMP-TRIAL-BAL-2021'!P739</f>
        <v>0</v>
      </c>
      <c r="X739" s="528">
        <f>+'NF-KSF-TRIAL-BAL-2021'!Q739+'RA-TRIAL-BAL-2021'!Q739+'DES-TRIAL-BAL-2021'!Q739+'DMP-TRIAL-BAL-2021'!Q739</f>
        <v>0</v>
      </c>
      <c r="Y739" s="529">
        <f>+'NF-KSF-TRIAL-BAL-2021'!R739+'RA-TRIAL-BAL-2021'!R739+'DES-TRIAL-BAL-2021'!R739+'DMP-TRIAL-BAL-2021'!R739</f>
        <v>0</v>
      </c>
      <c r="Z739" s="528">
        <f>+'NF-KSF-TRIAL-BAL-2021'!S739+'RA-TRIAL-BAL-2021'!S739+'DES-TRIAL-BAL-2021'!S739+'DMP-TRIAL-BAL-2021'!S739</f>
        <v>0</v>
      </c>
      <c r="AA739" s="347">
        <f>+'NF-KSF-TRIAL-BAL-2021'!T739+'RA-TRIAL-BAL-2021'!T739+'DES-TRIAL-BAL-2021'!T739+'DMP-TRIAL-BAL-2021'!T739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97">
        <f t="shared" si="351"/>
        <v>7500</v>
      </c>
      <c r="AK739" s="8">
        <v>0</v>
      </c>
      <c r="AL739" s="9">
        <v>0</v>
      </c>
      <c r="AM739" s="326">
        <f t="shared" si="341"/>
        <v>0</v>
      </c>
      <c r="AN739" s="970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58">
        <f t="shared" si="330"/>
        <v>0</v>
      </c>
      <c r="AS739" s="359">
        <f t="shared" si="331"/>
        <v>0</v>
      </c>
      <c r="AT739" s="360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25">
        <v>3737488.08</v>
      </c>
      <c r="R740" s="324">
        <v>3737488.08</v>
      </c>
      <c r="S740" s="27">
        <f t="shared" si="356"/>
        <v>0</v>
      </c>
      <c r="T740" s="28">
        <f t="shared" si="357"/>
        <v>0</v>
      </c>
      <c r="U740" s="51"/>
      <c r="V740" s="541">
        <f>+'NF-KSF-TRIAL-BAL-2021'!O740+'RA-TRIAL-BAL-2021'!O740+'DES-TRIAL-BAL-2021'!O740+'DMP-TRIAL-BAL-2021'!O740</f>
        <v>0</v>
      </c>
      <c r="W740" s="529">
        <f>+'NF-KSF-TRIAL-BAL-2021'!P740+'RA-TRIAL-BAL-2021'!P740+'DES-TRIAL-BAL-2021'!P740+'DMP-TRIAL-BAL-2021'!P740</f>
        <v>0</v>
      </c>
      <c r="X740" s="528">
        <f>+'NF-KSF-TRIAL-BAL-2021'!Q740+'RA-TRIAL-BAL-2021'!Q740+'DES-TRIAL-BAL-2021'!Q740+'DMP-TRIAL-BAL-2021'!Q740</f>
        <v>0</v>
      </c>
      <c r="Y740" s="529">
        <f>+'NF-KSF-TRIAL-BAL-2021'!R740+'RA-TRIAL-BAL-2021'!R740+'DES-TRIAL-BAL-2021'!R740+'DMP-TRIAL-BAL-2021'!R740</f>
        <v>0</v>
      </c>
      <c r="Z740" s="528">
        <f>+'NF-KSF-TRIAL-BAL-2021'!S740+'RA-TRIAL-BAL-2021'!S740+'DES-TRIAL-BAL-2021'!S740+'DMP-TRIAL-BAL-2021'!S740</f>
        <v>0</v>
      </c>
      <c r="AA740" s="347">
        <f>+'NF-KSF-TRIAL-BAL-2021'!T740+'RA-TRIAL-BAL-2021'!T740+'DES-TRIAL-BAL-2021'!T740+'DMP-TRIAL-BAL-2021'!T740</f>
        <v>0</v>
      </c>
      <c r="AB740" s="51"/>
      <c r="AC740" s="8">
        <v>0</v>
      </c>
      <c r="AD740" s="9">
        <v>0</v>
      </c>
      <c r="AE740" s="325"/>
      <c r="AF740" s="121"/>
      <c r="AG740" s="27">
        <f t="shared" si="358"/>
        <v>0</v>
      </c>
      <c r="AH740" s="28">
        <f t="shared" si="359"/>
        <v>0</v>
      </c>
      <c r="AI740" s="51"/>
      <c r="AJ740" s="1497">
        <f t="shared" si="351"/>
        <v>7501</v>
      </c>
      <c r="AK740" s="8">
        <v>0</v>
      </c>
      <c r="AL740" s="9">
        <v>0</v>
      </c>
      <c r="AM740" s="326">
        <f t="shared" si="341"/>
        <v>3737488.08</v>
      </c>
      <c r="AN740" s="970">
        <f t="shared" si="341"/>
        <v>3737488.08</v>
      </c>
      <c r="AO740" s="27">
        <f t="shared" si="360"/>
        <v>0</v>
      </c>
      <c r="AP740" s="28">
        <f t="shared" si="361"/>
        <v>0</v>
      </c>
      <c r="AQ740" s="43"/>
      <c r="AR740" s="358">
        <f t="shared" si="330"/>
        <v>0</v>
      </c>
      <c r="AS740" s="359">
        <f t="shared" si="331"/>
        <v>0</v>
      </c>
      <c r="AT740" s="360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25"/>
      <c r="R741" s="324"/>
      <c r="S741" s="27">
        <f t="shared" si="356"/>
        <v>0</v>
      </c>
      <c r="T741" s="28">
        <f t="shared" si="357"/>
        <v>0</v>
      </c>
      <c r="U741" s="51"/>
      <c r="V741" s="541">
        <f>+'NF-KSF-TRIAL-BAL-2021'!O741+'RA-TRIAL-BAL-2021'!O741+'DES-TRIAL-BAL-2021'!O741+'DMP-TRIAL-BAL-2021'!O741</f>
        <v>0</v>
      </c>
      <c r="W741" s="529">
        <f>+'NF-KSF-TRIAL-BAL-2021'!P741+'RA-TRIAL-BAL-2021'!P741+'DES-TRIAL-BAL-2021'!P741+'DMP-TRIAL-BAL-2021'!P741</f>
        <v>0</v>
      </c>
      <c r="X741" s="528">
        <f>+'NF-KSF-TRIAL-BAL-2021'!Q741+'RA-TRIAL-BAL-2021'!Q741+'DES-TRIAL-BAL-2021'!Q741+'DMP-TRIAL-BAL-2021'!Q741</f>
        <v>0</v>
      </c>
      <c r="Y741" s="529">
        <f>+'NF-KSF-TRIAL-BAL-2021'!R741+'RA-TRIAL-BAL-2021'!R741+'DES-TRIAL-BAL-2021'!R741+'DMP-TRIAL-BAL-2021'!R741</f>
        <v>0</v>
      </c>
      <c r="Z741" s="528">
        <f>+'NF-KSF-TRIAL-BAL-2021'!S741+'RA-TRIAL-BAL-2021'!S741+'DES-TRIAL-BAL-2021'!S741+'DMP-TRIAL-BAL-2021'!S741</f>
        <v>0</v>
      </c>
      <c r="AA741" s="347">
        <f>+'NF-KSF-TRIAL-BAL-2021'!T741+'RA-TRIAL-BAL-2021'!T741+'DES-TRIAL-BAL-2021'!T741+'DMP-TRIAL-BAL-2021'!T741</f>
        <v>0</v>
      </c>
      <c r="AB741" s="51"/>
      <c r="AC741" s="8">
        <v>0</v>
      </c>
      <c r="AD741" s="9">
        <v>0</v>
      </c>
      <c r="AE741" s="122"/>
      <c r="AF741" s="324"/>
      <c r="AG741" s="27">
        <f t="shared" si="358"/>
        <v>0</v>
      </c>
      <c r="AH741" s="28">
        <f t="shared" si="359"/>
        <v>0</v>
      </c>
      <c r="AI741" s="51"/>
      <c r="AJ741" s="1497">
        <f t="shared" si="351"/>
        <v>7502</v>
      </c>
      <c r="AK741" s="8">
        <v>0</v>
      </c>
      <c r="AL741" s="9">
        <v>0</v>
      </c>
      <c r="AM741" s="326">
        <f t="shared" si="341"/>
        <v>0</v>
      </c>
      <c r="AN741" s="970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58">
        <f t="shared" si="330"/>
        <v>0</v>
      </c>
      <c r="AS741" s="359">
        <f t="shared" si="331"/>
        <v>0</v>
      </c>
      <c r="AT741" s="360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25">
        <v>194</v>
      </c>
      <c r="R742" s="324">
        <v>6384719.8099999996</v>
      </c>
      <c r="S742" s="27">
        <f t="shared" si="356"/>
        <v>0</v>
      </c>
      <c r="T742" s="28">
        <f t="shared" si="357"/>
        <v>6384525.8099999996</v>
      </c>
      <c r="U742" s="51"/>
      <c r="V742" s="541">
        <f>+'NF-KSF-TRIAL-BAL-2021'!O742+'RA-TRIAL-BAL-2021'!O742+'DES-TRIAL-BAL-2021'!O742+'DMP-TRIAL-BAL-2021'!O742</f>
        <v>0</v>
      </c>
      <c r="W742" s="529">
        <f>+'NF-KSF-TRIAL-BAL-2021'!P742+'RA-TRIAL-BAL-2021'!P742+'DES-TRIAL-BAL-2021'!P742+'DMP-TRIAL-BAL-2021'!P742</f>
        <v>0</v>
      </c>
      <c r="X742" s="528">
        <f>+'NF-KSF-TRIAL-BAL-2021'!Q742+'RA-TRIAL-BAL-2021'!Q742+'DES-TRIAL-BAL-2021'!Q742+'DMP-TRIAL-BAL-2021'!Q742</f>
        <v>0</v>
      </c>
      <c r="Y742" s="529">
        <f>+'NF-KSF-TRIAL-BAL-2021'!R742+'RA-TRIAL-BAL-2021'!R742+'DES-TRIAL-BAL-2021'!R742+'DMP-TRIAL-BAL-2021'!R742</f>
        <v>0</v>
      </c>
      <c r="Z742" s="528">
        <f>+'NF-KSF-TRIAL-BAL-2021'!S742+'RA-TRIAL-BAL-2021'!S742+'DES-TRIAL-BAL-2021'!S742+'DMP-TRIAL-BAL-2021'!S742</f>
        <v>0</v>
      </c>
      <c r="AA742" s="347">
        <f>+'NF-KSF-TRIAL-BAL-2021'!T742+'RA-TRIAL-BAL-2021'!T742+'DES-TRIAL-BAL-2021'!T742+'DMP-TRIAL-BAL-2021'!T742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97">
        <f t="shared" si="351"/>
        <v>7511</v>
      </c>
      <c r="AK742" s="8">
        <v>0</v>
      </c>
      <c r="AL742" s="9">
        <v>0</v>
      </c>
      <c r="AM742" s="326">
        <f t="shared" si="341"/>
        <v>194</v>
      </c>
      <c r="AN742" s="970">
        <f t="shared" si="341"/>
        <v>6384719.8099999996</v>
      </c>
      <c r="AO742" s="27">
        <f t="shared" si="360"/>
        <v>0</v>
      </c>
      <c r="AP742" s="28">
        <f t="shared" si="361"/>
        <v>6384525.8099999996</v>
      </c>
      <c r="AQ742" s="43"/>
      <c r="AR742" s="358">
        <f t="shared" si="330"/>
        <v>0</v>
      </c>
      <c r="AS742" s="359">
        <f t="shared" si="331"/>
        <v>0</v>
      </c>
      <c r="AT742" s="360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25"/>
      <c r="R743" s="324"/>
      <c r="S743" s="27">
        <f t="shared" si="356"/>
        <v>0</v>
      </c>
      <c r="T743" s="28">
        <f t="shared" si="357"/>
        <v>0</v>
      </c>
      <c r="U743" s="51"/>
      <c r="V743" s="541">
        <f>+'NF-KSF-TRIAL-BAL-2021'!O743+'RA-TRIAL-BAL-2021'!O743+'DES-TRIAL-BAL-2021'!O743+'DMP-TRIAL-BAL-2021'!O743</f>
        <v>0</v>
      </c>
      <c r="W743" s="529">
        <f>+'NF-KSF-TRIAL-BAL-2021'!P743+'RA-TRIAL-BAL-2021'!P743+'DES-TRIAL-BAL-2021'!P743+'DMP-TRIAL-BAL-2021'!P743</f>
        <v>0</v>
      </c>
      <c r="X743" s="528">
        <f>+'NF-KSF-TRIAL-BAL-2021'!Q743+'RA-TRIAL-BAL-2021'!Q743+'DES-TRIAL-BAL-2021'!Q743+'DMP-TRIAL-BAL-2021'!Q743</f>
        <v>0</v>
      </c>
      <c r="Y743" s="529">
        <f>+'NF-KSF-TRIAL-BAL-2021'!R743+'RA-TRIAL-BAL-2021'!R743+'DES-TRIAL-BAL-2021'!R743+'DMP-TRIAL-BAL-2021'!R743</f>
        <v>0</v>
      </c>
      <c r="Z743" s="528">
        <f>+'NF-KSF-TRIAL-BAL-2021'!S743+'RA-TRIAL-BAL-2021'!S743+'DES-TRIAL-BAL-2021'!S743+'DMP-TRIAL-BAL-2021'!S743</f>
        <v>0</v>
      </c>
      <c r="AA743" s="347">
        <f>+'NF-KSF-TRIAL-BAL-2021'!T743+'RA-TRIAL-BAL-2021'!T743+'DES-TRIAL-BAL-2021'!T743+'DMP-TRIAL-BAL-2021'!T743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97">
        <f t="shared" si="351"/>
        <v>7519</v>
      </c>
      <c r="AK743" s="8">
        <v>0</v>
      </c>
      <c r="AL743" s="9">
        <v>0</v>
      </c>
      <c r="AM743" s="326">
        <f t="shared" si="341"/>
        <v>0</v>
      </c>
      <c r="AN743" s="970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58">
        <f t="shared" si="330"/>
        <v>0</v>
      </c>
      <c r="AS743" s="359">
        <f t="shared" si="331"/>
        <v>0</v>
      </c>
      <c r="AT743" s="360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25">
        <v>4216.66</v>
      </c>
      <c r="R744" s="324">
        <v>2198906.06</v>
      </c>
      <c r="S744" s="27">
        <f t="shared" si="356"/>
        <v>0</v>
      </c>
      <c r="T744" s="28">
        <f t="shared" si="357"/>
        <v>2194689.4</v>
      </c>
      <c r="U744" s="51"/>
      <c r="V744" s="541">
        <f>+'NF-KSF-TRIAL-BAL-2021'!O744+'RA-TRIAL-BAL-2021'!O744+'DES-TRIAL-BAL-2021'!O744+'DMP-TRIAL-BAL-2021'!O744</f>
        <v>0</v>
      </c>
      <c r="W744" s="529">
        <f>+'NF-KSF-TRIAL-BAL-2021'!P744+'RA-TRIAL-BAL-2021'!P744+'DES-TRIAL-BAL-2021'!P744+'DMP-TRIAL-BAL-2021'!P744</f>
        <v>0</v>
      </c>
      <c r="X744" s="528">
        <f>+'NF-KSF-TRIAL-BAL-2021'!Q744+'RA-TRIAL-BAL-2021'!Q744+'DES-TRIAL-BAL-2021'!Q744+'DMP-TRIAL-BAL-2021'!Q744</f>
        <v>0</v>
      </c>
      <c r="Y744" s="529">
        <f>+'NF-KSF-TRIAL-BAL-2021'!R744+'RA-TRIAL-BAL-2021'!R744+'DES-TRIAL-BAL-2021'!R744+'DMP-TRIAL-BAL-2021'!R744</f>
        <v>0</v>
      </c>
      <c r="Z744" s="528">
        <f>+'NF-KSF-TRIAL-BAL-2021'!S744+'RA-TRIAL-BAL-2021'!S744+'DES-TRIAL-BAL-2021'!S744+'DMP-TRIAL-BAL-2021'!S744</f>
        <v>0</v>
      </c>
      <c r="AA744" s="347">
        <f>+'NF-KSF-TRIAL-BAL-2021'!T744+'RA-TRIAL-BAL-2021'!T744+'DES-TRIAL-BAL-2021'!T744+'DMP-TRIAL-BAL-2021'!T744</f>
        <v>0</v>
      </c>
      <c r="AB744" s="51"/>
      <c r="AC744" s="8">
        <v>0</v>
      </c>
      <c r="AD744" s="9">
        <v>0</v>
      </c>
      <c r="AE744" s="325"/>
      <c r="AF744" s="324"/>
      <c r="AG744" s="27">
        <f t="shared" si="358"/>
        <v>0</v>
      </c>
      <c r="AH744" s="28">
        <f t="shared" si="359"/>
        <v>0</v>
      </c>
      <c r="AI744" s="51"/>
      <c r="AJ744" s="1497">
        <f t="shared" si="351"/>
        <v>7522</v>
      </c>
      <c r="AK744" s="8">
        <v>0</v>
      </c>
      <c r="AL744" s="9">
        <v>0</v>
      </c>
      <c r="AM744" s="326">
        <f t="shared" si="341"/>
        <v>4216.66</v>
      </c>
      <c r="AN744" s="970">
        <f t="shared" si="341"/>
        <v>2198906.06</v>
      </c>
      <c r="AO744" s="27">
        <f t="shared" si="360"/>
        <v>0</v>
      </c>
      <c r="AP744" s="28">
        <f t="shared" si="361"/>
        <v>2194689.4</v>
      </c>
      <c r="AQ744" s="43"/>
      <c r="AR744" s="358">
        <f t="shared" si="330"/>
        <v>0</v>
      </c>
      <c r="AS744" s="359">
        <f t="shared" si="331"/>
        <v>0</v>
      </c>
      <c r="AT744" s="360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25">
        <v>206982.97</v>
      </c>
      <c r="R745" s="324">
        <v>40604.129999999997</v>
      </c>
      <c r="S745" s="27">
        <f t="shared" si="356"/>
        <v>166378.84</v>
      </c>
      <c r="T745" s="28">
        <f t="shared" si="357"/>
        <v>0</v>
      </c>
      <c r="U745" s="51"/>
      <c r="V745" s="541">
        <f>+'NF-KSF-TRIAL-BAL-2021'!O745+'RA-TRIAL-BAL-2021'!O745+'DES-TRIAL-BAL-2021'!O745+'DMP-TRIAL-BAL-2021'!O745</f>
        <v>0</v>
      </c>
      <c r="W745" s="529">
        <f>+'NF-KSF-TRIAL-BAL-2021'!P745+'RA-TRIAL-BAL-2021'!P745+'DES-TRIAL-BAL-2021'!P745+'DMP-TRIAL-BAL-2021'!P745</f>
        <v>0</v>
      </c>
      <c r="X745" s="528">
        <f>+'NF-KSF-TRIAL-BAL-2021'!Q745+'RA-TRIAL-BAL-2021'!Q745+'DES-TRIAL-BAL-2021'!Q745+'DMP-TRIAL-BAL-2021'!Q745</f>
        <v>3550955.11</v>
      </c>
      <c r="Y745" s="529">
        <f>+'NF-KSF-TRIAL-BAL-2021'!R745+'RA-TRIAL-BAL-2021'!R745+'DES-TRIAL-BAL-2021'!R745+'DMP-TRIAL-BAL-2021'!R745</f>
        <v>4332359.1399999997</v>
      </c>
      <c r="Z745" s="528">
        <f>+'NF-KSF-TRIAL-BAL-2021'!S745+'RA-TRIAL-BAL-2021'!S745+'DES-TRIAL-BAL-2021'!S745+'DMP-TRIAL-BAL-2021'!S745</f>
        <v>0</v>
      </c>
      <c r="AA745" s="347">
        <f>+'NF-KSF-TRIAL-BAL-2021'!T745+'RA-TRIAL-BAL-2021'!T745+'DES-TRIAL-BAL-2021'!T745+'DMP-TRIAL-BAL-2021'!T745</f>
        <v>781404.03000000014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97">
        <f t="shared" si="351"/>
        <v>7524</v>
      </c>
      <c r="AK745" s="8">
        <v>0</v>
      </c>
      <c r="AL745" s="9">
        <v>0</v>
      </c>
      <c r="AM745" s="326">
        <f t="shared" si="341"/>
        <v>3757938.08</v>
      </c>
      <c r="AN745" s="970">
        <f t="shared" si="341"/>
        <v>4372963.2699999996</v>
      </c>
      <c r="AO745" s="27">
        <f t="shared" si="360"/>
        <v>166378.84</v>
      </c>
      <c r="AP745" s="28">
        <f t="shared" si="361"/>
        <v>781404.03000000014</v>
      </c>
      <c r="AQ745" s="43"/>
      <c r="AR745" s="358">
        <f t="shared" si="330"/>
        <v>0</v>
      </c>
      <c r="AS745" s="359">
        <f t="shared" si="331"/>
        <v>0</v>
      </c>
      <c r="AT745" s="360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25"/>
      <c r="R746" s="324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41">
        <f>+'NF-KSF-TRIAL-BAL-2021'!O746+'RA-TRIAL-BAL-2021'!O746+'DES-TRIAL-BAL-2021'!O746+'DMP-TRIAL-BAL-2021'!O746</f>
        <v>0</v>
      </c>
      <c r="W746" s="529">
        <f>+'NF-KSF-TRIAL-BAL-2021'!P746+'RA-TRIAL-BAL-2021'!P746+'DES-TRIAL-BAL-2021'!P746+'DMP-TRIAL-BAL-2021'!P746</f>
        <v>0</v>
      </c>
      <c r="X746" s="528">
        <f>+'NF-KSF-TRIAL-BAL-2021'!Q746+'RA-TRIAL-BAL-2021'!Q746+'DES-TRIAL-BAL-2021'!Q746+'DMP-TRIAL-BAL-2021'!Q746</f>
        <v>0</v>
      </c>
      <c r="Y746" s="529">
        <f>+'NF-KSF-TRIAL-BAL-2021'!R746+'RA-TRIAL-BAL-2021'!R746+'DES-TRIAL-BAL-2021'!R746+'DMP-TRIAL-BAL-2021'!R746</f>
        <v>0</v>
      </c>
      <c r="Z746" s="528">
        <f>+'NF-KSF-TRIAL-BAL-2021'!S746+'RA-TRIAL-BAL-2021'!S746+'DES-TRIAL-BAL-2021'!S746+'DMP-TRIAL-BAL-2021'!S746</f>
        <v>0</v>
      </c>
      <c r="AA746" s="347">
        <f>+'NF-KSF-TRIAL-BAL-2021'!T746+'RA-TRIAL-BAL-2021'!T746+'DES-TRIAL-BAL-2021'!T746+'DMP-TRIAL-BAL-2021'!T746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97">
        <f>+N746</f>
        <v>7525</v>
      </c>
      <c r="AK746" s="8">
        <v>0</v>
      </c>
      <c r="AL746" s="9">
        <v>0</v>
      </c>
      <c r="AM746" s="326">
        <f>+ROUND(+Q746+X746+AE746,2)</f>
        <v>0</v>
      </c>
      <c r="AN746" s="970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58">
        <f>+ROUND(+SUM(AK746-AL746)-SUM(O746-P746)-SUM(V746-W746)-SUM(AC746-AD746),2)</f>
        <v>0</v>
      </c>
      <c r="AS746" s="359">
        <f>+ROUND(+SUM(AM746-AN746)-SUM(Q746-R746)-SUM(X746-Y746)-SUM(AE746-AF746),2)</f>
        <v>0</v>
      </c>
      <c r="AT746" s="360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25">
        <v>69199.09</v>
      </c>
      <c r="R747" s="324">
        <v>69199.09</v>
      </c>
      <c r="S747" s="27">
        <f>+IF(ABS(+O747+Q747)&gt;=ABS(P747+R747),+O747-P747+Q747-R747,0)</f>
        <v>0</v>
      </c>
      <c r="T747" s="28">
        <f>+IF(ABS(+O747+Q747)&lt;=ABS(P747+R747),-O747+P747-Q747+R747,0)</f>
        <v>0</v>
      </c>
      <c r="U747" s="51"/>
      <c r="V747" s="541">
        <f>+'NF-KSF-TRIAL-BAL-2021'!O747+'RA-TRIAL-BAL-2021'!O747+'DES-TRIAL-BAL-2021'!O747+'DMP-TRIAL-BAL-2021'!O747</f>
        <v>0</v>
      </c>
      <c r="W747" s="529">
        <f>+'NF-KSF-TRIAL-BAL-2021'!P747+'RA-TRIAL-BAL-2021'!P747+'DES-TRIAL-BAL-2021'!P747+'DMP-TRIAL-BAL-2021'!P747</f>
        <v>0</v>
      </c>
      <c r="X747" s="528">
        <f>+'NF-KSF-TRIAL-BAL-2021'!Q747+'RA-TRIAL-BAL-2021'!Q747+'DES-TRIAL-BAL-2021'!Q747+'DMP-TRIAL-BAL-2021'!Q747</f>
        <v>25066.92</v>
      </c>
      <c r="Y747" s="529">
        <f>+'NF-KSF-TRIAL-BAL-2021'!R747+'RA-TRIAL-BAL-2021'!R747+'DES-TRIAL-BAL-2021'!R747+'DMP-TRIAL-BAL-2021'!R747</f>
        <v>4704628.58</v>
      </c>
      <c r="Z747" s="528">
        <f>+'NF-KSF-TRIAL-BAL-2021'!S747+'RA-TRIAL-BAL-2021'!S747+'DES-TRIAL-BAL-2021'!S747+'DMP-TRIAL-BAL-2021'!S747</f>
        <v>0</v>
      </c>
      <c r="AA747" s="347">
        <f>+'NF-KSF-TRIAL-BAL-2021'!T747+'RA-TRIAL-BAL-2021'!T747+'DES-TRIAL-BAL-2021'!T747+'DMP-TRIAL-BAL-2021'!T747</f>
        <v>4679561.66</v>
      </c>
      <c r="AB747" s="51"/>
      <c r="AC747" s="8">
        <v>0</v>
      </c>
      <c r="AD747" s="9">
        <v>0</v>
      </c>
      <c r="AE747" s="325"/>
      <c r="AF747" s="324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97">
        <f>+N747</f>
        <v>7532</v>
      </c>
      <c r="AK747" s="8">
        <v>0</v>
      </c>
      <c r="AL747" s="9">
        <v>0</v>
      </c>
      <c r="AM747" s="326">
        <f t="shared" ref="AM747:AN749" si="362">+ROUND(+Q747+X747+AE747,2)</f>
        <v>94266.01</v>
      </c>
      <c r="AN747" s="970">
        <f t="shared" si="362"/>
        <v>4773827.67</v>
      </c>
      <c r="AO747" s="27">
        <f t="shared" si="360"/>
        <v>0</v>
      </c>
      <c r="AP747" s="28">
        <f t="shared" si="361"/>
        <v>4679561.66</v>
      </c>
      <c r="AQ747" s="43"/>
      <c r="AR747" s="358">
        <f>+ROUND(+SUM(AK747-AL747)-SUM(O747-P747)-SUM(V747-W747)-SUM(AC747-AD747),2)</f>
        <v>0</v>
      </c>
      <c r="AS747" s="359">
        <f>+ROUND(+SUM(AM747-AN747)-SUM(Q747-R747)-SUM(X747-Y747)-SUM(AE747-AF747),2)</f>
        <v>0</v>
      </c>
      <c r="AT747" s="360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25">
        <v>4329739.82</v>
      </c>
      <c r="R748" s="324">
        <v>3550955.11</v>
      </c>
      <c r="S748" s="27">
        <f>+IF(ABS(+O748+Q748)&gt;=ABS(P748+R748),+O748-P748+Q748-R748,0)</f>
        <v>778784.71000000043</v>
      </c>
      <c r="T748" s="28">
        <f>+IF(ABS(+O748+Q748)&lt;=ABS(P748+R748),-O748+P748-Q748+R748,0)</f>
        <v>0</v>
      </c>
      <c r="U748" s="51"/>
      <c r="V748" s="541">
        <f>+'NF-KSF-TRIAL-BAL-2021'!O748+'RA-TRIAL-BAL-2021'!O748+'DES-TRIAL-BAL-2021'!O748+'DMP-TRIAL-BAL-2021'!O748</f>
        <v>0</v>
      </c>
      <c r="W748" s="529">
        <f>+'NF-KSF-TRIAL-BAL-2021'!P748+'RA-TRIAL-BAL-2021'!P748+'DES-TRIAL-BAL-2021'!P748+'DMP-TRIAL-BAL-2021'!P748</f>
        <v>0</v>
      </c>
      <c r="X748" s="528">
        <f>+'NF-KSF-TRIAL-BAL-2021'!Q748+'RA-TRIAL-BAL-2021'!Q748+'DES-TRIAL-BAL-2021'!Q748+'DMP-TRIAL-BAL-2021'!Q748</f>
        <v>0</v>
      </c>
      <c r="Y748" s="529">
        <f>+'NF-KSF-TRIAL-BAL-2021'!R748+'RA-TRIAL-BAL-2021'!R748+'DES-TRIAL-BAL-2021'!R748+'DMP-TRIAL-BAL-2021'!R748</f>
        <v>0</v>
      </c>
      <c r="Z748" s="528">
        <f>+'NF-KSF-TRIAL-BAL-2021'!S748+'RA-TRIAL-BAL-2021'!S748+'DES-TRIAL-BAL-2021'!S748+'DMP-TRIAL-BAL-2021'!S748</f>
        <v>0</v>
      </c>
      <c r="AA748" s="347">
        <f>+'NF-KSF-TRIAL-BAL-2021'!T748+'RA-TRIAL-BAL-2021'!T748+'DES-TRIAL-BAL-2021'!T748+'DMP-TRIAL-BAL-2021'!T748</f>
        <v>0</v>
      </c>
      <c r="AB748" s="51"/>
      <c r="AC748" s="8">
        <v>0</v>
      </c>
      <c r="AD748" s="9">
        <v>0</v>
      </c>
      <c r="AE748" s="325"/>
      <c r="AF748" s="324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97">
        <f>+N748</f>
        <v>7534</v>
      </c>
      <c r="AK748" s="8">
        <v>0</v>
      </c>
      <c r="AL748" s="9">
        <v>0</v>
      </c>
      <c r="AM748" s="326">
        <f t="shared" si="362"/>
        <v>4329739.82</v>
      </c>
      <c r="AN748" s="970">
        <f t="shared" si="362"/>
        <v>3550955.11</v>
      </c>
      <c r="AO748" s="27">
        <f t="shared" si="360"/>
        <v>778784.71000000043</v>
      </c>
      <c r="AP748" s="28">
        <f t="shared" si="361"/>
        <v>0</v>
      </c>
      <c r="AQ748" s="43"/>
      <c r="AR748" s="358">
        <f>+ROUND(+SUM(AK748-AL748)-SUM(O748-P748)-SUM(V748-W748)-SUM(AC748-AD748),2)</f>
        <v>0</v>
      </c>
      <c r="AS748" s="359">
        <f>+ROUND(+SUM(AM748-AN748)-SUM(Q748-R748)-SUM(X748-Y748)-SUM(AE748-AF748),2)</f>
        <v>0</v>
      </c>
      <c r="AT748" s="360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25"/>
      <c r="R749" s="324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41">
        <f>+'NF-KSF-TRIAL-BAL-2021'!O749+'RA-TRIAL-BAL-2021'!O749+'DES-TRIAL-BAL-2021'!O749+'DMP-TRIAL-BAL-2021'!O749</f>
        <v>0</v>
      </c>
      <c r="W749" s="529">
        <f>+'NF-KSF-TRIAL-BAL-2021'!P749+'RA-TRIAL-BAL-2021'!P749+'DES-TRIAL-BAL-2021'!P749+'DMP-TRIAL-BAL-2021'!P749</f>
        <v>0</v>
      </c>
      <c r="X749" s="528">
        <f>+'NF-KSF-TRIAL-BAL-2021'!Q749+'RA-TRIAL-BAL-2021'!Q749+'DES-TRIAL-BAL-2021'!Q749+'DMP-TRIAL-BAL-2021'!Q749</f>
        <v>0</v>
      </c>
      <c r="Y749" s="529">
        <f>+'NF-KSF-TRIAL-BAL-2021'!R749+'RA-TRIAL-BAL-2021'!R749+'DES-TRIAL-BAL-2021'!R749+'DMP-TRIAL-BAL-2021'!R749</f>
        <v>0</v>
      </c>
      <c r="Z749" s="528">
        <f>+'NF-KSF-TRIAL-BAL-2021'!S749+'RA-TRIAL-BAL-2021'!S749+'DES-TRIAL-BAL-2021'!S749+'DMP-TRIAL-BAL-2021'!S749</f>
        <v>0</v>
      </c>
      <c r="AA749" s="347">
        <f>+'NF-KSF-TRIAL-BAL-2021'!T749+'RA-TRIAL-BAL-2021'!T749+'DES-TRIAL-BAL-2021'!T749+'DMP-TRIAL-BAL-2021'!T749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97">
        <f>+N749</f>
        <v>7535</v>
      </c>
      <c r="AK749" s="8">
        <v>0</v>
      </c>
      <c r="AL749" s="9">
        <v>0</v>
      </c>
      <c r="AM749" s="326">
        <f t="shared" si="362"/>
        <v>0</v>
      </c>
      <c r="AN749" s="970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58">
        <f>+ROUND(+SUM(AK749-AL749)-SUM(O749-P749)-SUM(V749-W749)-SUM(AC749-AD749),2)</f>
        <v>0</v>
      </c>
      <c r="AS749" s="359">
        <f>+ROUND(+SUM(AM749-AN749)-SUM(Q749-R749)-SUM(X749-Y749)-SUM(AE749-AF749),2)</f>
        <v>0</v>
      </c>
      <c r="AT749" s="360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25"/>
      <c r="R750" s="324"/>
      <c r="S750" s="27">
        <f t="shared" si="356"/>
        <v>0</v>
      </c>
      <c r="T750" s="28">
        <f t="shared" si="357"/>
        <v>0</v>
      </c>
      <c r="U750" s="51"/>
      <c r="V750" s="541">
        <f>+'NF-KSF-TRIAL-BAL-2021'!O750+'RA-TRIAL-BAL-2021'!O750+'DES-TRIAL-BAL-2021'!O750+'DMP-TRIAL-BAL-2021'!O750</f>
        <v>0</v>
      </c>
      <c r="W750" s="529">
        <f>+'NF-KSF-TRIAL-BAL-2021'!P750+'RA-TRIAL-BAL-2021'!P750+'DES-TRIAL-BAL-2021'!P750+'DMP-TRIAL-BAL-2021'!P750</f>
        <v>0</v>
      </c>
      <c r="X750" s="528">
        <f>+'NF-KSF-TRIAL-BAL-2021'!Q750+'RA-TRIAL-BAL-2021'!Q750+'DES-TRIAL-BAL-2021'!Q750+'DMP-TRIAL-BAL-2021'!Q750</f>
        <v>0</v>
      </c>
      <c r="Y750" s="529">
        <f>+'NF-KSF-TRIAL-BAL-2021'!R750+'RA-TRIAL-BAL-2021'!R750+'DES-TRIAL-BAL-2021'!R750+'DMP-TRIAL-BAL-2021'!R750</f>
        <v>0</v>
      </c>
      <c r="Z750" s="528">
        <f>+'NF-KSF-TRIAL-BAL-2021'!S750+'RA-TRIAL-BAL-2021'!S750+'DES-TRIAL-BAL-2021'!S750+'DMP-TRIAL-BAL-2021'!S750</f>
        <v>0</v>
      </c>
      <c r="AA750" s="347">
        <f>+'NF-KSF-TRIAL-BAL-2021'!T750+'RA-TRIAL-BAL-2021'!T750+'DES-TRIAL-BAL-2021'!T750+'DMP-TRIAL-BAL-2021'!T750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97">
        <f t="shared" si="351"/>
        <v>7582</v>
      </c>
      <c r="AK750" s="8">
        <v>0</v>
      </c>
      <c r="AL750" s="9">
        <v>0</v>
      </c>
      <c r="AM750" s="326">
        <f t="shared" si="341"/>
        <v>0</v>
      </c>
      <c r="AN750" s="970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58">
        <f t="shared" si="330"/>
        <v>0</v>
      </c>
      <c r="AS750" s="359">
        <f t="shared" si="331"/>
        <v>0</v>
      </c>
      <c r="AT750" s="360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25"/>
      <c r="R751" s="324"/>
      <c r="S751" s="27">
        <f t="shared" si="356"/>
        <v>0</v>
      </c>
      <c r="T751" s="28">
        <f t="shared" si="357"/>
        <v>0</v>
      </c>
      <c r="U751" s="51"/>
      <c r="V751" s="541">
        <f>+'NF-KSF-TRIAL-BAL-2021'!O751+'RA-TRIAL-BAL-2021'!O751+'DES-TRIAL-BAL-2021'!O751+'DMP-TRIAL-BAL-2021'!O751</f>
        <v>0</v>
      </c>
      <c r="W751" s="529">
        <f>+'NF-KSF-TRIAL-BAL-2021'!P751+'RA-TRIAL-BAL-2021'!P751+'DES-TRIAL-BAL-2021'!P751+'DMP-TRIAL-BAL-2021'!P751</f>
        <v>0</v>
      </c>
      <c r="X751" s="528">
        <f>+'NF-KSF-TRIAL-BAL-2021'!Q751+'RA-TRIAL-BAL-2021'!Q751+'DES-TRIAL-BAL-2021'!Q751+'DMP-TRIAL-BAL-2021'!Q751</f>
        <v>0</v>
      </c>
      <c r="Y751" s="529">
        <f>+'NF-KSF-TRIAL-BAL-2021'!R751+'RA-TRIAL-BAL-2021'!R751+'DES-TRIAL-BAL-2021'!R751+'DMP-TRIAL-BAL-2021'!R751</f>
        <v>0</v>
      </c>
      <c r="Z751" s="528">
        <f>+'NF-KSF-TRIAL-BAL-2021'!S751+'RA-TRIAL-BAL-2021'!S751+'DES-TRIAL-BAL-2021'!S751+'DMP-TRIAL-BAL-2021'!S751</f>
        <v>0</v>
      </c>
      <c r="AA751" s="347">
        <f>+'NF-KSF-TRIAL-BAL-2021'!T751+'RA-TRIAL-BAL-2021'!T751+'DES-TRIAL-BAL-2021'!T751+'DMP-TRIAL-BAL-2021'!T751</f>
        <v>0</v>
      </c>
      <c r="AB751" s="51"/>
      <c r="AC751" s="8">
        <v>0</v>
      </c>
      <c r="AD751" s="9">
        <v>0</v>
      </c>
      <c r="AE751" s="325"/>
      <c r="AF751" s="324"/>
      <c r="AG751" s="27">
        <f t="shared" si="358"/>
        <v>0</v>
      </c>
      <c r="AH751" s="28">
        <f t="shared" si="359"/>
        <v>0</v>
      </c>
      <c r="AI751" s="51"/>
      <c r="AJ751" s="1497">
        <f t="shared" si="351"/>
        <v>7584</v>
      </c>
      <c r="AK751" s="8">
        <v>0</v>
      </c>
      <c r="AL751" s="9">
        <v>0</v>
      </c>
      <c r="AM751" s="326">
        <f t="shared" si="341"/>
        <v>0</v>
      </c>
      <c r="AN751" s="970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58">
        <f t="shared" si="330"/>
        <v>0</v>
      </c>
      <c r="AS751" s="359">
        <f t="shared" si="331"/>
        <v>0</v>
      </c>
      <c r="AT751" s="360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25"/>
      <c r="R752" s="324"/>
      <c r="S752" s="27">
        <f t="shared" si="356"/>
        <v>0</v>
      </c>
      <c r="T752" s="28">
        <f t="shared" si="357"/>
        <v>0</v>
      </c>
      <c r="U752" s="51"/>
      <c r="V752" s="541">
        <f>+'NF-KSF-TRIAL-BAL-2021'!O752+'RA-TRIAL-BAL-2021'!O752+'DES-TRIAL-BAL-2021'!O752+'DMP-TRIAL-BAL-2021'!O752</f>
        <v>0</v>
      </c>
      <c r="W752" s="529">
        <f>+'NF-KSF-TRIAL-BAL-2021'!P752+'RA-TRIAL-BAL-2021'!P752+'DES-TRIAL-BAL-2021'!P752+'DMP-TRIAL-BAL-2021'!P752</f>
        <v>0</v>
      </c>
      <c r="X752" s="528">
        <f>+'NF-KSF-TRIAL-BAL-2021'!Q752+'RA-TRIAL-BAL-2021'!Q752+'DES-TRIAL-BAL-2021'!Q752+'DMP-TRIAL-BAL-2021'!Q752</f>
        <v>0</v>
      </c>
      <c r="Y752" s="529">
        <f>+'NF-KSF-TRIAL-BAL-2021'!R752+'RA-TRIAL-BAL-2021'!R752+'DES-TRIAL-BAL-2021'!R752+'DMP-TRIAL-BAL-2021'!R752</f>
        <v>0</v>
      </c>
      <c r="Z752" s="528">
        <f>+'NF-KSF-TRIAL-BAL-2021'!S752+'RA-TRIAL-BAL-2021'!S752+'DES-TRIAL-BAL-2021'!S752+'DMP-TRIAL-BAL-2021'!S752</f>
        <v>0</v>
      </c>
      <c r="AA752" s="347">
        <f>+'NF-KSF-TRIAL-BAL-2021'!T752+'RA-TRIAL-BAL-2021'!T752+'DES-TRIAL-BAL-2021'!T752+'DMP-TRIAL-BAL-2021'!T752</f>
        <v>0</v>
      </c>
      <c r="AB752" s="51"/>
      <c r="AC752" s="8">
        <v>0</v>
      </c>
      <c r="AD752" s="9">
        <v>0</v>
      </c>
      <c r="AE752" s="325"/>
      <c r="AF752" s="324"/>
      <c r="AG752" s="27">
        <f t="shared" si="358"/>
        <v>0</v>
      </c>
      <c r="AH752" s="28">
        <f t="shared" si="359"/>
        <v>0</v>
      </c>
      <c r="AI752" s="51"/>
      <c r="AJ752" s="1497">
        <f t="shared" si="351"/>
        <v>7585</v>
      </c>
      <c r="AK752" s="8">
        <v>0</v>
      </c>
      <c r="AL752" s="9">
        <v>0</v>
      </c>
      <c r="AM752" s="326">
        <f t="shared" si="341"/>
        <v>0</v>
      </c>
      <c r="AN752" s="970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58">
        <f t="shared" si="330"/>
        <v>0</v>
      </c>
      <c r="AS752" s="359">
        <f t="shared" si="331"/>
        <v>0</v>
      </c>
      <c r="AT752" s="360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25"/>
      <c r="R753" s="324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41">
        <f>+'NF-KSF-TRIAL-BAL-2021'!O753+'RA-TRIAL-BAL-2021'!O753+'DES-TRIAL-BAL-2021'!O753+'DMP-TRIAL-BAL-2021'!O753</f>
        <v>0</v>
      </c>
      <c r="W753" s="529">
        <f>+'NF-KSF-TRIAL-BAL-2021'!P753+'RA-TRIAL-BAL-2021'!P753+'DES-TRIAL-BAL-2021'!P753+'DMP-TRIAL-BAL-2021'!P753</f>
        <v>0</v>
      </c>
      <c r="X753" s="528">
        <f>+'NF-KSF-TRIAL-BAL-2021'!Q753+'RA-TRIAL-BAL-2021'!Q753+'DES-TRIAL-BAL-2021'!Q753+'DMP-TRIAL-BAL-2021'!Q753</f>
        <v>0</v>
      </c>
      <c r="Y753" s="529">
        <f>+'NF-KSF-TRIAL-BAL-2021'!R753+'RA-TRIAL-BAL-2021'!R753+'DES-TRIAL-BAL-2021'!R753+'DMP-TRIAL-BAL-2021'!R753</f>
        <v>0</v>
      </c>
      <c r="Z753" s="528">
        <f>+'NF-KSF-TRIAL-BAL-2021'!S753+'RA-TRIAL-BAL-2021'!S753+'DES-TRIAL-BAL-2021'!S753+'DMP-TRIAL-BAL-2021'!S753</f>
        <v>0</v>
      </c>
      <c r="AA753" s="347">
        <f>+'NF-KSF-TRIAL-BAL-2021'!T753+'RA-TRIAL-BAL-2021'!T753+'DES-TRIAL-BAL-2021'!T753+'DMP-TRIAL-BAL-2021'!T753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97">
        <f t="shared" ref="AJ753:AJ761" si="368">+N753</f>
        <v>7591</v>
      </c>
      <c r="AK753" s="8">
        <v>0</v>
      </c>
      <c r="AL753" s="9">
        <v>0</v>
      </c>
      <c r="AM753" s="326">
        <f t="shared" si="341"/>
        <v>0</v>
      </c>
      <c r="AN753" s="970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58">
        <f t="shared" ref="AR753:AR761" si="369">+ROUND(+SUM(AK753-AL753)-SUM(O753-P753)-SUM(V753-W753)-SUM(AC753-AD753),2)</f>
        <v>0</v>
      </c>
      <c r="AS753" s="359">
        <f t="shared" ref="AS753:AS761" si="370">+ROUND(+SUM(AM753-AN753)-SUM(Q753-R753)-SUM(X753-Y753)-SUM(AE753-AF753),2)</f>
        <v>0</v>
      </c>
      <c r="AT753" s="360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25"/>
      <c r="R754" s="324"/>
      <c r="S754" s="27">
        <f t="shared" si="364"/>
        <v>0</v>
      </c>
      <c r="T754" s="28">
        <f t="shared" si="365"/>
        <v>0</v>
      </c>
      <c r="U754" s="51"/>
      <c r="V754" s="541">
        <f>+'NF-KSF-TRIAL-BAL-2021'!O754+'RA-TRIAL-BAL-2021'!O754+'DES-TRIAL-BAL-2021'!O754+'DMP-TRIAL-BAL-2021'!O754</f>
        <v>0</v>
      </c>
      <c r="W754" s="529">
        <f>+'NF-KSF-TRIAL-BAL-2021'!P754+'RA-TRIAL-BAL-2021'!P754+'DES-TRIAL-BAL-2021'!P754+'DMP-TRIAL-BAL-2021'!P754</f>
        <v>0</v>
      </c>
      <c r="X754" s="528">
        <f>+'NF-KSF-TRIAL-BAL-2021'!Q754+'RA-TRIAL-BAL-2021'!Q754+'DES-TRIAL-BAL-2021'!Q754+'DMP-TRIAL-BAL-2021'!Q754</f>
        <v>0</v>
      </c>
      <c r="Y754" s="529">
        <f>+'NF-KSF-TRIAL-BAL-2021'!R754+'RA-TRIAL-BAL-2021'!R754+'DES-TRIAL-BAL-2021'!R754+'DMP-TRIAL-BAL-2021'!R754</f>
        <v>0</v>
      </c>
      <c r="Z754" s="528">
        <f>+'NF-KSF-TRIAL-BAL-2021'!S754+'RA-TRIAL-BAL-2021'!S754+'DES-TRIAL-BAL-2021'!S754+'DMP-TRIAL-BAL-2021'!S754</f>
        <v>0</v>
      </c>
      <c r="AA754" s="347">
        <f>+'NF-KSF-TRIAL-BAL-2021'!T754+'RA-TRIAL-BAL-2021'!T754+'DES-TRIAL-BAL-2021'!T754+'DMP-TRIAL-BAL-2021'!T754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97">
        <f t="shared" si="368"/>
        <v>7595</v>
      </c>
      <c r="AK754" s="8">
        <v>0</v>
      </c>
      <c r="AL754" s="9">
        <v>0</v>
      </c>
      <c r="AM754" s="326">
        <f t="shared" ref="AM754:AN761" si="372">+ROUND(+Q754+X754+AE754,2)</f>
        <v>0</v>
      </c>
      <c r="AN754" s="970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58">
        <f t="shared" si="369"/>
        <v>0</v>
      </c>
      <c r="AS754" s="359">
        <f t="shared" si="370"/>
        <v>0</v>
      </c>
      <c r="AT754" s="360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25"/>
      <c r="R755" s="324"/>
      <c r="S755" s="27">
        <f t="shared" si="364"/>
        <v>0</v>
      </c>
      <c r="T755" s="28">
        <f t="shared" si="365"/>
        <v>0</v>
      </c>
      <c r="U755" s="51"/>
      <c r="V755" s="541">
        <f>+'NF-KSF-TRIAL-BAL-2021'!O755+'RA-TRIAL-BAL-2021'!O755+'DES-TRIAL-BAL-2021'!O755+'DMP-TRIAL-BAL-2021'!O755</f>
        <v>0</v>
      </c>
      <c r="W755" s="529">
        <f>+'NF-KSF-TRIAL-BAL-2021'!P755+'RA-TRIAL-BAL-2021'!P755+'DES-TRIAL-BAL-2021'!P755+'DMP-TRIAL-BAL-2021'!P755</f>
        <v>0</v>
      </c>
      <c r="X755" s="528">
        <f>+'NF-KSF-TRIAL-BAL-2021'!Q755+'RA-TRIAL-BAL-2021'!Q755+'DES-TRIAL-BAL-2021'!Q755+'DMP-TRIAL-BAL-2021'!Q755</f>
        <v>0</v>
      </c>
      <c r="Y755" s="529">
        <f>+'NF-KSF-TRIAL-BAL-2021'!R755+'RA-TRIAL-BAL-2021'!R755+'DES-TRIAL-BAL-2021'!R755+'DMP-TRIAL-BAL-2021'!R755</f>
        <v>0</v>
      </c>
      <c r="Z755" s="528">
        <f>+'NF-KSF-TRIAL-BAL-2021'!S755+'RA-TRIAL-BAL-2021'!S755+'DES-TRIAL-BAL-2021'!S755+'DMP-TRIAL-BAL-2021'!S755</f>
        <v>0</v>
      </c>
      <c r="AA755" s="347">
        <f>+'NF-KSF-TRIAL-BAL-2021'!T755+'RA-TRIAL-BAL-2021'!T755+'DES-TRIAL-BAL-2021'!T755+'DMP-TRIAL-BAL-2021'!T755</f>
        <v>0</v>
      </c>
      <c r="AB755" s="51"/>
      <c r="AC755" s="8">
        <v>0</v>
      </c>
      <c r="AD755" s="9">
        <v>0</v>
      </c>
      <c r="AE755" s="325"/>
      <c r="AF755" s="324"/>
      <c r="AG755" s="27">
        <f t="shared" si="366"/>
        <v>0</v>
      </c>
      <c r="AH755" s="28">
        <f t="shared" si="367"/>
        <v>0</v>
      </c>
      <c r="AI755" s="51"/>
      <c r="AJ755" s="1497">
        <f t="shared" si="368"/>
        <v>7596</v>
      </c>
      <c r="AK755" s="8">
        <v>0</v>
      </c>
      <c r="AL755" s="9">
        <v>0</v>
      </c>
      <c r="AM755" s="326">
        <f t="shared" si="372"/>
        <v>0</v>
      </c>
      <c r="AN755" s="970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58">
        <f t="shared" si="369"/>
        <v>0</v>
      </c>
      <c r="AS755" s="359">
        <f t="shared" si="370"/>
        <v>0</v>
      </c>
      <c r="AT755" s="360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25"/>
      <c r="R756" s="324"/>
      <c r="S756" s="27">
        <f t="shared" si="364"/>
        <v>0</v>
      </c>
      <c r="T756" s="28">
        <f t="shared" si="365"/>
        <v>0</v>
      </c>
      <c r="U756" s="51"/>
      <c r="V756" s="541">
        <f>+'NF-KSF-TRIAL-BAL-2021'!O756+'RA-TRIAL-BAL-2021'!O756+'DES-TRIAL-BAL-2021'!O756+'DMP-TRIAL-BAL-2021'!O756</f>
        <v>0</v>
      </c>
      <c r="W756" s="529">
        <f>+'NF-KSF-TRIAL-BAL-2021'!P756+'RA-TRIAL-BAL-2021'!P756+'DES-TRIAL-BAL-2021'!P756+'DMP-TRIAL-BAL-2021'!P756</f>
        <v>0</v>
      </c>
      <c r="X756" s="528">
        <f>+'NF-KSF-TRIAL-BAL-2021'!Q756+'RA-TRIAL-BAL-2021'!Q756+'DES-TRIAL-BAL-2021'!Q756+'DMP-TRIAL-BAL-2021'!Q756</f>
        <v>0</v>
      </c>
      <c r="Y756" s="529">
        <f>+'NF-KSF-TRIAL-BAL-2021'!R756+'RA-TRIAL-BAL-2021'!R756+'DES-TRIAL-BAL-2021'!R756+'DMP-TRIAL-BAL-2021'!R756</f>
        <v>0</v>
      </c>
      <c r="Z756" s="528">
        <f>+'NF-KSF-TRIAL-BAL-2021'!S756+'RA-TRIAL-BAL-2021'!S756+'DES-TRIAL-BAL-2021'!S756+'DMP-TRIAL-BAL-2021'!S756</f>
        <v>0</v>
      </c>
      <c r="AA756" s="347">
        <f>+'NF-KSF-TRIAL-BAL-2021'!T756+'RA-TRIAL-BAL-2021'!T756+'DES-TRIAL-BAL-2021'!T756+'DMP-TRIAL-BAL-2021'!T756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97">
        <f t="shared" si="368"/>
        <v>7597</v>
      </c>
      <c r="AK756" s="8">
        <v>0</v>
      </c>
      <c r="AL756" s="9">
        <v>0</v>
      </c>
      <c r="AM756" s="326">
        <f t="shared" si="372"/>
        <v>0</v>
      </c>
      <c r="AN756" s="970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58">
        <f t="shared" si="369"/>
        <v>0</v>
      </c>
      <c r="AS756" s="359">
        <f t="shared" si="370"/>
        <v>0</v>
      </c>
      <c r="AT756" s="360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25"/>
      <c r="R757" s="324"/>
      <c r="S757" s="27">
        <f t="shared" si="364"/>
        <v>0</v>
      </c>
      <c r="T757" s="28">
        <f t="shared" si="365"/>
        <v>0</v>
      </c>
      <c r="U757" s="51"/>
      <c r="V757" s="541">
        <f>+'NF-KSF-TRIAL-BAL-2021'!O757+'RA-TRIAL-BAL-2021'!O757+'DES-TRIAL-BAL-2021'!O757+'DMP-TRIAL-BAL-2021'!O757</f>
        <v>0</v>
      </c>
      <c r="W757" s="529">
        <f>+'NF-KSF-TRIAL-BAL-2021'!P757+'RA-TRIAL-BAL-2021'!P757+'DES-TRIAL-BAL-2021'!P757+'DMP-TRIAL-BAL-2021'!P757</f>
        <v>0</v>
      </c>
      <c r="X757" s="528">
        <f>+'NF-KSF-TRIAL-BAL-2021'!Q757+'RA-TRIAL-BAL-2021'!Q757+'DES-TRIAL-BAL-2021'!Q757+'DMP-TRIAL-BAL-2021'!Q757</f>
        <v>0</v>
      </c>
      <c r="Y757" s="529">
        <f>+'NF-KSF-TRIAL-BAL-2021'!R757+'RA-TRIAL-BAL-2021'!R757+'DES-TRIAL-BAL-2021'!R757+'DMP-TRIAL-BAL-2021'!R757</f>
        <v>0</v>
      </c>
      <c r="Z757" s="528">
        <f>+'NF-KSF-TRIAL-BAL-2021'!S757+'RA-TRIAL-BAL-2021'!S757+'DES-TRIAL-BAL-2021'!S757+'DMP-TRIAL-BAL-2021'!S757</f>
        <v>0</v>
      </c>
      <c r="AA757" s="347">
        <f>+'NF-KSF-TRIAL-BAL-2021'!T757+'RA-TRIAL-BAL-2021'!T757+'DES-TRIAL-BAL-2021'!T757+'DMP-TRIAL-BAL-2021'!T757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97">
        <f t="shared" si="368"/>
        <v>7598</v>
      </c>
      <c r="AK757" s="8">
        <v>0</v>
      </c>
      <c r="AL757" s="9">
        <v>0</v>
      </c>
      <c r="AM757" s="326">
        <f t="shared" si="372"/>
        <v>0</v>
      </c>
      <c r="AN757" s="970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58">
        <f t="shared" si="369"/>
        <v>0</v>
      </c>
      <c r="AS757" s="359">
        <f t="shared" si="370"/>
        <v>0</v>
      </c>
      <c r="AT757" s="360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25"/>
      <c r="R758" s="324"/>
      <c r="S758" s="27">
        <f t="shared" si="364"/>
        <v>0</v>
      </c>
      <c r="T758" s="28">
        <f t="shared" si="365"/>
        <v>0</v>
      </c>
      <c r="U758" s="51"/>
      <c r="V758" s="541">
        <f>+'NF-KSF-TRIAL-BAL-2021'!O758+'RA-TRIAL-BAL-2021'!O758+'DES-TRIAL-BAL-2021'!O758+'DMP-TRIAL-BAL-2021'!O758</f>
        <v>0</v>
      </c>
      <c r="W758" s="529">
        <f>+'NF-KSF-TRIAL-BAL-2021'!P758+'RA-TRIAL-BAL-2021'!P758+'DES-TRIAL-BAL-2021'!P758+'DMP-TRIAL-BAL-2021'!P758</f>
        <v>0</v>
      </c>
      <c r="X758" s="528">
        <f>+'NF-KSF-TRIAL-BAL-2021'!Q758+'RA-TRIAL-BAL-2021'!Q758+'DES-TRIAL-BAL-2021'!Q758+'DMP-TRIAL-BAL-2021'!Q758</f>
        <v>0</v>
      </c>
      <c r="Y758" s="529">
        <f>+'NF-KSF-TRIAL-BAL-2021'!R758+'RA-TRIAL-BAL-2021'!R758+'DES-TRIAL-BAL-2021'!R758+'DMP-TRIAL-BAL-2021'!R758</f>
        <v>0</v>
      </c>
      <c r="Z758" s="528">
        <f>+'NF-KSF-TRIAL-BAL-2021'!S758+'RA-TRIAL-BAL-2021'!S758+'DES-TRIAL-BAL-2021'!S758+'DMP-TRIAL-BAL-2021'!S758</f>
        <v>0</v>
      </c>
      <c r="AA758" s="347">
        <f>+'NF-KSF-TRIAL-BAL-2021'!T758+'RA-TRIAL-BAL-2021'!T758+'DES-TRIAL-BAL-2021'!T758+'DMP-TRIAL-BAL-2021'!T758</f>
        <v>0</v>
      </c>
      <c r="AB758" s="51"/>
      <c r="AC758" s="8">
        <v>0</v>
      </c>
      <c r="AD758" s="9">
        <v>0</v>
      </c>
      <c r="AE758" s="325"/>
      <c r="AF758" s="324"/>
      <c r="AG758" s="27">
        <f t="shared" si="366"/>
        <v>0</v>
      </c>
      <c r="AH758" s="28">
        <f t="shared" si="367"/>
        <v>0</v>
      </c>
      <c r="AI758" s="51"/>
      <c r="AJ758" s="1497">
        <f t="shared" si="368"/>
        <v>7599</v>
      </c>
      <c r="AK758" s="8">
        <v>0</v>
      </c>
      <c r="AL758" s="9">
        <v>0</v>
      </c>
      <c r="AM758" s="326">
        <f t="shared" si="372"/>
        <v>0</v>
      </c>
      <c r="AN758" s="970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58">
        <f t="shared" si="369"/>
        <v>0</v>
      </c>
      <c r="AS758" s="359">
        <f t="shared" si="370"/>
        <v>0</v>
      </c>
      <c r="AT758" s="360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25">
        <v>140668.19</v>
      </c>
      <c r="R759" s="324">
        <v>140668.19</v>
      </c>
      <c r="S759" s="27">
        <f t="shared" si="364"/>
        <v>0</v>
      </c>
      <c r="T759" s="28">
        <f t="shared" si="365"/>
        <v>0</v>
      </c>
      <c r="U759" s="51"/>
      <c r="V759" s="541">
        <f>+'NF-KSF-TRIAL-BAL-2021'!O759+'RA-TRIAL-BAL-2021'!O759+'DES-TRIAL-BAL-2021'!O759+'DMP-TRIAL-BAL-2021'!O759</f>
        <v>0</v>
      </c>
      <c r="W759" s="529">
        <f>+'NF-KSF-TRIAL-BAL-2021'!P759+'RA-TRIAL-BAL-2021'!P759+'DES-TRIAL-BAL-2021'!P759+'DMP-TRIAL-BAL-2021'!P759</f>
        <v>0</v>
      </c>
      <c r="X759" s="528">
        <f>+'NF-KSF-TRIAL-BAL-2021'!Q759+'RA-TRIAL-BAL-2021'!Q759+'DES-TRIAL-BAL-2021'!Q759+'DMP-TRIAL-BAL-2021'!Q759</f>
        <v>0</v>
      </c>
      <c r="Y759" s="529">
        <f>+'NF-KSF-TRIAL-BAL-2021'!R759+'RA-TRIAL-BAL-2021'!R759+'DES-TRIAL-BAL-2021'!R759+'DMP-TRIAL-BAL-2021'!R759</f>
        <v>0</v>
      </c>
      <c r="Z759" s="528">
        <f>+'NF-KSF-TRIAL-BAL-2021'!S759+'RA-TRIAL-BAL-2021'!S759+'DES-TRIAL-BAL-2021'!S759+'DMP-TRIAL-BAL-2021'!S759</f>
        <v>0</v>
      </c>
      <c r="AA759" s="347">
        <f>+'NF-KSF-TRIAL-BAL-2021'!T759+'RA-TRIAL-BAL-2021'!T759+'DES-TRIAL-BAL-2021'!T759+'DMP-TRIAL-BAL-2021'!T759</f>
        <v>0</v>
      </c>
      <c r="AB759" s="51"/>
      <c r="AC759" s="8">
        <v>0</v>
      </c>
      <c r="AD759" s="9">
        <v>0</v>
      </c>
      <c r="AE759" s="325">
        <v>6400</v>
      </c>
      <c r="AF759" s="121">
        <v>6400</v>
      </c>
      <c r="AG759" s="27">
        <f t="shared" si="366"/>
        <v>0</v>
      </c>
      <c r="AH759" s="28">
        <f t="shared" si="367"/>
        <v>0</v>
      </c>
      <c r="AI759" s="51"/>
      <c r="AJ759" s="1497">
        <f t="shared" si="368"/>
        <v>7600</v>
      </c>
      <c r="AK759" s="8">
        <v>0</v>
      </c>
      <c r="AL759" s="9">
        <v>0</v>
      </c>
      <c r="AM759" s="326">
        <f t="shared" si="372"/>
        <v>147068.19</v>
      </c>
      <c r="AN759" s="970">
        <f t="shared" si="372"/>
        <v>147068.19</v>
      </c>
      <c r="AO759" s="27">
        <f t="shared" si="360"/>
        <v>0</v>
      </c>
      <c r="AP759" s="28">
        <f t="shared" si="361"/>
        <v>0</v>
      </c>
      <c r="AQ759" s="43"/>
      <c r="AR759" s="358">
        <f t="shared" si="369"/>
        <v>0</v>
      </c>
      <c r="AS759" s="359">
        <f t="shared" si="370"/>
        <v>0</v>
      </c>
      <c r="AT759" s="360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25"/>
      <c r="R760" s="324">
        <v>40599.21</v>
      </c>
      <c r="S760" s="27">
        <f t="shared" si="364"/>
        <v>0</v>
      </c>
      <c r="T760" s="28">
        <f t="shared" si="365"/>
        <v>40599.21</v>
      </c>
      <c r="U760" s="51"/>
      <c r="V760" s="541">
        <f>+'NF-KSF-TRIAL-BAL-2021'!O760+'RA-TRIAL-BAL-2021'!O760+'DES-TRIAL-BAL-2021'!O760+'DMP-TRIAL-BAL-2021'!O760</f>
        <v>0</v>
      </c>
      <c r="W760" s="529">
        <f>+'NF-KSF-TRIAL-BAL-2021'!P760+'RA-TRIAL-BAL-2021'!P760+'DES-TRIAL-BAL-2021'!P760+'DMP-TRIAL-BAL-2021'!P760</f>
        <v>0</v>
      </c>
      <c r="X760" s="528">
        <f>+'NF-KSF-TRIAL-BAL-2021'!Q760+'RA-TRIAL-BAL-2021'!Q760+'DES-TRIAL-BAL-2021'!Q760+'DMP-TRIAL-BAL-2021'!Q760</f>
        <v>40599.21</v>
      </c>
      <c r="Y760" s="529">
        <f>+'NF-KSF-TRIAL-BAL-2021'!R760+'RA-TRIAL-BAL-2021'!R760+'DES-TRIAL-BAL-2021'!R760+'DMP-TRIAL-BAL-2021'!R760</f>
        <v>0</v>
      </c>
      <c r="Z760" s="528">
        <f>+'NF-KSF-TRIAL-BAL-2021'!S760+'RA-TRIAL-BAL-2021'!S760+'DES-TRIAL-BAL-2021'!S760+'DMP-TRIAL-BAL-2021'!S760</f>
        <v>40599.21</v>
      </c>
      <c r="AA760" s="347">
        <f>+'NF-KSF-TRIAL-BAL-2021'!T760+'RA-TRIAL-BAL-2021'!T760+'DES-TRIAL-BAL-2021'!T760+'DMP-TRIAL-BAL-2021'!T760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97">
        <f t="shared" si="368"/>
        <v>7601</v>
      </c>
      <c r="AK760" s="8">
        <v>0</v>
      </c>
      <c r="AL760" s="9">
        <v>0</v>
      </c>
      <c r="AM760" s="326">
        <f t="shared" si="372"/>
        <v>40599.21</v>
      </c>
      <c r="AN760" s="970">
        <f t="shared" si="372"/>
        <v>40599.21</v>
      </c>
      <c r="AO760" s="27">
        <f t="shared" si="360"/>
        <v>40599.21</v>
      </c>
      <c r="AP760" s="28">
        <f t="shared" si="361"/>
        <v>40599.21</v>
      </c>
      <c r="AQ760" s="43"/>
      <c r="AR760" s="358">
        <f t="shared" si="369"/>
        <v>0</v>
      </c>
      <c r="AS760" s="359">
        <f t="shared" si="370"/>
        <v>0</v>
      </c>
      <c r="AT760" s="360">
        <f t="shared" si="371"/>
        <v>0</v>
      </c>
      <c r="AU760" s="43"/>
      <c r="AV760" s="43"/>
      <c r="AW760" s="119"/>
      <c r="AX760" s="2125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25"/>
      <c r="R761" s="324"/>
      <c r="S761" s="27">
        <f t="shared" si="364"/>
        <v>0</v>
      </c>
      <c r="T761" s="28">
        <f t="shared" si="365"/>
        <v>0</v>
      </c>
      <c r="U761" s="51"/>
      <c r="V761" s="541">
        <f>+'NF-KSF-TRIAL-BAL-2021'!O761+'RA-TRIAL-BAL-2021'!O761+'DES-TRIAL-BAL-2021'!O761+'DMP-TRIAL-BAL-2021'!O761</f>
        <v>0</v>
      </c>
      <c r="W761" s="529">
        <f>+'NF-KSF-TRIAL-BAL-2021'!P761+'RA-TRIAL-BAL-2021'!P761+'DES-TRIAL-BAL-2021'!P761+'DMP-TRIAL-BAL-2021'!P761</f>
        <v>0</v>
      </c>
      <c r="X761" s="528">
        <f>+'NF-KSF-TRIAL-BAL-2021'!Q761+'RA-TRIAL-BAL-2021'!Q761+'DES-TRIAL-BAL-2021'!Q761+'DMP-TRIAL-BAL-2021'!Q761</f>
        <v>0</v>
      </c>
      <c r="Y761" s="529">
        <f>+'NF-KSF-TRIAL-BAL-2021'!R761+'RA-TRIAL-BAL-2021'!R761+'DES-TRIAL-BAL-2021'!R761+'DMP-TRIAL-BAL-2021'!R761</f>
        <v>0</v>
      </c>
      <c r="Z761" s="528">
        <f>+'NF-KSF-TRIAL-BAL-2021'!S761+'RA-TRIAL-BAL-2021'!S761+'DES-TRIAL-BAL-2021'!S761+'DMP-TRIAL-BAL-2021'!S761</f>
        <v>0</v>
      </c>
      <c r="AA761" s="347">
        <f>+'NF-KSF-TRIAL-BAL-2021'!T761+'RA-TRIAL-BAL-2021'!T761+'DES-TRIAL-BAL-2021'!T761+'DMP-TRIAL-BAL-2021'!T761</f>
        <v>0</v>
      </c>
      <c r="AB761" s="51"/>
      <c r="AC761" s="8">
        <v>0</v>
      </c>
      <c r="AD761" s="9">
        <v>0</v>
      </c>
      <c r="AE761" s="122"/>
      <c r="AF761" s="121"/>
      <c r="AG761" s="27">
        <f t="shared" si="366"/>
        <v>0</v>
      </c>
      <c r="AH761" s="28">
        <f t="shared" si="367"/>
        <v>0</v>
      </c>
      <c r="AI761" s="51"/>
      <c r="AJ761" s="1497">
        <f t="shared" si="368"/>
        <v>7602</v>
      </c>
      <c r="AK761" s="8">
        <v>0</v>
      </c>
      <c r="AL761" s="9">
        <v>0</v>
      </c>
      <c r="AM761" s="326">
        <f t="shared" si="372"/>
        <v>0</v>
      </c>
      <c r="AN761" s="970">
        <f t="shared" si="372"/>
        <v>0</v>
      </c>
      <c r="AO761" s="27">
        <f t="shared" si="360"/>
        <v>0</v>
      </c>
      <c r="AP761" s="28">
        <f t="shared" si="361"/>
        <v>0</v>
      </c>
      <c r="AQ761" s="43"/>
      <c r="AR761" s="358">
        <f t="shared" si="369"/>
        <v>0</v>
      </c>
      <c r="AS761" s="359">
        <f t="shared" si="370"/>
        <v>0</v>
      </c>
      <c r="AT761" s="360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41">
        <f>+'NF-KSF-TRIAL-BAL-2021'!O762+'RA-TRIAL-BAL-2021'!O762+'DES-TRIAL-BAL-2021'!O762+'DMP-TRIAL-BAL-2021'!O762</f>
        <v>0</v>
      </c>
      <c r="W762" s="529">
        <f>+'NF-KSF-TRIAL-BAL-2021'!P762+'RA-TRIAL-BAL-2021'!P762+'DES-TRIAL-BAL-2021'!P762+'DMP-TRIAL-BAL-2021'!P762</f>
        <v>0</v>
      </c>
      <c r="X762" s="528">
        <f>+'NF-KSF-TRIAL-BAL-2021'!Q762+'RA-TRIAL-BAL-2021'!Q762+'DES-TRIAL-BAL-2021'!Q762+'DMP-TRIAL-BAL-2021'!Q762</f>
        <v>0</v>
      </c>
      <c r="Y762" s="529">
        <f>+'NF-KSF-TRIAL-BAL-2021'!R762+'RA-TRIAL-BAL-2021'!R762+'DES-TRIAL-BAL-2021'!R762+'DMP-TRIAL-BAL-2021'!R762</f>
        <v>0</v>
      </c>
      <c r="Z762" s="528">
        <f>+'NF-KSF-TRIAL-BAL-2021'!S762+'RA-TRIAL-BAL-2021'!S762+'DES-TRIAL-BAL-2021'!S762+'DMP-TRIAL-BAL-2021'!S762</f>
        <v>0</v>
      </c>
      <c r="AA762" s="347">
        <f>+'NF-KSF-TRIAL-BAL-2021'!T762+'RA-TRIAL-BAL-2021'!T762+'DES-TRIAL-BAL-2021'!T762+'DMP-TRIAL-BAL-2021'!T762</f>
        <v>0</v>
      </c>
      <c r="AB762" s="51"/>
      <c r="AC762" s="8">
        <v>0</v>
      </c>
      <c r="AD762" s="9">
        <v>0</v>
      </c>
      <c r="AE762" s="325"/>
      <c r="AF762" s="324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97">
        <f>+N762</f>
        <v>7603</v>
      </c>
      <c r="AK762" s="8">
        <v>0</v>
      </c>
      <c r="AL762" s="9">
        <v>0</v>
      </c>
      <c r="AM762" s="326">
        <f>+ROUND(+Q762+X762+AE762,2)</f>
        <v>0</v>
      </c>
      <c r="AN762" s="970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58">
        <f>+ROUND(+SUM(AK762-AL762)-SUM(O762-P762)-SUM(V762-W762)-SUM(AC762-AD762),2)</f>
        <v>0</v>
      </c>
      <c r="AS762" s="359">
        <f>+ROUND(+SUM(AM762-AN762)-SUM(Q762-R762)-SUM(X762-Y762)-SUM(AE762-AF762),2)</f>
        <v>0</v>
      </c>
      <c r="AT762" s="360">
        <f>+ROUND(+SUM(AO762-AP762)-SUM(S762-T762)-SUM(Z762-AA762)-SUM(AG762-AH762),2)</f>
        <v>0</v>
      </c>
      <c r="AU762" s="43"/>
      <c r="AV762" s="2125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41">
        <f>+'NF-KSF-TRIAL-BAL-2021'!O763+'RA-TRIAL-BAL-2021'!O763+'DES-TRIAL-BAL-2021'!O763+'DMP-TRIAL-BAL-2021'!O763</f>
        <v>0</v>
      </c>
      <c r="W763" s="529">
        <f>+'NF-KSF-TRIAL-BAL-2021'!P763+'RA-TRIAL-BAL-2021'!P763+'DES-TRIAL-BAL-2021'!P763+'DMP-TRIAL-BAL-2021'!P763</f>
        <v>0</v>
      </c>
      <c r="X763" s="528">
        <f>+'NF-KSF-TRIAL-BAL-2021'!Q763+'RA-TRIAL-BAL-2021'!Q763+'DES-TRIAL-BAL-2021'!Q763+'DMP-TRIAL-BAL-2021'!Q763</f>
        <v>0</v>
      </c>
      <c r="Y763" s="529">
        <f>+'NF-KSF-TRIAL-BAL-2021'!R763+'RA-TRIAL-BAL-2021'!R763+'DES-TRIAL-BAL-2021'!R763+'DMP-TRIAL-BAL-2021'!R763</f>
        <v>0</v>
      </c>
      <c r="Z763" s="528">
        <f>+'NF-KSF-TRIAL-BAL-2021'!S763+'RA-TRIAL-BAL-2021'!S763+'DES-TRIAL-BAL-2021'!S763+'DMP-TRIAL-BAL-2021'!S763</f>
        <v>0</v>
      </c>
      <c r="AA763" s="347">
        <f>+'NF-KSF-TRIAL-BAL-2021'!T763+'RA-TRIAL-BAL-2021'!T763+'DES-TRIAL-BAL-2021'!T763+'DMP-TRIAL-BAL-2021'!T763</f>
        <v>0</v>
      </c>
      <c r="AB763" s="51"/>
      <c r="AC763" s="8">
        <v>0</v>
      </c>
      <c r="AD763" s="9">
        <v>0</v>
      </c>
      <c r="AE763" s="325"/>
      <c r="AF763" s="324">
        <v>900663.11</v>
      </c>
      <c r="AG763" s="27">
        <f t="shared" si="375"/>
        <v>0</v>
      </c>
      <c r="AH763" s="28">
        <f t="shared" si="376"/>
        <v>900663.11</v>
      </c>
      <c r="AI763" s="51"/>
      <c r="AJ763" s="1497">
        <f>+N763</f>
        <v>7609</v>
      </c>
      <c r="AK763" s="8">
        <v>0</v>
      </c>
      <c r="AL763" s="9">
        <v>0</v>
      </c>
      <c r="AM763" s="326">
        <f>+ROUND(+Q763+X763+AE763,2)</f>
        <v>0</v>
      </c>
      <c r="AN763" s="970">
        <f>+ROUND(+R763+Y763+AF763,2)</f>
        <v>900663.11</v>
      </c>
      <c r="AO763" s="27">
        <f t="shared" si="360"/>
        <v>0</v>
      </c>
      <c r="AP763" s="28">
        <f t="shared" si="361"/>
        <v>900663.11</v>
      </c>
      <c r="AQ763" s="43"/>
      <c r="AR763" s="358">
        <f>+ROUND(+SUM(AK763-AL763)-SUM(O763-P763)-SUM(V763-W763)-SUM(AC763-AD763),2)</f>
        <v>0</v>
      </c>
      <c r="AS763" s="359">
        <f>+ROUND(+SUM(AM763-AN763)-SUM(Q763-R763)-SUM(X763-Y763)-SUM(AE763-AF763),2)</f>
        <v>0</v>
      </c>
      <c r="AT763" s="360">
        <f>+ROUND(+SUM(AO763-AP763)-SUM(S763-T763)-SUM(Z763-AA763)-SUM(AG763-AH763),2)</f>
        <v>0</v>
      </c>
      <c r="AU763" s="43"/>
      <c r="AV763" s="2125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25"/>
      <c r="R764" s="324">
        <v>87016.74</v>
      </c>
      <c r="S764" s="27">
        <f t="shared" si="373"/>
        <v>0</v>
      </c>
      <c r="T764" s="28">
        <f t="shared" si="374"/>
        <v>87016.74</v>
      </c>
      <c r="U764" s="51"/>
      <c r="V764" s="541">
        <f>+'NF-KSF-TRIAL-BAL-2021'!O764+'RA-TRIAL-BAL-2021'!O764+'DES-TRIAL-BAL-2021'!O764+'DMP-TRIAL-BAL-2021'!O764</f>
        <v>0</v>
      </c>
      <c r="W764" s="529">
        <f>+'NF-KSF-TRIAL-BAL-2021'!P764+'RA-TRIAL-BAL-2021'!P764+'DES-TRIAL-BAL-2021'!P764+'DMP-TRIAL-BAL-2021'!P764</f>
        <v>0</v>
      </c>
      <c r="X764" s="528">
        <f>+'NF-KSF-TRIAL-BAL-2021'!Q764+'RA-TRIAL-BAL-2021'!Q764+'DES-TRIAL-BAL-2021'!Q764+'DMP-TRIAL-BAL-2021'!Q764</f>
        <v>0</v>
      </c>
      <c r="Y764" s="529">
        <f>+'NF-KSF-TRIAL-BAL-2021'!R764+'RA-TRIAL-BAL-2021'!R764+'DES-TRIAL-BAL-2021'!R764+'DMP-TRIAL-BAL-2021'!R764</f>
        <v>0</v>
      </c>
      <c r="Z764" s="528">
        <f>+'NF-KSF-TRIAL-BAL-2021'!S764+'RA-TRIAL-BAL-2021'!S764+'DES-TRIAL-BAL-2021'!S764+'DMP-TRIAL-BAL-2021'!S764</f>
        <v>0</v>
      </c>
      <c r="AA764" s="347">
        <f>+'NF-KSF-TRIAL-BAL-2021'!T764+'RA-TRIAL-BAL-2021'!T764+'DES-TRIAL-BAL-2021'!T764+'DMP-TRIAL-BAL-2021'!T764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97">
        <f t="shared" si="351"/>
        <v>7612</v>
      </c>
      <c r="AK764" s="8">
        <v>0</v>
      </c>
      <c r="AL764" s="9">
        <v>0</v>
      </c>
      <c r="AM764" s="326">
        <f t="shared" si="341"/>
        <v>0</v>
      </c>
      <c r="AN764" s="970">
        <f t="shared" si="341"/>
        <v>87016.74</v>
      </c>
      <c r="AO764" s="27">
        <f t="shared" si="360"/>
        <v>0</v>
      </c>
      <c r="AP764" s="28">
        <f t="shared" si="361"/>
        <v>87016.74</v>
      </c>
      <c r="AQ764" s="43"/>
      <c r="AR764" s="358">
        <f t="shared" si="330"/>
        <v>0</v>
      </c>
      <c r="AS764" s="359">
        <f t="shared" si="331"/>
        <v>0</v>
      </c>
      <c r="AT764" s="360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25"/>
      <c r="R765" s="324">
        <v>419.76</v>
      </c>
      <c r="S765" s="27">
        <f t="shared" si="373"/>
        <v>0</v>
      </c>
      <c r="T765" s="28">
        <f t="shared" si="374"/>
        <v>419.76</v>
      </c>
      <c r="U765" s="51"/>
      <c r="V765" s="541">
        <f>+'NF-KSF-TRIAL-BAL-2021'!O765+'RA-TRIAL-BAL-2021'!O765+'DES-TRIAL-BAL-2021'!O765+'DMP-TRIAL-BAL-2021'!O765</f>
        <v>0</v>
      </c>
      <c r="W765" s="529">
        <f>+'NF-KSF-TRIAL-BAL-2021'!P765+'RA-TRIAL-BAL-2021'!P765+'DES-TRIAL-BAL-2021'!P765+'DMP-TRIAL-BAL-2021'!P765</f>
        <v>0</v>
      </c>
      <c r="X765" s="528">
        <f>+'NF-KSF-TRIAL-BAL-2021'!Q765+'RA-TRIAL-BAL-2021'!Q765+'DES-TRIAL-BAL-2021'!Q765+'DMP-TRIAL-BAL-2021'!Q765</f>
        <v>0</v>
      </c>
      <c r="Y765" s="529">
        <f>+'NF-KSF-TRIAL-BAL-2021'!R765+'RA-TRIAL-BAL-2021'!R765+'DES-TRIAL-BAL-2021'!R765+'DMP-TRIAL-BAL-2021'!R765</f>
        <v>0</v>
      </c>
      <c r="Z765" s="528">
        <f>+'NF-KSF-TRIAL-BAL-2021'!S765+'RA-TRIAL-BAL-2021'!S765+'DES-TRIAL-BAL-2021'!S765+'DMP-TRIAL-BAL-2021'!S765</f>
        <v>0</v>
      </c>
      <c r="AA765" s="347">
        <f>+'NF-KSF-TRIAL-BAL-2021'!T765+'RA-TRIAL-BAL-2021'!T765+'DES-TRIAL-BAL-2021'!T765+'DMP-TRIAL-BAL-2021'!T765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97">
        <f t="shared" si="351"/>
        <v>7613</v>
      </c>
      <c r="AK765" s="8">
        <v>0</v>
      </c>
      <c r="AL765" s="9">
        <v>0</v>
      </c>
      <c r="AM765" s="326">
        <f t="shared" si="341"/>
        <v>0</v>
      </c>
      <c r="AN765" s="970">
        <f t="shared" si="341"/>
        <v>419.76</v>
      </c>
      <c r="AO765" s="27">
        <f t="shared" si="360"/>
        <v>0</v>
      </c>
      <c r="AP765" s="28">
        <f t="shared" si="361"/>
        <v>419.76</v>
      </c>
      <c r="AQ765" s="43"/>
      <c r="AR765" s="358">
        <f t="shared" si="330"/>
        <v>0</v>
      </c>
      <c r="AS765" s="359">
        <f t="shared" si="331"/>
        <v>0</v>
      </c>
      <c r="AT765" s="360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25"/>
      <c r="R766" s="324"/>
      <c r="S766" s="27">
        <f t="shared" si="373"/>
        <v>0</v>
      </c>
      <c r="T766" s="28">
        <f t="shared" si="374"/>
        <v>0</v>
      </c>
      <c r="U766" s="51"/>
      <c r="V766" s="541">
        <f>+'NF-KSF-TRIAL-BAL-2021'!O766+'RA-TRIAL-BAL-2021'!O766+'DES-TRIAL-BAL-2021'!O766+'DMP-TRIAL-BAL-2021'!O766</f>
        <v>0</v>
      </c>
      <c r="W766" s="529">
        <f>+'NF-KSF-TRIAL-BAL-2021'!P766+'RA-TRIAL-BAL-2021'!P766+'DES-TRIAL-BAL-2021'!P766+'DMP-TRIAL-BAL-2021'!P766</f>
        <v>0</v>
      </c>
      <c r="X766" s="528">
        <f>+'NF-KSF-TRIAL-BAL-2021'!Q766+'RA-TRIAL-BAL-2021'!Q766+'DES-TRIAL-BAL-2021'!Q766+'DMP-TRIAL-BAL-2021'!Q766</f>
        <v>0</v>
      </c>
      <c r="Y766" s="529">
        <f>+'NF-KSF-TRIAL-BAL-2021'!R766+'RA-TRIAL-BAL-2021'!R766+'DES-TRIAL-BAL-2021'!R766+'DMP-TRIAL-BAL-2021'!R766</f>
        <v>0</v>
      </c>
      <c r="Z766" s="528">
        <f>+'NF-KSF-TRIAL-BAL-2021'!S766+'RA-TRIAL-BAL-2021'!S766+'DES-TRIAL-BAL-2021'!S766+'DMP-TRIAL-BAL-2021'!S766</f>
        <v>0</v>
      </c>
      <c r="AA766" s="347">
        <f>+'NF-KSF-TRIAL-BAL-2021'!T766+'RA-TRIAL-BAL-2021'!T766+'DES-TRIAL-BAL-2021'!T766+'DMP-TRIAL-BAL-2021'!T766</f>
        <v>0</v>
      </c>
      <c r="AB766" s="51"/>
      <c r="AC766" s="8">
        <v>0</v>
      </c>
      <c r="AD766" s="9">
        <v>0</v>
      </c>
      <c r="AE766" s="325"/>
      <c r="AF766" s="324"/>
      <c r="AG766" s="27">
        <f t="shared" si="375"/>
        <v>0</v>
      </c>
      <c r="AH766" s="28">
        <f t="shared" si="376"/>
        <v>0</v>
      </c>
      <c r="AI766" s="51"/>
      <c r="AJ766" s="1497">
        <f t="shared" si="351"/>
        <v>7614</v>
      </c>
      <c r="AK766" s="8">
        <v>0</v>
      </c>
      <c r="AL766" s="9">
        <v>0</v>
      </c>
      <c r="AM766" s="326">
        <f t="shared" si="341"/>
        <v>0</v>
      </c>
      <c r="AN766" s="970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58">
        <f t="shared" si="330"/>
        <v>0</v>
      </c>
      <c r="AS766" s="359">
        <f t="shared" si="331"/>
        <v>0</v>
      </c>
      <c r="AT766" s="360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25"/>
      <c r="R767" s="324"/>
      <c r="S767" s="27">
        <f t="shared" si="373"/>
        <v>0</v>
      </c>
      <c r="T767" s="28">
        <f t="shared" si="374"/>
        <v>0</v>
      </c>
      <c r="U767" s="51"/>
      <c r="V767" s="541">
        <f>+'NF-KSF-TRIAL-BAL-2021'!O767+'RA-TRIAL-BAL-2021'!O767+'DES-TRIAL-BAL-2021'!O767+'DMP-TRIAL-BAL-2021'!O767</f>
        <v>0</v>
      </c>
      <c r="W767" s="529">
        <f>+'NF-KSF-TRIAL-BAL-2021'!P767+'RA-TRIAL-BAL-2021'!P767+'DES-TRIAL-BAL-2021'!P767+'DMP-TRIAL-BAL-2021'!P767</f>
        <v>0</v>
      </c>
      <c r="X767" s="528">
        <f>+'NF-KSF-TRIAL-BAL-2021'!Q767+'RA-TRIAL-BAL-2021'!Q767+'DES-TRIAL-BAL-2021'!Q767+'DMP-TRIAL-BAL-2021'!Q767</f>
        <v>0</v>
      </c>
      <c r="Y767" s="529">
        <f>+'NF-KSF-TRIAL-BAL-2021'!R767+'RA-TRIAL-BAL-2021'!R767+'DES-TRIAL-BAL-2021'!R767+'DMP-TRIAL-BAL-2021'!R767</f>
        <v>0</v>
      </c>
      <c r="Z767" s="528">
        <f>+'NF-KSF-TRIAL-BAL-2021'!S767+'RA-TRIAL-BAL-2021'!S767+'DES-TRIAL-BAL-2021'!S767+'DMP-TRIAL-BAL-2021'!S767</f>
        <v>0</v>
      </c>
      <c r="AA767" s="347">
        <f>+'NF-KSF-TRIAL-BAL-2021'!T767+'RA-TRIAL-BAL-2021'!T767+'DES-TRIAL-BAL-2021'!T767+'DMP-TRIAL-BAL-2021'!T767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97">
        <f t="shared" si="351"/>
        <v>7615</v>
      </c>
      <c r="AK767" s="8">
        <v>0</v>
      </c>
      <c r="AL767" s="9">
        <v>0</v>
      </c>
      <c r="AM767" s="326">
        <f t="shared" si="341"/>
        <v>0</v>
      </c>
      <c r="AN767" s="970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58">
        <f t="shared" si="330"/>
        <v>0</v>
      </c>
      <c r="AS767" s="359">
        <f t="shared" si="331"/>
        <v>0</v>
      </c>
      <c r="AT767" s="360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25"/>
      <c r="R768" s="324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41">
        <f>+'NF-KSF-TRIAL-BAL-2021'!O768+'RA-TRIAL-BAL-2021'!O768+'DES-TRIAL-BAL-2021'!O768+'DMP-TRIAL-BAL-2021'!O768</f>
        <v>0</v>
      </c>
      <c r="W768" s="529">
        <f>+'NF-KSF-TRIAL-BAL-2021'!P768+'RA-TRIAL-BAL-2021'!P768+'DES-TRIAL-BAL-2021'!P768+'DMP-TRIAL-BAL-2021'!P768</f>
        <v>0</v>
      </c>
      <c r="X768" s="528">
        <f>+'NF-KSF-TRIAL-BAL-2021'!Q768+'RA-TRIAL-BAL-2021'!Q768+'DES-TRIAL-BAL-2021'!Q768+'DMP-TRIAL-BAL-2021'!Q768</f>
        <v>0</v>
      </c>
      <c r="Y768" s="529">
        <f>+'NF-KSF-TRIAL-BAL-2021'!R768+'RA-TRIAL-BAL-2021'!R768+'DES-TRIAL-BAL-2021'!R768+'DMP-TRIAL-BAL-2021'!R768</f>
        <v>0</v>
      </c>
      <c r="Z768" s="528">
        <f>+'NF-KSF-TRIAL-BAL-2021'!S768+'RA-TRIAL-BAL-2021'!S768+'DES-TRIAL-BAL-2021'!S768+'DMP-TRIAL-BAL-2021'!S768</f>
        <v>0</v>
      </c>
      <c r="AA768" s="347">
        <f>+'NF-KSF-TRIAL-BAL-2021'!T768+'RA-TRIAL-BAL-2021'!T768+'DES-TRIAL-BAL-2021'!T768+'DMP-TRIAL-BAL-2021'!T768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97">
        <f t="shared" si="351"/>
        <v>7617</v>
      </c>
      <c r="AK768" s="8">
        <v>0</v>
      </c>
      <c r="AL768" s="9">
        <v>0</v>
      </c>
      <c r="AM768" s="326">
        <f t="shared" si="341"/>
        <v>0</v>
      </c>
      <c r="AN768" s="970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58">
        <f t="shared" si="330"/>
        <v>0</v>
      </c>
      <c r="AS768" s="359">
        <f t="shared" si="331"/>
        <v>0</v>
      </c>
      <c r="AT768" s="360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25"/>
      <c r="R769" s="324"/>
      <c r="S769" s="27">
        <f t="shared" si="377"/>
        <v>0</v>
      </c>
      <c r="T769" s="28">
        <f t="shared" si="374"/>
        <v>0</v>
      </c>
      <c r="U769" s="51"/>
      <c r="V769" s="541">
        <f>+'NF-KSF-TRIAL-BAL-2021'!O769+'RA-TRIAL-BAL-2021'!O769+'DES-TRIAL-BAL-2021'!O769+'DMP-TRIAL-BAL-2021'!O769</f>
        <v>0</v>
      </c>
      <c r="W769" s="529">
        <f>+'NF-KSF-TRIAL-BAL-2021'!P769+'RA-TRIAL-BAL-2021'!P769+'DES-TRIAL-BAL-2021'!P769+'DMP-TRIAL-BAL-2021'!P769</f>
        <v>0</v>
      </c>
      <c r="X769" s="528">
        <f>+'NF-KSF-TRIAL-BAL-2021'!Q769+'RA-TRIAL-BAL-2021'!Q769+'DES-TRIAL-BAL-2021'!Q769+'DMP-TRIAL-BAL-2021'!Q769</f>
        <v>0</v>
      </c>
      <c r="Y769" s="529">
        <f>+'NF-KSF-TRIAL-BAL-2021'!R769+'RA-TRIAL-BAL-2021'!R769+'DES-TRIAL-BAL-2021'!R769+'DMP-TRIAL-BAL-2021'!R769</f>
        <v>0</v>
      </c>
      <c r="Z769" s="528">
        <f>+'NF-KSF-TRIAL-BAL-2021'!S769+'RA-TRIAL-BAL-2021'!S769+'DES-TRIAL-BAL-2021'!S769+'DMP-TRIAL-BAL-2021'!S769</f>
        <v>0</v>
      </c>
      <c r="AA769" s="347">
        <f>+'NF-KSF-TRIAL-BAL-2021'!T769+'RA-TRIAL-BAL-2021'!T769+'DES-TRIAL-BAL-2021'!T769+'DMP-TRIAL-BAL-2021'!T769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97">
        <f t="shared" si="351"/>
        <v>7618</v>
      </c>
      <c r="AK769" s="8">
        <v>0</v>
      </c>
      <c r="AL769" s="9">
        <v>0</v>
      </c>
      <c r="AM769" s="326">
        <f t="shared" si="341"/>
        <v>0</v>
      </c>
      <c r="AN769" s="970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58">
        <f t="shared" ref="AR769:AR821" si="379">+ROUND(+SUM(AK769-AL769)-SUM(O769-P769)-SUM(V769-W769)-SUM(AC769-AD769),2)</f>
        <v>0</v>
      </c>
      <c r="AS769" s="359">
        <f t="shared" ref="AS769:AS821" si="380">+ROUND(+SUM(AM769-AN769)-SUM(Q769-R769)-SUM(X769-Y769)-SUM(AE769-AF769),2)</f>
        <v>0</v>
      </c>
      <c r="AT769" s="360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25"/>
      <c r="R770" s="324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41">
        <f>+'NF-KSF-TRIAL-BAL-2021'!O770+'RA-TRIAL-BAL-2021'!O770+'DES-TRIAL-BAL-2021'!O770+'DMP-TRIAL-BAL-2021'!O770</f>
        <v>0</v>
      </c>
      <c r="W770" s="529">
        <f>+'NF-KSF-TRIAL-BAL-2021'!P770+'RA-TRIAL-BAL-2021'!P770+'DES-TRIAL-BAL-2021'!P770+'DMP-TRIAL-BAL-2021'!P770</f>
        <v>0</v>
      </c>
      <c r="X770" s="528">
        <f>+'NF-KSF-TRIAL-BAL-2021'!Q770+'RA-TRIAL-BAL-2021'!Q770+'DES-TRIAL-BAL-2021'!Q770+'DMP-TRIAL-BAL-2021'!Q770</f>
        <v>0</v>
      </c>
      <c r="Y770" s="529">
        <f>+'NF-KSF-TRIAL-BAL-2021'!R770+'RA-TRIAL-BAL-2021'!R770+'DES-TRIAL-BAL-2021'!R770+'DMP-TRIAL-BAL-2021'!R770</f>
        <v>9883.2000000000007</v>
      </c>
      <c r="Z770" s="528">
        <f>+'NF-KSF-TRIAL-BAL-2021'!S770+'RA-TRIAL-BAL-2021'!S770+'DES-TRIAL-BAL-2021'!S770+'DMP-TRIAL-BAL-2021'!S770</f>
        <v>0</v>
      </c>
      <c r="AA770" s="347">
        <f>+'NF-KSF-TRIAL-BAL-2021'!T770+'RA-TRIAL-BAL-2021'!T770+'DES-TRIAL-BAL-2021'!T770+'DMP-TRIAL-BAL-2021'!T770</f>
        <v>9883.2000000000007</v>
      </c>
      <c r="AB770" s="51"/>
      <c r="AC770" s="8">
        <v>0</v>
      </c>
      <c r="AD770" s="9">
        <v>0</v>
      </c>
      <c r="AE770" s="325"/>
      <c r="AF770" s="324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97">
        <f t="shared" si="351"/>
        <v>7642</v>
      </c>
      <c r="AK770" s="8">
        <v>0</v>
      </c>
      <c r="AL770" s="9">
        <v>0</v>
      </c>
      <c r="AM770" s="326">
        <f t="shared" ref="AM770:AN821" si="385">+ROUND(+Q770+X770+AE770,2)</f>
        <v>0</v>
      </c>
      <c r="AN770" s="970">
        <f t="shared" si="385"/>
        <v>9883.2000000000007</v>
      </c>
      <c r="AO770" s="27">
        <f t="shared" si="360"/>
        <v>0</v>
      </c>
      <c r="AP770" s="28">
        <f t="shared" si="361"/>
        <v>9883.2000000000007</v>
      </c>
      <c r="AQ770" s="43"/>
      <c r="AR770" s="358">
        <f t="shared" si="379"/>
        <v>0</v>
      </c>
      <c r="AS770" s="359">
        <f t="shared" si="380"/>
        <v>0</v>
      </c>
      <c r="AT770" s="360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25"/>
      <c r="R771" s="324"/>
      <c r="S771" s="27">
        <f t="shared" si="377"/>
        <v>0</v>
      </c>
      <c r="T771" s="28">
        <f t="shared" si="383"/>
        <v>0</v>
      </c>
      <c r="U771" s="51"/>
      <c r="V771" s="541">
        <f>+'NF-KSF-TRIAL-BAL-2021'!O771+'RA-TRIAL-BAL-2021'!O771+'DES-TRIAL-BAL-2021'!O771+'DMP-TRIAL-BAL-2021'!O771</f>
        <v>0</v>
      </c>
      <c r="W771" s="529">
        <f>+'NF-KSF-TRIAL-BAL-2021'!P771+'RA-TRIAL-BAL-2021'!P771+'DES-TRIAL-BAL-2021'!P771+'DMP-TRIAL-BAL-2021'!P771</f>
        <v>0</v>
      </c>
      <c r="X771" s="528">
        <f>+'NF-KSF-TRIAL-BAL-2021'!Q771+'RA-TRIAL-BAL-2021'!Q771+'DES-TRIAL-BAL-2021'!Q771+'DMP-TRIAL-BAL-2021'!Q771</f>
        <v>0</v>
      </c>
      <c r="Y771" s="529">
        <f>+'NF-KSF-TRIAL-BAL-2021'!R771+'RA-TRIAL-BAL-2021'!R771+'DES-TRIAL-BAL-2021'!R771+'DMP-TRIAL-BAL-2021'!R771</f>
        <v>0</v>
      </c>
      <c r="Z771" s="528">
        <f>+'NF-KSF-TRIAL-BAL-2021'!S771+'RA-TRIAL-BAL-2021'!S771+'DES-TRIAL-BAL-2021'!S771+'DMP-TRIAL-BAL-2021'!S771</f>
        <v>0</v>
      </c>
      <c r="AA771" s="347">
        <f>+'NF-KSF-TRIAL-BAL-2021'!T771+'RA-TRIAL-BAL-2021'!T771+'DES-TRIAL-BAL-2021'!T771+'DMP-TRIAL-BAL-2021'!T771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97">
        <f t="shared" si="351"/>
        <v>7643</v>
      </c>
      <c r="AK771" s="8">
        <v>0</v>
      </c>
      <c r="AL771" s="9">
        <v>0</v>
      </c>
      <c r="AM771" s="326">
        <f t="shared" si="385"/>
        <v>0</v>
      </c>
      <c r="AN771" s="970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58">
        <f t="shared" si="379"/>
        <v>0</v>
      </c>
      <c r="AS771" s="359">
        <f t="shared" si="380"/>
        <v>0</v>
      </c>
      <c r="AT771" s="360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25"/>
      <c r="R772" s="324"/>
      <c r="S772" s="27">
        <f t="shared" si="377"/>
        <v>0</v>
      </c>
      <c r="T772" s="28">
        <f t="shared" si="383"/>
        <v>0</v>
      </c>
      <c r="U772" s="51"/>
      <c r="V772" s="541">
        <f>+'NF-KSF-TRIAL-BAL-2021'!O772+'RA-TRIAL-BAL-2021'!O772+'DES-TRIAL-BAL-2021'!O772+'DMP-TRIAL-BAL-2021'!O772</f>
        <v>0</v>
      </c>
      <c r="W772" s="529">
        <f>+'NF-KSF-TRIAL-BAL-2021'!P772+'RA-TRIAL-BAL-2021'!P772+'DES-TRIAL-BAL-2021'!P772+'DMP-TRIAL-BAL-2021'!P772</f>
        <v>0</v>
      </c>
      <c r="X772" s="528">
        <f>+'NF-KSF-TRIAL-BAL-2021'!Q772+'RA-TRIAL-BAL-2021'!Q772+'DES-TRIAL-BAL-2021'!Q772+'DMP-TRIAL-BAL-2021'!Q772</f>
        <v>0</v>
      </c>
      <c r="Y772" s="529">
        <f>+'NF-KSF-TRIAL-BAL-2021'!R772+'RA-TRIAL-BAL-2021'!R772+'DES-TRIAL-BAL-2021'!R772+'DMP-TRIAL-BAL-2021'!R772</f>
        <v>0</v>
      </c>
      <c r="Z772" s="528">
        <f>+'NF-KSF-TRIAL-BAL-2021'!S772+'RA-TRIAL-BAL-2021'!S772+'DES-TRIAL-BAL-2021'!S772+'DMP-TRIAL-BAL-2021'!S772</f>
        <v>0</v>
      </c>
      <c r="AA772" s="347">
        <f>+'NF-KSF-TRIAL-BAL-2021'!T772+'RA-TRIAL-BAL-2021'!T772+'DES-TRIAL-BAL-2021'!T772+'DMP-TRIAL-BAL-2021'!T772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97">
        <f t="shared" si="351"/>
        <v>7644</v>
      </c>
      <c r="AK772" s="8">
        <v>0</v>
      </c>
      <c r="AL772" s="9">
        <v>0</v>
      </c>
      <c r="AM772" s="326">
        <f t="shared" si="385"/>
        <v>0</v>
      </c>
      <c r="AN772" s="970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58">
        <f t="shared" si="379"/>
        <v>0</v>
      </c>
      <c r="AS772" s="359">
        <f t="shared" si="380"/>
        <v>0</v>
      </c>
      <c r="AT772" s="360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25"/>
      <c r="R773" s="324"/>
      <c r="S773" s="27">
        <f t="shared" si="377"/>
        <v>0</v>
      </c>
      <c r="T773" s="28">
        <f t="shared" si="383"/>
        <v>0</v>
      </c>
      <c r="U773" s="51"/>
      <c r="V773" s="541">
        <f>+'NF-KSF-TRIAL-BAL-2021'!O773+'RA-TRIAL-BAL-2021'!O773+'DES-TRIAL-BAL-2021'!O773+'DMP-TRIAL-BAL-2021'!O773</f>
        <v>0</v>
      </c>
      <c r="W773" s="529">
        <f>+'NF-KSF-TRIAL-BAL-2021'!P773+'RA-TRIAL-BAL-2021'!P773+'DES-TRIAL-BAL-2021'!P773+'DMP-TRIAL-BAL-2021'!P773</f>
        <v>0</v>
      </c>
      <c r="X773" s="528">
        <f>+'NF-KSF-TRIAL-BAL-2021'!Q773+'RA-TRIAL-BAL-2021'!Q773+'DES-TRIAL-BAL-2021'!Q773+'DMP-TRIAL-BAL-2021'!Q773</f>
        <v>0</v>
      </c>
      <c r="Y773" s="529">
        <f>+'NF-KSF-TRIAL-BAL-2021'!R773+'RA-TRIAL-BAL-2021'!R773+'DES-TRIAL-BAL-2021'!R773+'DMP-TRIAL-BAL-2021'!R773</f>
        <v>0</v>
      </c>
      <c r="Z773" s="528">
        <f>+'NF-KSF-TRIAL-BAL-2021'!S773+'RA-TRIAL-BAL-2021'!S773+'DES-TRIAL-BAL-2021'!S773+'DMP-TRIAL-BAL-2021'!S773</f>
        <v>0</v>
      </c>
      <c r="AA773" s="347">
        <f>+'NF-KSF-TRIAL-BAL-2021'!T773+'RA-TRIAL-BAL-2021'!T773+'DES-TRIAL-BAL-2021'!T773+'DMP-TRIAL-BAL-2021'!T773</f>
        <v>0</v>
      </c>
      <c r="AB773" s="51"/>
      <c r="AC773" s="8">
        <v>0</v>
      </c>
      <c r="AD773" s="9">
        <v>0</v>
      </c>
      <c r="AE773" s="325"/>
      <c r="AF773" s="324"/>
      <c r="AG773" s="27">
        <f t="shared" si="378"/>
        <v>0</v>
      </c>
      <c r="AH773" s="28">
        <f t="shared" si="384"/>
        <v>0</v>
      </c>
      <c r="AI773" s="51"/>
      <c r="AJ773" s="1497">
        <f t="shared" si="351"/>
        <v>7645</v>
      </c>
      <c r="AK773" s="8">
        <v>0</v>
      </c>
      <c r="AL773" s="9">
        <v>0</v>
      </c>
      <c r="AM773" s="326">
        <f t="shared" si="385"/>
        <v>0</v>
      </c>
      <c r="AN773" s="970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58">
        <f t="shared" si="379"/>
        <v>0</v>
      </c>
      <c r="AS773" s="359">
        <f t="shared" si="380"/>
        <v>0</v>
      </c>
      <c r="AT773" s="360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25"/>
      <c r="R774" s="324"/>
      <c r="S774" s="27">
        <f t="shared" si="377"/>
        <v>0</v>
      </c>
      <c r="T774" s="28">
        <f t="shared" si="383"/>
        <v>0</v>
      </c>
      <c r="U774" s="51"/>
      <c r="V774" s="541">
        <f>+'NF-KSF-TRIAL-BAL-2021'!O774+'RA-TRIAL-BAL-2021'!O774+'DES-TRIAL-BAL-2021'!O774+'DMP-TRIAL-BAL-2021'!O774</f>
        <v>0</v>
      </c>
      <c r="W774" s="529">
        <f>+'NF-KSF-TRIAL-BAL-2021'!P774+'RA-TRIAL-BAL-2021'!P774+'DES-TRIAL-BAL-2021'!P774+'DMP-TRIAL-BAL-2021'!P774</f>
        <v>0</v>
      </c>
      <c r="X774" s="528">
        <f>+'NF-KSF-TRIAL-BAL-2021'!Q774+'RA-TRIAL-BAL-2021'!Q774+'DES-TRIAL-BAL-2021'!Q774+'DMP-TRIAL-BAL-2021'!Q774</f>
        <v>0</v>
      </c>
      <c r="Y774" s="529">
        <f>+'NF-KSF-TRIAL-BAL-2021'!R774+'RA-TRIAL-BAL-2021'!R774+'DES-TRIAL-BAL-2021'!R774+'DMP-TRIAL-BAL-2021'!R774</f>
        <v>0</v>
      </c>
      <c r="Z774" s="528">
        <f>+'NF-KSF-TRIAL-BAL-2021'!S774+'RA-TRIAL-BAL-2021'!S774+'DES-TRIAL-BAL-2021'!S774+'DMP-TRIAL-BAL-2021'!S774</f>
        <v>0</v>
      </c>
      <c r="AA774" s="347">
        <f>+'NF-KSF-TRIAL-BAL-2021'!T774+'RA-TRIAL-BAL-2021'!T774+'DES-TRIAL-BAL-2021'!T774+'DMP-TRIAL-BAL-2021'!T774</f>
        <v>0</v>
      </c>
      <c r="AB774" s="51"/>
      <c r="AC774" s="8">
        <v>0</v>
      </c>
      <c r="AD774" s="9">
        <v>0</v>
      </c>
      <c r="AE774" s="325"/>
      <c r="AF774" s="324"/>
      <c r="AG774" s="27">
        <f t="shared" si="378"/>
        <v>0</v>
      </c>
      <c r="AH774" s="28">
        <f t="shared" si="384"/>
        <v>0</v>
      </c>
      <c r="AI774" s="51"/>
      <c r="AJ774" s="1497">
        <f t="shared" si="351"/>
        <v>7647</v>
      </c>
      <c r="AK774" s="8">
        <v>0</v>
      </c>
      <c r="AL774" s="9">
        <v>0</v>
      </c>
      <c r="AM774" s="326">
        <f t="shared" si="385"/>
        <v>0</v>
      </c>
      <c r="AN774" s="970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58">
        <f t="shared" si="379"/>
        <v>0</v>
      </c>
      <c r="AS774" s="359">
        <f t="shared" si="380"/>
        <v>0</v>
      </c>
      <c r="AT774" s="360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25"/>
      <c r="R775" s="324"/>
      <c r="S775" s="27">
        <f t="shared" si="377"/>
        <v>0</v>
      </c>
      <c r="T775" s="28">
        <f t="shared" si="383"/>
        <v>0</v>
      </c>
      <c r="U775" s="51"/>
      <c r="V775" s="541">
        <f>+'NF-KSF-TRIAL-BAL-2021'!O775+'RA-TRIAL-BAL-2021'!O775+'DES-TRIAL-BAL-2021'!O775+'DMP-TRIAL-BAL-2021'!O775</f>
        <v>0</v>
      </c>
      <c r="W775" s="529">
        <f>+'NF-KSF-TRIAL-BAL-2021'!P775+'RA-TRIAL-BAL-2021'!P775+'DES-TRIAL-BAL-2021'!P775+'DMP-TRIAL-BAL-2021'!P775</f>
        <v>0</v>
      </c>
      <c r="X775" s="528">
        <f>+'NF-KSF-TRIAL-BAL-2021'!Q775+'RA-TRIAL-BAL-2021'!Q775+'DES-TRIAL-BAL-2021'!Q775+'DMP-TRIAL-BAL-2021'!Q775</f>
        <v>0</v>
      </c>
      <c r="Y775" s="529">
        <f>+'NF-KSF-TRIAL-BAL-2021'!R775+'RA-TRIAL-BAL-2021'!R775+'DES-TRIAL-BAL-2021'!R775+'DMP-TRIAL-BAL-2021'!R775</f>
        <v>0</v>
      </c>
      <c r="Z775" s="528">
        <f>+'NF-KSF-TRIAL-BAL-2021'!S775+'RA-TRIAL-BAL-2021'!S775+'DES-TRIAL-BAL-2021'!S775+'DMP-TRIAL-BAL-2021'!S775</f>
        <v>0</v>
      </c>
      <c r="AA775" s="347">
        <f>+'NF-KSF-TRIAL-BAL-2021'!T775+'RA-TRIAL-BAL-2021'!T775+'DES-TRIAL-BAL-2021'!T775+'DMP-TRIAL-BAL-2021'!T775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97">
        <f t="shared" si="351"/>
        <v>7648</v>
      </c>
      <c r="AK775" s="8">
        <v>0</v>
      </c>
      <c r="AL775" s="9">
        <v>0</v>
      </c>
      <c r="AM775" s="326">
        <f t="shared" si="385"/>
        <v>0</v>
      </c>
      <c r="AN775" s="970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58">
        <f t="shared" si="379"/>
        <v>0</v>
      </c>
      <c r="AS775" s="359">
        <f t="shared" si="380"/>
        <v>0</v>
      </c>
      <c r="AT775" s="360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25"/>
      <c r="R776" s="324"/>
      <c r="S776" s="27">
        <f t="shared" si="377"/>
        <v>0</v>
      </c>
      <c r="T776" s="28">
        <f t="shared" si="383"/>
        <v>0</v>
      </c>
      <c r="U776" s="51"/>
      <c r="V776" s="541">
        <f>+'NF-KSF-TRIAL-BAL-2021'!O776+'RA-TRIAL-BAL-2021'!O776+'DES-TRIAL-BAL-2021'!O776+'DMP-TRIAL-BAL-2021'!O776</f>
        <v>0</v>
      </c>
      <c r="W776" s="529">
        <f>+'NF-KSF-TRIAL-BAL-2021'!P776+'RA-TRIAL-BAL-2021'!P776+'DES-TRIAL-BAL-2021'!P776+'DMP-TRIAL-BAL-2021'!P776</f>
        <v>0</v>
      </c>
      <c r="X776" s="528">
        <f>+'NF-KSF-TRIAL-BAL-2021'!Q776+'RA-TRIAL-BAL-2021'!Q776+'DES-TRIAL-BAL-2021'!Q776+'DMP-TRIAL-BAL-2021'!Q776</f>
        <v>0</v>
      </c>
      <c r="Y776" s="529">
        <f>+'NF-KSF-TRIAL-BAL-2021'!R776+'RA-TRIAL-BAL-2021'!R776+'DES-TRIAL-BAL-2021'!R776+'DMP-TRIAL-BAL-2021'!R776</f>
        <v>0</v>
      </c>
      <c r="Z776" s="528">
        <f>+'NF-KSF-TRIAL-BAL-2021'!S776+'RA-TRIAL-BAL-2021'!S776+'DES-TRIAL-BAL-2021'!S776+'DMP-TRIAL-BAL-2021'!S776</f>
        <v>0</v>
      </c>
      <c r="AA776" s="347">
        <f>+'NF-KSF-TRIAL-BAL-2021'!T776+'RA-TRIAL-BAL-2021'!T776+'DES-TRIAL-BAL-2021'!T776+'DMP-TRIAL-BAL-2021'!T776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97">
        <f t="shared" si="351"/>
        <v>7652</v>
      </c>
      <c r="AK776" s="8">
        <v>0</v>
      </c>
      <c r="AL776" s="9">
        <v>0</v>
      </c>
      <c r="AM776" s="326">
        <f t="shared" si="385"/>
        <v>0</v>
      </c>
      <c r="AN776" s="970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58">
        <f t="shared" si="379"/>
        <v>0</v>
      </c>
      <c r="AS776" s="359">
        <f t="shared" si="380"/>
        <v>0</v>
      </c>
      <c r="AT776" s="360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25"/>
      <c r="R777" s="324"/>
      <c r="S777" s="27">
        <f t="shared" si="377"/>
        <v>0</v>
      </c>
      <c r="T777" s="28">
        <f t="shared" si="383"/>
        <v>0</v>
      </c>
      <c r="U777" s="51"/>
      <c r="V777" s="541">
        <f>+'NF-KSF-TRIAL-BAL-2021'!O777+'RA-TRIAL-BAL-2021'!O777+'DES-TRIAL-BAL-2021'!O777+'DMP-TRIAL-BAL-2021'!O777</f>
        <v>0</v>
      </c>
      <c r="W777" s="529">
        <f>+'NF-KSF-TRIAL-BAL-2021'!P777+'RA-TRIAL-BAL-2021'!P777+'DES-TRIAL-BAL-2021'!P777+'DMP-TRIAL-BAL-2021'!P777</f>
        <v>0</v>
      </c>
      <c r="X777" s="528">
        <f>+'NF-KSF-TRIAL-BAL-2021'!Q777+'RA-TRIAL-BAL-2021'!Q777+'DES-TRIAL-BAL-2021'!Q777+'DMP-TRIAL-BAL-2021'!Q777</f>
        <v>0</v>
      </c>
      <c r="Y777" s="529">
        <f>+'NF-KSF-TRIAL-BAL-2021'!R777+'RA-TRIAL-BAL-2021'!R777+'DES-TRIAL-BAL-2021'!R777+'DMP-TRIAL-BAL-2021'!R777</f>
        <v>0</v>
      </c>
      <c r="Z777" s="528">
        <f>+'NF-KSF-TRIAL-BAL-2021'!S777+'RA-TRIAL-BAL-2021'!S777+'DES-TRIAL-BAL-2021'!S777+'DMP-TRIAL-BAL-2021'!S777</f>
        <v>0</v>
      </c>
      <c r="AA777" s="347">
        <f>+'NF-KSF-TRIAL-BAL-2021'!T777+'RA-TRIAL-BAL-2021'!T777+'DES-TRIAL-BAL-2021'!T777+'DMP-TRIAL-BAL-2021'!T777</f>
        <v>0</v>
      </c>
      <c r="AB777" s="51"/>
      <c r="AC777" s="8">
        <v>0</v>
      </c>
      <c r="AD777" s="9">
        <v>0</v>
      </c>
      <c r="AE777" s="325"/>
      <c r="AF777" s="324"/>
      <c r="AG777" s="27">
        <f t="shared" si="378"/>
        <v>0</v>
      </c>
      <c r="AH777" s="28">
        <f t="shared" si="384"/>
        <v>0</v>
      </c>
      <c r="AI777" s="51"/>
      <c r="AJ777" s="1497">
        <f t="shared" si="351"/>
        <v>7653</v>
      </c>
      <c r="AK777" s="8">
        <v>0</v>
      </c>
      <c r="AL777" s="9">
        <v>0</v>
      </c>
      <c r="AM777" s="326">
        <f t="shared" si="385"/>
        <v>0</v>
      </c>
      <c r="AN777" s="970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58">
        <f t="shared" si="379"/>
        <v>0</v>
      </c>
      <c r="AS777" s="359">
        <f t="shared" si="380"/>
        <v>0</v>
      </c>
      <c r="AT777" s="360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25"/>
      <c r="R778" s="324"/>
      <c r="S778" s="27">
        <f t="shared" si="377"/>
        <v>0</v>
      </c>
      <c r="T778" s="28">
        <f t="shared" si="383"/>
        <v>0</v>
      </c>
      <c r="U778" s="51"/>
      <c r="V778" s="541">
        <f>+'NF-KSF-TRIAL-BAL-2021'!O778+'RA-TRIAL-BAL-2021'!O778+'DES-TRIAL-BAL-2021'!O778+'DMP-TRIAL-BAL-2021'!O778</f>
        <v>0</v>
      </c>
      <c r="W778" s="529">
        <f>+'NF-KSF-TRIAL-BAL-2021'!P778+'RA-TRIAL-BAL-2021'!P778+'DES-TRIAL-BAL-2021'!P778+'DMP-TRIAL-BAL-2021'!P778</f>
        <v>0</v>
      </c>
      <c r="X778" s="528">
        <f>+'NF-KSF-TRIAL-BAL-2021'!Q778+'RA-TRIAL-BAL-2021'!Q778+'DES-TRIAL-BAL-2021'!Q778+'DMP-TRIAL-BAL-2021'!Q778</f>
        <v>0</v>
      </c>
      <c r="Y778" s="529">
        <f>+'NF-KSF-TRIAL-BAL-2021'!R778+'RA-TRIAL-BAL-2021'!R778+'DES-TRIAL-BAL-2021'!R778+'DMP-TRIAL-BAL-2021'!R778</f>
        <v>0</v>
      </c>
      <c r="Z778" s="528">
        <f>+'NF-KSF-TRIAL-BAL-2021'!S778+'RA-TRIAL-BAL-2021'!S778+'DES-TRIAL-BAL-2021'!S778+'DMP-TRIAL-BAL-2021'!S778</f>
        <v>0</v>
      </c>
      <c r="AA778" s="347">
        <f>+'NF-KSF-TRIAL-BAL-2021'!T778+'RA-TRIAL-BAL-2021'!T778+'DES-TRIAL-BAL-2021'!T778+'DMP-TRIAL-BAL-2021'!T778</f>
        <v>0</v>
      </c>
      <c r="AB778" s="51"/>
      <c r="AC778" s="8">
        <v>0</v>
      </c>
      <c r="AD778" s="9">
        <v>0</v>
      </c>
      <c r="AE778" s="325"/>
      <c r="AF778" s="324"/>
      <c r="AG778" s="27">
        <f t="shared" si="378"/>
        <v>0</v>
      </c>
      <c r="AH778" s="28">
        <f t="shared" si="384"/>
        <v>0</v>
      </c>
      <c r="AI778" s="51"/>
      <c r="AJ778" s="1497">
        <f t="shared" si="351"/>
        <v>7654</v>
      </c>
      <c r="AK778" s="8">
        <v>0</v>
      </c>
      <c r="AL778" s="9">
        <v>0</v>
      </c>
      <c r="AM778" s="326">
        <f t="shared" si="385"/>
        <v>0</v>
      </c>
      <c r="AN778" s="970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58">
        <f t="shared" si="379"/>
        <v>0</v>
      </c>
      <c r="AS778" s="359">
        <f t="shared" si="380"/>
        <v>0</v>
      </c>
      <c r="AT778" s="360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25"/>
      <c r="R779" s="324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41">
        <f>+'NF-KSF-TRIAL-BAL-2021'!O779+'RA-TRIAL-BAL-2021'!O779+'DES-TRIAL-BAL-2021'!O779+'DMP-TRIAL-BAL-2021'!O779</f>
        <v>0</v>
      </c>
      <c r="W779" s="529">
        <f>+'NF-KSF-TRIAL-BAL-2021'!P779+'RA-TRIAL-BAL-2021'!P779+'DES-TRIAL-BAL-2021'!P779+'DMP-TRIAL-BAL-2021'!P779</f>
        <v>0</v>
      </c>
      <c r="X779" s="528">
        <f>+'NF-KSF-TRIAL-BAL-2021'!Q779+'RA-TRIAL-BAL-2021'!Q779+'DES-TRIAL-BAL-2021'!Q779+'DMP-TRIAL-BAL-2021'!Q779</f>
        <v>0</v>
      </c>
      <c r="Y779" s="529">
        <f>+'NF-KSF-TRIAL-BAL-2021'!R779+'RA-TRIAL-BAL-2021'!R779+'DES-TRIAL-BAL-2021'!R779+'DMP-TRIAL-BAL-2021'!R779</f>
        <v>0</v>
      </c>
      <c r="Z779" s="528">
        <f>+'NF-KSF-TRIAL-BAL-2021'!S779+'RA-TRIAL-BAL-2021'!S779+'DES-TRIAL-BAL-2021'!S779+'DMP-TRIAL-BAL-2021'!S779</f>
        <v>0</v>
      </c>
      <c r="AA779" s="347">
        <f>+'NF-KSF-TRIAL-BAL-2021'!T779+'RA-TRIAL-BAL-2021'!T779+'DES-TRIAL-BAL-2021'!T779+'DMP-TRIAL-BAL-2021'!T779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97">
        <f t="shared" ref="AJ779:AJ784" si="391">+N779</f>
        <v>7655</v>
      </c>
      <c r="AK779" s="8">
        <v>0</v>
      </c>
      <c r="AL779" s="9">
        <v>0</v>
      </c>
      <c r="AM779" s="326">
        <f t="shared" ref="AM779:AM784" si="392">+ROUND(+Q779+X779+AE779,2)</f>
        <v>0</v>
      </c>
      <c r="AN779" s="970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58">
        <f t="shared" ref="AR779:AR784" si="394">+ROUND(+SUM(AK779-AL779)-SUM(O779-P779)-SUM(V779-W779)-SUM(AC779-AD779),2)</f>
        <v>0</v>
      </c>
      <c r="AS779" s="359">
        <f t="shared" ref="AS779:AS784" si="395">+ROUND(+SUM(AM779-AN779)-SUM(Q779-R779)-SUM(X779-Y779)-SUM(AE779-AF779),2)</f>
        <v>0</v>
      </c>
      <c r="AT779" s="360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25"/>
      <c r="R780" s="324"/>
      <c r="S780" s="27">
        <f t="shared" si="387"/>
        <v>0</v>
      </c>
      <c r="T780" s="28">
        <f t="shared" si="388"/>
        <v>0</v>
      </c>
      <c r="U780" s="51"/>
      <c r="V780" s="541">
        <f>+'NF-KSF-TRIAL-BAL-2021'!O780+'RA-TRIAL-BAL-2021'!O780+'DES-TRIAL-BAL-2021'!O780+'DMP-TRIAL-BAL-2021'!O780</f>
        <v>0</v>
      </c>
      <c r="W780" s="529">
        <f>+'NF-KSF-TRIAL-BAL-2021'!P780+'RA-TRIAL-BAL-2021'!P780+'DES-TRIAL-BAL-2021'!P780+'DMP-TRIAL-BAL-2021'!P780</f>
        <v>0</v>
      </c>
      <c r="X780" s="528">
        <f>+'NF-KSF-TRIAL-BAL-2021'!Q780+'RA-TRIAL-BAL-2021'!Q780+'DES-TRIAL-BAL-2021'!Q780+'DMP-TRIAL-BAL-2021'!Q780</f>
        <v>0</v>
      </c>
      <c r="Y780" s="529">
        <f>+'NF-KSF-TRIAL-BAL-2021'!R780+'RA-TRIAL-BAL-2021'!R780+'DES-TRIAL-BAL-2021'!R780+'DMP-TRIAL-BAL-2021'!R780</f>
        <v>0</v>
      </c>
      <c r="Z780" s="528">
        <f>+'NF-KSF-TRIAL-BAL-2021'!S780+'RA-TRIAL-BAL-2021'!S780+'DES-TRIAL-BAL-2021'!S780+'DMP-TRIAL-BAL-2021'!S780</f>
        <v>0</v>
      </c>
      <c r="AA780" s="347">
        <f>+'NF-KSF-TRIAL-BAL-2021'!T780+'RA-TRIAL-BAL-2021'!T780+'DES-TRIAL-BAL-2021'!T780+'DMP-TRIAL-BAL-2021'!T780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97">
        <f t="shared" si="391"/>
        <v>7657</v>
      </c>
      <c r="AK780" s="8">
        <v>0</v>
      </c>
      <c r="AL780" s="9">
        <v>0</v>
      </c>
      <c r="AM780" s="326">
        <f t="shared" si="392"/>
        <v>0</v>
      </c>
      <c r="AN780" s="970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58">
        <f t="shared" si="394"/>
        <v>0</v>
      </c>
      <c r="AS780" s="359">
        <f t="shared" si="395"/>
        <v>0</v>
      </c>
      <c r="AT780" s="360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25"/>
      <c r="R781" s="324"/>
      <c r="S781" s="27">
        <f t="shared" si="387"/>
        <v>0</v>
      </c>
      <c r="T781" s="28">
        <f t="shared" si="388"/>
        <v>0</v>
      </c>
      <c r="U781" s="51"/>
      <c r="V781" s="541">
        <f>+'NF-KSF-TRIAL-BAL-2021'!O781+'RA-TRIAL-BAL-2021'!O781+'DES-TRIAL-BAL-2021'!O781+'DMP-TRIAL-BAL-2021'!O781</f>
        <v>0</v>
      </c>
      <c r="W781" s="529">
        <f>+'NF-KSF-TRIAL-BAL-2021'!P781+'RA-TRIAL-BAL-2021'!P781+'DES-TRIAL-BAL-2021'!P781+'DMP-TRIAL-BAL-2021'!P781</f>
        <v>0</v>
      </c>
      <c r="X781" s="528">
        <f>+'NF-KSF-TRIAL-BAL-2021'!Q781+'RA-TRIAL-BAL-2021'!Q781+'DES-TRIAL-BAL-2021'!Q781+'DMP-TRIAL-BAL-2021'!Q781</f>
        <v>0</v>
      </c>
      <c r="Y781" s="529">
        <f>+'NF-KSF-TRIAL-BAL-2021'!R781+'RA-TRIAL-BAL-2021'!R781+'DES-TRIAL-BAL-2021'!R781+'DMP-TRIAL-BAL-2021'!R781</f>
        <v>0</v>
      </c>
      <c r="Z781" s="528">
        <f>+'NF-KSF-TRIAL-BAL-2021'!S781+'RA-TRIAL-BAL-2021'!S781+'DES-TRIAL-BAL-2021'!S781+'DMP-TRIAL-BAL-2021'!S781</f>
        <v>0</v>
      </c>
      <c r="AA781" s="347">
        <f>+'NF-KSF-TRIAL-BAL-2021'!T781+'RA-TRIAL-BAL-2021'!T781+'DES-TRIAL-BAL-2021'!T781+'DMP-TRIAL-BAL-2021'!T781</f>
        <v>0</v>
      </c>
      <c r="AB781" s="51"/>
      <c r="AC781" s="8">
        <v>0</v>
      </c>
      <c r="AD781" s="9">
        <v>0</v>
      </c>
      <c r="AE781" s="325"/>
      <c r="AF781" s="324"/>
      <c r="AG781" s="27">
        <f t="shared" si="389"/>
        <v>0</v>
      </c>
      <c r="AH781" s="28">
        <f t="shared" si="390"/>
        <v>0</v>
      </c>
      <c r="AI781" s="51"/>
      <c r="AJ781" s="1497">
        <f t="shared" si="391"/>
        <v>7658</v>
      </c>
      <c r="AK781" s="8">
        <v>0</v>
      </c>
      <c r="AL781" s="9">
        <v>0</v>
      </c>
      <c r="AM781" s="326">
        <f t="shared" si="392"/>
        <v>0</v>
      </c>
      <c r="AN781" s="970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58">
        <f t="shared" si="394"/>
        <v>0</v>
      </c>
      <c r="AS781" s="359">
        <f t="shared" si="395"/>
        <v>0</v>
      </c>
      <c r="AT781" s="360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25"/>
      <c r="R782" s="324"/>
      <c r="S782" s="27">
        <f t="shared" si="387"/>
        <v>0</v>
      </c>
      <c r="T782" s="28">
        <f t="shared" si="388"/>
        <v>0</v>
      </c>
      <c r="U782" s="51"/>
      <c r="V782" s="541">
        <f>+'NF-KSF-TRIAL-BAL-2021'!O782+'RA-TRIAL-BAL-2021'!O782+'DES-TRIAL-BAL-2021'!O782+'DMP-TRIAL-BAL-2021'!O782</f>
        <v>0</v>
      </c>
      <c r="W782" s="529">
        <f>+'NF-KSF-TRIAL-BAL-2021'!P782+'RA-TRIAL-BAL-2021'!P782+'DES-TRIAL-BAL-2021'!P782+'DMP-TRIAL-BAL-2021'!P782</f>
        <v>0</v>
      </c>
      <c r="X782" s="528">
        <f>+'NF-KSF-TRIAL-BAL-2021'!Q782+'RA-TRIAL-BAL-2021'!Q782+'DES-TRIAL-BAL-2021'!Q782+'DMP-TRIAL-BAL-2021'!Q782</f>
        <v>0</v>
      </c>
      <c r="Y782" s="529">
        <f>+'NF-KSF-TRIAL-BAL-2021'!R782+'RA-TRIAL-BAL-2021'!R782+'DES-TRIAL-BAL-2021'!R782+'DMP-TRIAL-BAL-2021'!R782</f>
        <v>0</v>
      </c>
      <c r="Z782" s="528">
        <f>+'NF-KSF-TRIAL-BAL-2021'!S782+'RA-TRIAL-BAL-2021'!S782+'DES-TRIAL-BAL-2021'!S782+'DMP-TRIAL-BAL-2021'!S782</f>
        <v>0</v>
      </c>
      <c r="AA782" s="347">
        <f>+'NF-KSF-TRIAL-BAL-2021'!T782+'RA-TRIAL-BAL-2021'!T782+'DES-TRIAL-BAL-2021'!T782+'DMP-TRIAL-BAL-2021'!T782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97">
        <f t="shared" si="391"/>
        <v>7672</v>
      </c>
      <c r="AK782" s="8">
        <v>0</v>
      </c>
      <c r="AL782" s="9">
        <v>0</v>
      </c>
      <c r="AM782" s="326">
        <f t="shared" si="392"/>
        <v>0</v>
      </c>
      <c r="AN782" s="970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58">
        <f t="shared" si="394"/>
        <v>0</v>
      </c>
      <c r="AS782" s="359">
        <f t="shared" si="395"/>
        <v>0</v>
      </c>
      <c r="AT782" s="360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25"/>
      <c r="R783" s="324"/>
      <c r="S783" s="27">
        <f t="shared" si="387"/>
        <v>0</v>
      </c>
      <c r="T783" s="28">
        <f t="shared" si="388"/>
        <v>0</v>
      </c>
      <c r="U783" s="51"/>
      <c r="V783" s="541">
        <f>+'NF-KSF-TRIAL-BAL-2021'!O783+'RA-TRIAL-BAL-2021'!O783+'DES-TRIAL-BAL-2021'!O783+'DMP-TRIAL-BAL-2021'!O783</f>
        <v>0</v>
      </c>
      <c r="W783" s="529">
        <f>+'NF-KSF-TRIAL-BAL-2021'!P783+'RA-TRIAL-BAL-2021'!P783+'DES-TRIAL-BAL-2021'!P783+'DMP-TRIAL-BAL-2021'!P783</f>
        <v>0</v>
      </c>
      <c r="X783" s="528">
        <f>+'NF-KSF-TRIAL-BAL-2021'!Q783+'RA-TRIAL-BAL-2021'!Q783+'DES-TRIAL-BAL-2021'!Q783+'DMP-TRIAL-BAL-2021'!Q783</f>
        <v>0</v>
      </c>
      <c r="Y783" s="529">
        <f>+'NF-KSF-TRIAL-BAL-2021'!R783+'RA-TRIAL-BAL-2021'!R783+'DES-TRIAL-BAL-2021'!R783+'DMP-TRIAL-BAL-2021'!R783</f>
        <v>0</v>
      </c>
      <c r="Z783" s="528">
        <f>+'NF-KSF-TRIAL-BAL-2021'!S783+'RA-TRIAL-BAL-2021'!S783+'DES-TRIAL-BAL-2021'!S783+'DMP-TRIAL-BAL-2021'!S783</f>
        <v>0</v>
      </c>
      <c r="AA783" s="347">
        <f>+'NF-KSF-TRIAL-BAL-2021'!T783+'RA-TRIAL-BAL-2021'!T783+'DES-TRIAL-BAL-2021'!T783+'DMP-TRIAL-BAL-2021'!T783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97">
        <f t="shared" si="391"/>
        <v>7673</v>
      </c>
      <c r="AK783" s="8">
        <v>0</v>
      </c>
      <c r="AL783" s="9">
        <v>0</v>
      </c>
      <c r="AM783" s="326">
        <f t="shared" si="392"/>
        <v>0</v>
      </c>
      <c r="AN783" s="970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58">
        <f t="shared" si="394"/>
        <v>0</v>
      </c>
      <c r="AS783" s="359">
        <f t="shared" si="395"/>
        <v>0</v>
      </c>
      <c r="AT783" s="360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25"/>
      <c r="R784" s="324"/>
      <c r="S784" s="27">
        <f t="shared" si="387"/>
        <v>0</v>
      </c>
      <c r="T784" s="28">
        <f t="shared" si="388"/>
        <v>0</v>
      </c>
      <c r="U784" s="51"/>
      <c r="V784" s="541">
        <f>+'NF-KSF-TRIAL-BAL-2021'!O784+'RA-TRIAL-BAL-2021'!O784+'DES-TRIAL-BAL-2021'!O784+'DMP-TRIAL-BAL-2021'!O784</f>
        <v>0</v>
      </c>
      <c r="W784" s="529">
        <f>+'NF-KSF-TRIAL-BAL-2021'!P784+'RA-TRIAL-BAL-2021'!P784+'DES-TRIAL-BAL-2021'!P784+'DMP-TRIAL-BAL-2021'!P784</f>
        <v>0</v>
      </c>
      <c r="X784" s="528">
        <f>+'NF-KSF-TRIAL-BAL-2021'!Q784+'RA-TRIAL-BAL-2021'!Q784+'DES-TRIAL-BAL-2021'!Q784+'DMP-TRIAL-BAL-2021'!Q784</f>
        <v>0</v>
      </c>
      <c r="Y784" s="529">
        <f>+'NF-KSF-TRIAL-BAL-2021'!R784+'RA-TRIAL-BAL-2021'!R784+'DES-TRIAL-BAL-2021'!R784+'DMP-TRIAL-BAL-2021'!R784</f>
        <v>0</v>
      </c>
      <c r="Z784" s="528">
        <f>+'NF-KSF-TRIAL-BAL-2021'!S784+'RA-TRIAL-BAL-2021'!S784+'DES-TRIAL-BAL-2021'!S784+'DMP-TRIAL-BAL-2021'!S784</f>
        <v>0</v>
      </c>
      <c r="AA784" s="347">
        <f>+'NF-KSF-TRIAL-BAL-2021'!T784+'RA-TRIAL-BAL-2021'!T784+'DES-TRIAL-BAL-2021'!T784+'DMP-TRIAL-BAL-2021'!T784</f>
        <v>0</v>
      </c>
      <c r="AB784" s="51"/>
      <c r="AC784" s="8">
        <v>0</v>
      </c>
      <c r="AD784" s="9">
        <v>0</v>
      </c>
      <c r="AE784" s="325"/>
      <c r="AF784" s="324"/>
      <c r="AG784" s="27">
        <f t="shared" si="389"/>
        <v>0</v>
      </c>
      <c r="AH784" s="28">
        <f t="shared" si="390"/>
        <v>0</v>
      </c>
      <c r="AI784" s="51"/>
      <c r="AJ784" s="1497">
        <f t="shared" si="391"/>
        <v>7674</v>
      </c>
      <c r="AK784" s="8">
        <v>0</v>
      </c>
      <c r="AL784" s="9">
        <v>0</v>
      </c>
      <c r="AM784" s="326">
        <f t="shared" si="392"/>
        <v>0</v>
      </c>
      <c r="AN784" s="970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58">
        <f t="shared" si="394"/>
        <v>0</v>
      </c>
      <c r="AS784" s="359">
        <f t="shared" si="395"/>
        <v>0</v>
      </c>
      <c r="AT784" s="360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25"/>
      <c r="R785" s="324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41">
        <f>+'NF-KSF-TRIAL-BAL-2021'!O785+'RA-TRIAL-BAL-2021'!O785+'DES-TRIAL-BAL-2021'!O785+'DMP-TRIAL-BAL-2021'!O785</f>
        <v>0</v>
      </c>
      <c r="W785" s="529">
        <f>+'NF-KSF-TRIAL-BAL-2021'!P785+'RA-TRIAL-BAL-2021'!P785+'DES-TRIAL-BAL-2021'!P785+'DMP-TRIAL-BAL-2021'!P785</f>
        <v>0</v>
      </c>
      <c r="X785" s="528">
        <f>+'NF-KSF-TRIAL-BAL-2021'!Q785+'RA-TRIAL-BAL-2021'!Q785+'DES-TRIAL-BAL-2021'!Q785+'DMP-TRIAL-BAL-2021'!Q785</f>
        <v>0</v>
      </c>
      <c r="Y785" s="529">
        <f>+'NF-KSF-TRIAL-BAL-2021'!R785+'RA-TRIAL-BAL-2021'!R785+'DES-TRIAL-BAL-2021'!R785+'DMP-TRIAL-BAL-2021'!R785</f>
        <v>0</v>
      </c>
      <c r="Z785" s="528">
        <f>+'NF-KSF-TRIAL-BAL-2021'!S785+'RA-TRIAL-BAL-2021'!S785+'DES-TRIAL-BAL-2021'!S785+'DMP-TRIAL-BAL-2021'!S785</f>
        <v>0</v>
      </c>
      <c r="AA785" s="347">
        <f>+'NF-KSF-TRIAL-BAL-2021'!T785+'RA-TRIAL-BAL-2021'!T785+'DES-TRIAL-BAL-2021'!T785+'DMP-TRIAL-BAL-2021'!T785</f>
        <v>0</v>
      </c>
      <c r="AB785" s="51"/>
      <c r="AC785" s="8">
        <v>0</v>
      </c>
      <c r="AD785" s="9">
        <v>0</v>
      </c>
      <c r="AE785" s="325"/>
      <c r="AF785" s="324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97">
        <f>+N785</f>
        <v>7675</v>
      </c>
      <c r="AK785" s="8">
        <v>0</v>
      </c>
      <c r="AL785" s="9">
        <v>0</v>
      </c>
      <c r="AM785" s="326">
        <f t="shared" ref="AM785:AN787" si="397">+ROUND(+Q785+X785+AE785,2)</f>
        <v>0</v>
      </c>
      <c r="AN785" s="970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58">
        <f>+ROUND(+SUM(AK785-AL785)-SUM(O785-P785)-SUM(V785-W785)-SUM(AC785-AD785),2)</f>
        <v>0</v>
      </c>
      <c r="AS785" s="359">
        <f>+ROUND(+SUM(AM785-AN785)-SUM(Q785-R785)-SUM(X785-Y785)-SUM(AE785-AF785),2)</f>
        <v>0</v>
      </c>
      <c r="AT785" s="360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25"/>
      <c r="R786" s="324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41">
        <f>+'NF-KSF-TRIAL-BAL-2021'!O786+'RA-TRIAL-BAL-2021'!O786+'DES-TRIAL-BAL-2021'!O786+'DMP-TRIAL-BAL-2021'!O786</f>
        <v>0</v>
      </c>
      <c r="W786" s="529">
        <f>+'NF-KSF-TRIAL-BAL-2021'!P786+'RA-TRIAL-BAL-2021'!P786+'DES-TRIAL-BAL-2021'!P786+'DMP-TRIAL-BAL-2021'!P786</f>
        <v>0</v>
      </c>
      <c r="X786" s="528">
        <f>+'NF-KSF-TRIAL-BAL-2021'!Q786+'RA-TRIAL-BAL-2021'!Q786+'DES-TRIAL-BAL-2021'!Q786+'DMP-TRIAL-BAL-2021'!Q786</f>
        <v>0</v>
      </c>
      <c r="Y786" s="529">
        <f>+'NF-KSF-TRIAL-BAL-2021'!R786+'RA-TRIAL-BAL-2021'!R786+'DES-TRIAL-BAL-2021'!R786+'DMP-TRIAL-BAL-2021'!R786</f>
        <v>0</v>
      </c>
      <c r="Z786" s="528">
        <f>+'NF-KSF-TRIAL-BAL-2021'!S786+'RA-TRIAL-BAL-2021'!S786+'DES-TRIAL-BAL-2021'!S786+'DMP-TRIAL-BAL-2021'!S786</f>
        <v>0</v>
      </c>
      <c r="AA786" s="347">
        <f>+'NF-KSF-TRIAL-BAL-2021'!T786+'RA-TRIAL-BAL-2021'!T786+'DES-TRIAL-BAL-2021'!T786+'DMP-TRIAL-BAL-2021'!T786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97">
        <f>+N786</f>
        <v>7677</v>
      </c>
      <c r="AK786" s="8">
        <v>0</v>
      </c>
      <c r="AL786" s="9">
        <v>0</v>
      </c>
      <c r="AM786" s="326">
        <f t="shared" si="397"/>
        <v>0</v>
      </c>
      <c r="AN786" s="970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58">
        <f>+ROUND(+SUM(AK786-AL786)-SUM(O786-P786)-SUM(V786-W786)-SUM(AC786-AD786),2)</f>
        <v>0</v>
      </c>
      <c r="AS786" s="359">
        <f>+ROUND(+SUM(AM786-AN786)-SUM(Q786-R786)-SUM(X786-Y786)-SUM(AE786-AF786),2)</f>
        <v>0</v>
      </c>
      <c r="AT786" s="360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25"/>
      <c r="R787" s="324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41">
        <f>+'NF-KSF-TRIAL-BAL-2021'!O787+'RA-TRIAL-BAL-2021'!O787+'DES-TRIAL-BAL-2021'!O787+'DMP-TRIAL-BAL-2021'!O787</f>
        <v>0</v>
      </c>
      <c r="W787" s="529">
        <f>+'NF-KSF-TRIAL-BAL-2021'!P787+'RA-TRIAL-BAL-2021'!P787+'DES-TRIAL-BAL-2021'!P787+'DMP-TRIAL-BAL-2021'!P787</f>
        <v>0</v>
      </c>
      <c r="X787" s="528">
        <f>+'NF-KSF-TRIAL-BAL-2021'!Q787+'RA-TRIAL-BAL-2021'!Q787+'DES-TRIAL-BAL-2021'!Q787+'DMP-TRIAL-BAL-2021'!Q787</f>
        <v>0</v>
      </c>
      <c r="Y787" s="529">
        <f>+'NF-KSF-TRIAL-BAL-2021'!R787+'RA-TRIAL-BAL-2021'!R787+'DES-TRIAL-BAL-2021'!R787+'DMP-TRIAL-BAL-2021'!R787</f>
        <v>0</v>
      </c>
      <c r="Z787" s="528">
        <f>+'NF-KSF-TRIAL-BAL-2021'!S787+'RA-TRIAL-BAL-2021'!S787+'DES-TRIAL-BAL-2021'!S787+'DMP-TRIAL-BAL-2021'!S787</f>
        <v>0</v>
      </c>
      <c r="AA787" s="347">
        <f>+'NF-KSF-TRIAL-BAL-2021'!T787+'RA-TRIAL-BAL-2021'!T787+'DES-TRIAL-BAL-2021'!T787+'DMP-TRIAL-BAL-2021'!T787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97">
        <f>+N787</f>
        <v>7678</v>
      </c>
      <c r="AK787" s="8">
        <v>0</v>
      </c>
      <c r="AL787" s="9">
        <v>0</v>
      </c>
      <c r="AM787" s="326">
        <f t="shared" si="397"/>
        <v>0</v>
      </c>
      <c r="AN787" s="970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58">
        <f>+ROUND(+SUM(AK787-AL787)-SUM(O787-P787)-SUM(V787-W787)-SUM(AC787-AD787),2)</f>
        <v>0</v>
      </c>
      <c r="AS787" s="359">
        <f>+ROUND(+SUM(AM787-AN787)-SUM(Q787-R787)-SUM(X787-Y787)-SUM(AE787-AF787),2)</f>
        <v>0</v>
      </c>
      <c r="AT787" s="360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25"/>
      <c r="R788" s="324"/>
      <c r="S788" s="27">
        <f t="shared" si="377"/>
        <v>0</v>
      </c>
      <c r="T788" s="28">
        <f t="shared" si="383"/>
        <v>0</v>
      </c>
      <c r="U788" s="51"/>
      <c r="V788" s="541">
        <f>+'NF-KSF-TRIAL-BAL-2021'!O788+'RA-TRIAL-BAL-2021'!O788+'DES-TRIAL-BAL-2021'!O788+'DMP-TRIAL-BAL-2021'!O788</f>
        <v>0</v>
      </c>
      <c r="W788" s="529">
        <f>+'NF-KSF-TRIAL-BAL-2021'!P788+'RA-TRIAL-BAL-2021'!P788+'DES-TRIAL-BAL-2021'!P788+'DMP-TRIAL-BAL-2021'!P788</f>
        <v>0</v>
      </c>
      <c r="X788" s="528">
        <f>+'NF-KSF-TRIAL-BAL-2021'!Q788+'RA-TRIAL-BAL-2021'!Q788+'DES-TRIAL-BAL-2021'!Q788+'DMP-TRIAL-BAL-2021'!Q788</f>
        <v>0</v>
      </c>
      <c r="Y788" s="529">
        <f>+'NF-KSF-TRIAL-BAL-2021'!R788+'RA-TRIAL-BAL-2021'!R788+'DES-TRIAL-BAL-2021'!R788+'DMP-TRIAL-BAL-2021'!R788</f>
        <v>0</v>
      </c>
      <c r="Z788" s="528">
        <f>+'NF-KSF-TRIAL-BAL-2021'!S788+'RA-TRIAL-BAL-2021'!S788+'DES-TRIAL-BAL-2021'!S788+'DMP-TRIAL-BAL-2021'!S788</f>
        <v>0</v>
      </c>
      <c r="AA788" s="347">
        <f>+'NF-KSF-TRIAL-BAL-2021'!T788+'RA-TRIAL-BAL-2021'!T788+'DES-TRIAL-BAL-2021'!T788+'DMP-TRIAL-BAL-2021'!T788</f>
        <v>0</v>
      </c>
      <c r="AB788" s="51"/>
      <c r="AC788" s="8">
        <v>0</v>
      </c>
      <c r="AD788" s="9">
        <v>0</v>
      </c>
      <c r="AE788" s="325"/>
      <c r="AF788" s="324"/>
      <c r="AG788" s="27">
        <f t="shared" si="378"/>
        <v>0</v>
      </c>
      <c r="AH788" s="28">
        <f t="shared" si="384"/>
        <v>0</v>
      </c>
      <c r="AI788" s="51"/>
      <c r="AJ788" s="1497">
        <f t="shared" si="351"/>
        <v>7682</v>
      </c>
      <c r="AK788" s="8">
        <v>0</v>
      </c>
      <c r="AL788" s="9">
        <v>0</v>
      </c>
      <c r="AM788" s="326">
        <f t="shared" si="385"/>
        <v>0</v>
      </c>
      <c r="AN788" s="970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58">
        <f t="shared" si="379"/>
        <v>0</v>
      </c>
      <c r="AS788" s="359">
        <f t="shared" si="380"/>
        <v>0</v>
      </c>
      <c r="AT788" s="360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25"/>
      <c r="R789" s="324"/>
      <c r="S789" s="27">
        <f t="shared" si="377"/>
        <v>0</v>
      </c>
      <c r="T789" s="28">
        <f t="shared" si="383"/>
        <v>0</v>
      </c>
      <c r="U789" s="51"/>
      <c r="V789" s="541">
        <f>+'NF-KSF-TRIAL-BAL-2021'!O789+'RA-TRIAL-BAL-2021'!O789+'DES-TRIAL-BAL-2021'!O789+'DMP-TRIAL-BAL-2021'!O789</f>
        <v>0</v>
      </c>
      <c r="W789" s="529">
        <f>+'NF-KSF-TRIAL-BAL-2021'!P789+'RA-TRIAL-BAL-2021'!P789+'DES-TRIAL-BAL-2021'!P789+'DMP-TRIAL-BAL-2021'!P789</f>
        <v>0</v>
      </c>
      <c r="X789" s="528">
        <f>+'NF-KSF-TRIAL-BAL-2021'!Q789+'RA-TRIAL-BAL-2021'!Q789+'DES-TRIAL-BAL-2021'!Q789+'DMP-TRIAL-BAL-2021'!Q789</f>
        <v>0</v>
      </c>
      <c r="Y789" s="529">
        <f>+'NF-KSF-TRIAL-BAL-2021'!R789+'RA-TRIAL-BAL-2021'!R789+'DES-TRIAL-BAL-2021'!R789+'DMP-TRIAL-BAL-2021'!R789</f>
        <v>0</v>
      </c>
      <c r="Z789" s="528">
        <f>+'NF-KSF-TRIAL-BAL-2021'!S789+'RA-TRIAL-BAL-2021'!S789+'DES-TRIAL-BAL-2021'!S789+'DMP-TRIAL-BAL-2021'!S789</f>
        <v>0</v>
      </c>
      <c r="AA789" s="347">
        <f>+'NF-KSF-TRIAL-BAL-2021'!T789+'RA-TRIAL-BAL-2021'!T789+'DES-TRIAL-BAL-2021'!T789+'DMP-TRIAL-BAL-2021'!T789</f>
        <v>0</v>
      </c>
      <c r="AB789" s="51"/>
      <c r="AC789" s="8">
        <v>0</v>
      </c>
      <c r="AD789" s="9">
        <v>0</v>
      </c>
      <c r="AE789" s="325"/>
      <c r="AF789" s="324"/>
      <c r="AG789" s="27">
        <f t="shared" si="378"/>
        <v>0</v>
      </c>
      <c r="AH789" s="28">
        <f t="shared" si="384"/>
        <v>0</v>
      </c>
      <c r="AI789" s="51"/>
      <c r="AJ789" s="1497">
        <f t="shared" si="351"/>
        <v>7684</v>
      </c>
      <c r="AK789" s="8">
        <v>0</v>
      </c>
      <c r="AL789" s="9">
        <v>0</v>
      </c>
      <c r="AM789" s="326">
        <f t="shared" si="385"/>
        <v>0</v>
      </c>
      <c r="AN789" s="970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58">
        <f t="shared" si="379"/>
        <v>0</v>
      </c>
      <c r="AS789" s="359">
        <f t="shared" si="380"/>
        <v>0</v>
      </c>
      <c r="AT789" s="360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25"/>
      <c r="R790" s="324"/>
      <c r="S790" s="27">
        <f t="shared" si="377"/>
        <v>0</v>
      </c>
      <c r="T790" s="28">
        <f t="shared" si="383"/>
        <v>0</v>
      </c>
      <c r="U790" s="51"/>
      <c r="V790" s="541">
        <f>+'NF-KSF-TRIAL-BAL-2021'!O790+'RA-TRIAL-BAL-2021'!O790+'DES-TRIAL-BAL-2021'!O790+'DMP-TRIAL-BAL-2021'!O790</f>
        <v>0</v>
      </c>
      <c r="W790" s="529">
        <f>+'NF-KSF-TRIAL-BAL-2021'!P790+'RA-TRIAL-BAL-2021'!P790+'DES-TRIAL-BAL-2021'!P790+'DMP-TRIAL-BAL-2021'!P790</f>
        <v>0</v>
      </c>
      <c r="X790" s="528">
        <f>+'NF-KSF-TRIAL-BAL-2021'!Q790+'RA-TRIAL-BAL-2021'!Q790+'DES-TRIAL-BAL-2021'!Q790+'DMP-TRIAL-BAL-2021'!Q790</f>
        <v>0</v>
      </c>
      <c r="Y790" s="529">
        <f>+'NF-KSF-TRIAL-BAL-2021'!R790+'RA-TRIAL-BAL-2021'!R790+'DES-TRIAL-BAL-2021'!R790+'DMP-TRIAL-BAL-2021'!R790</f>
        <v>0</v>
      </c>
      <c r="Z790" s="528">
        <f>+'NF-KSF-TRIAL-BAL-2021'!S790+'RA-TRIAL-BAL-2021'!S790+'DES-TRIAL-BAL-2021'!S790+'DMP-TRIAL-BAL-2021'!S790</f>
        <v>0</v>
      </c>
      <c r="AA790" s="347">
        <f>+'NF-KSF-TRIAL-BAL-2021'!T790+'RA-TRIAL-BAL-2021'!T790+'DES-TRIAL-BAL-2021'!T790+'DMP-TRIAL-BAL-2021'!T790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97">
        <f t="shared" si="351"/>
        <v>7685</v>
      </c>
      <c r="AK790" s="8">
        <v>0</v>
      </c>
      <c r="AL790" s="9">
        <v>0</v>
      </c>
      <c r="AM790" s="326">
        <f t="shared" si="385"/>
        <v>0</v>
      </c>
      <c r="AN790" s="970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58">
        <f t="shared" si="379"/>
        <v>0</v>
      </c>
      <c r="AS790" s="359">
        <f t="shared" si="380"/>
        <v>0</v>
      </c>
      <c r="AT790" s="360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25"/>
      <c r="R791" s="324"/>
      <c r="S791" s="27">
        <f t="shared" si="377"/>
        <v>0</v>
      </c>
      <c r="T791" s="28">
        <f t="shared" si="383"/>
        <v>0</v>
      </c>
      <c r="U791" s="51"/>
      <c r="V791" s="541">
        <f>+'NF-KSF-TRIAL-BAL-2021'!O791+'RA-TRIAL-BAL-2021'!O791+'DES-TRIAL-BAL-2021'!O791+'DMP-TRIAL-BAL-2021'!O791</f>
        <v>0</v>
      </c>
      <c r="W791" s="529">
        <f>+'NF-KSF-TRIAL-BAL-2021'!P791+'RA-TRIAL-BAL-2021'!P791+'DES-TRIAL-BAL-2021'!P791+'DMP-TRIAL-BAL-2021'!P791</f>
        <v>0</v>
      </c>
      <c r="X791" s="528">
        <f>+'NF-KSF-TRIAL-BAL-2021'!Q791+'RA-TRIAL-BAL-2021'!Q791+'DES-TRIAL-BAL-2021'!Q791+'DMP-TRIAL-BAL-2021'!Q791</f>
        <v>0</v>
      </c>
      <c r="Y791" s="529">
        <f>+'NF-KSF-TRIAL-BAL-2021'!R791+'RA-TRIAL-BAL-2021'!R791+'DES-TRIAL-BAL-2021'!R791+'DMP-TRIAL-BAL-2021'!R791</f>
        <v>0</v>
      </c>
      <c r="Z791" s="528">
        <f>+'NF-KSF-TRIAL-BAL-2021'!S791+'RA-TRIAL-BAL-2021'!S791+'DES-TRIAL-BAL-2021'!S791+'DMP-TRIAL-BAL-2021'!S791</f>
        <v>0</v>
      </c>
      <c r="AA791" s="347">
        <f>+'NF-KSF-TRIAL-BAL-2021'!T791+'RA-TRIAL-BAL-2021'!T791+'DES-TRIAL-BAL-2021'!T791+'DMP-TRIAL-BAL-2021'!T791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97">
        <f t="shared" si="351"/>
        <v>7689</v>
      </c>
      <c r="AK791" s="8">
        <v>0</v>
      </c>
      <c r="AL791" s="9">
        <v>0</v>
      </c>
      <c r="AM791" s="326">
        <f t="shared" si="385"/>
        <v>0</v>
      </c>
      <c r="AN791" s="970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58">
        <f t="shared" si="379"/>
        <v>0</v>
      </c>
      <c r="AS791" s="359">
        <f t="shared" si="380"/>
        <v>0</v>
      </c>
      <c r="AT791" s="360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25"/>
      <c r="R792" s="324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41">
        <f>+'NF-KSF-TRIAL-BAL-2021'!O792+'RA-TRIAL-BAL-2021'!O792+'DES-TRIAL-BAL-2021'!O792+'DMP-TRIAL-BAL-2021'!O792</f>
        <v>0</v>
      </c>
      <c r="W792" s="529">
        <f>+'NF-KSF-TRIAL-BAL-2021'!P792+'RA-TRIAL-BAL-2021'!P792+'DES-TRIAL-BAL-2021'!P792+'DMP-TRIAL-BAL-2021'!P792</f>
        <v>0</v>
      </c>
      <c r="X792" s="528">
        <f>+'NF-KSF-TRIAL-BAL-2021'!Q792+'RA-TRIAL-BAL-2021'!Q792+'DES-TRIAL-BAL-2021'!Q792+'DMP-TRIAL-BAL-2021'!Q792</f>
        <v>0</v>
      </c>
      <c r="Y792" s="529">
        <f>+'NF-KSF-TRIAL-BAL-2021'!R792+'RA-TRIAL-BAL-2021'!R792+'DES-TRIAL-BAL-2021'!R792+'DMP-TRIAL-BAL-2021'!R792</f>
        <v>0</v>
      </c>
      <c r="Z792" s="528">
        <f>+'NF-KSF-TRIAL-BAL-2021'!S792+'RA-TRIAL-BAL-2021'!S792+'DES-TRIAL-BAL-2021'!S792+'DMP-TRIAL-BAL-2021'!S792</f>
        <v>0</v>
      </c>
      <c r="AA792" s="347">
        <f>+'NF-KSF-TRIAL-BAL-2021'!T792+'RA-TRIAL-BAL-2021'!T792+'DES-TRIAL-BAL-2021'!T792+'DMP-TRIAL-BAL-2021'!T792</f>
        <v>0</v>
      </c>
      <c r="AB792" s="51"/>
      <c r="AC792" s="8">
        <v>0</v>
      </c>
      <c r="AD792" s="9">
        <v>0</v>
      </c>
      <c r="AE792" s="325"/>
      <c r="AF792" s="324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97">
        <f t="shared" si="351"/>
        <v>7692</v>
      </c>
      <c r="AK792" s="8">
        <v>0</v>
      </c>
      <c r="AL792" s="9">
        <v>0</v>
      </c>
      <c r="AM792" s="326">
        <f t="shared" si="385"/>
        <v>0</v>
      </c>
      <c r="AN792" s="970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58">
        <f t="shared" si="379"/>
        <v>0</v>
      </c>
      <c r="AS792" s="359">
        <f t="shared" si="380"/>
        <v>0</v>
      </c>
      <c r="AT792" s="360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25"/>
      <c r="R793" s="324"/>
      <c r="S793" s="27">
        <f t="shared" si="398"/>
        <v>0</v>
      </c>
      <c r="T793" s="28">
        <f t="shared" si="399"/>
        <v>0</v>
      </c>
      <c r="U793" s="51"/>
      <c r="V793" s="541">
        <f>+'NF-KSF-TRIAL-BAL-2021'!O793+'RA-TRIAL-BAL-2021'!O793+'DES-TRIAL-BAL-2021'!O793+'DMP-TRIAL-BAL-2021'!O793</f>
        <v>0</v>
      </c>
      <c r="W793" s="529">
        <f>+'NF-KSF-TRIAL-BAL-2021'!P793+'RA-TRIAL-BAL-2021'!P793+'DES-TRIAL-BAL-2021'!P793+'DMP-TRIAL-BAL-2021'!P793</f>
        <v>0</v>
      </c>
      <c r="X793" s="528">
        <f>+'NF-KSF-TRIAL-BAL-2021'!Q793+'RA-TRIAL-BAL-2021'!Q793+'DES-TRIAL-BAL-2021'!Q793+'DMP-TRIAL-BAL-2021'!Q793</f>
        <v>0</v>
      </c>
      <c r="Y793" s="529">
        <f>+'NF-KSF-TRIAL-BAL-2021'!R793+'RA-TRIAL-BAL-2021'!R793+'DES-TRIAL-BAL-2021'!R793+'DMP-TRIAL-BAL-2021'!R793</f>
        <v>0</v>
      </c>
      <c r="Z793" s="528">
        <f>+'NF-KSF-TRIAL-BAL-2021'!S793+'RA-TRIAL-BAL-2021'!S793+'DES-TRIAL-BAL-2021'!S793+'DMP-TRIAL-BAL-2021'!S793</f>
        <v>0</v>
      </c>
      <c r="AA793" s="347">
        <f>+'NF-KSF-TRIAL-BAL-2021'!T793+'RA-TRIAL-BAL-2021'!T793+'DES-TRIAL-BAL-2021'!T793+'DMP-TRIAL-BAL-2021'!T793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97">
        <f t="shared" si="351"/>
        <v>7693</v>
      </c>
      <c r="AK793" s="8">
        <v>0</v>
      </c>
      <c r="AL793" s="9">
        <v>0</v>
      </c>
      <c r="AM793" s="326">
        <f t="shared" si="385"/>
        <v>0</v>
      </c>
      <c r="AN793" s="970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58">
        <f t="shared" si="379"/>
        <v>0</v>
      </c>
      <c r="AS793" s="359">
        <f t="shared" si="380"/>
        <v>0</v>
      </c>
      <c r="AT793" s="360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25"/>
      <c r="R794" s="324"/>
      <c r="S794" s="27">
        <f t="shared" si="398"/>
        <v>0</v>
      </c>
      <c r="T794" s="28">
        <f t="shared" si="399"/>
        <v>0</v>
      </c>
      <c r="U794" s="51"/>
      <c r="V794" s="541">
        <f>+'NF-KSF-TRIAL-BAL-2021'!O794+'RA-TRIAL-BAL-2021'!O794+'DES-TRIAL-BAL-2021'!O794+'DMP-TRIAL-BAL-2021'!O794</f>
        <v>0</v>
      </c>
      <c r="W794" s="529">
        <f>+'NF-KSF-TRIAL-BAL-2021'!P794+'RA-TRIAL-BAL-2021'!P794+'DES-TRIAL-BAL-2021'!P794+'DMP-TRIAL-BAL-2021'!P794</f>
        <v>0</v>
      </c>
      <c r="X794" s="528">
        <f>+'NF-KSF-TRIAL-BAL-2021'!Q794+'RA-TRIAL-BAL-2021'!Q794+'DES-TRIAL-BAL-2021'!Q794+'DMP-TRIAL-BAL-2021'!Q794</f>
        <v>0</v>
      </c>
      <c r="Y794" s="529">
        <f>+'NF-KSF-TRIAL-BAL-2021'!R794+'RA-TRIAL-BAL-2021'!R794+'DES-TRIAL-BAL-2021'!R794+'DMP-TRIAL-BAL-2021'!R794</f>
        <v>0</v>
      </c>
      <c r="Z794" s="528">
        <f>+'NF-KSF-TRIAL-BAL-2021'!S794+'RA-TRIAL-BAL-2021'!S794+'DES-TRIAL-BAL-2021'!S794+'DMP-TRIAL-BAL-2021'!S794</f>
        <v>0</v>
      </c>
      <c r="AA794" s="347">
        <f>+'NF-KSF-TRIAL-BAL-2021'!T794+'RA-TRIAL-BAL-2021'!T794+'DES-TRIAL-BAL-2021'!T794+'DMP-TRIAL-BAL-2021'!T794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97">
        <f t="shared" si="351"/>
        <v>7694</v>
      </c>
      <c r="AK794" s="8">
        <v>0</v>
      </c>
      <c r="AL794" s="9">
        <v>0</v>
      </c>
      <c r="AM794" s="326">
        <f t="shared" si="385"/>
        <v>0</v>
      </c>
      <c r="AN794" s="970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58">
        <f t="shared" si="379"/>
        <v>0</v>
      </c>
      <c r="AS794" s="359">
        <f t="shared" si="380"/>
        <v>0</v>
      </c>
      <c r="AT794" s="360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25"/>
      <c r="R795" s="324"/>
      <c r="S795" s="27">
        <f t="shared" si="398"/>
        <v>0</v>
      </c>
      <c r="T795" s="28">
        <f t="shared" si="399"/>
        <v>0</v>
      </c>
      <c r="U795" s="51"/>
      <c r="V795" s="541">
        <f>+'NF-KSF-TRIAL-BAL-2021'!O795+'RA-TRIAL-BAL-2021'!O795+'DES-TRIAL-BAL-2021'!O795+'DMP-TRIAL-BAL-2021'!O795</f>
        <v>0</v>
      </c>
      <c r="W795" s="529">
        <f>+'NF-KSF-TRIAL-BAL-2021'!P795+'RA-TRIAL-BAL-2021'!P795+'DES-TRIAL-BAL-2021'!P795+'DMP-TRIAL-BAL-2021'!P795</f>
        <v>0</v>
      </c>
      <c r="X795" s="528">
        <f>+'NF-KSF-TRIAL-BAL-2021'!Q795+'RA-TRIAL-BAL-2021'!Q795+'DES-TRIAL-BAL-2021'!Q795+'DMP-TRIAL-BAL-2021'!Q795</f>
        <v>0</v>
      </c>
      <c r="Y795" s="529">
        <f>+'NF-KSF-TRIAL-BAL-2021'!R795+'RA-TRIAL-BAL-2021'!R795+'DES-TRIAL-BAL-2021'!R795+'DMP-TRIAL-BAL-2021'!R795</f>
        <v>0</v>
      </c>
      <c r="Z795" s="528">
        <f>+'NF-KSF-TRIAL-BAL-2021'!S795+'RA-TRIAL-BAL-2021'!S795+'DES-TRIAL-BAL-2021'!S795+'DMP-TRIAL-BAL-2021'!S795</f>
        <v>0</v>
      </c>
      <c r="AA795" s="347">
        <f>+'NF-KSF-TRIAL-BAL-2021'!T795+'RA-TRIAL-BAL-2021'!T795+'DES-TRIAL-BAL-2021'!T795+'DMP-TRIAL-BAL-2021'!T795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97">
        <f t="shared" si="351"/>
        <v>7695</v>
      </c>
      <c r="AK795" s="8">
        <v>0</v>
      </c>
      <c r="AL795" s="9">
        <v>0</v>
      </c>
      <c r="AM795" s="326">
        <f t="shared" si="385"/>
        <v>0</v>
      </c>
      <c r="AN795" s="970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58">
        <f t="shared" si="379"/>
        <v>0</v>
      </c>
      <c r="AS795" s="359">
        <f t="shared" si="380"/>
        <v>0</v>
      </c>
      <c r="AT795" s="360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25"/>
      <c r="R796" s="324"/>
      <c r="S796" s="27">
        <f t="shared" si="398"/>
        <v>0</v>
      </c>
      <c r="T796" s="28">
        <f t="shared" si="399"/>
        <v>0</v>
      </c>
      <c r="U796" s="51"/>
      <c r="V796" s="541">
        <f>+'NF-KSF-TRIAL-BAL-2021'!O796+'RA-TRIAL-BAL-2021'!O796+'DES-TRIAL-BAL-2021'!O796+'DMP-TRIAL-BAL-2021'!O796</f>
        <v>0</v>
      </c>
      <c r="W796" s="529">
        <f>+'NF-KSF-TRIAL-BAL-2021'!P796+'RA-TRIAL-BAL-2021'!P796+'DES-TRIAL-BAL-2021'!P796+'DMP-TRIAL-BAL-2021'!P796</f>
        <v>0</v>
      </c>
      <c r="X796" s="528">
        <f>+'NF-KSF-TRIAL-BAL-2021'!Q796+'RA-TRIAL-BAL-2021'!Q796+'DES-TRIAL-BAL-2021'!Q796+'DMP-TRIAL-BAL-2021'!Q796</f>
        <v>0</v>
      </c>
      <c r="Y796" s="529">
        <f>+'NF-KSF-TRIAL-BAL-2021'!R796+'RA-TRIAL-BAL-2021'!R796+'DES-TRIAL-BAL-2021'!R796+'DMP-TRIAL-BAL-2021'!R796</f>
        <v>0</v>
      </c>
      <c r="Z796" s="528">
        <f>+'NF-KSF-TRIAL-BAL-2021'!S796+'RA-TRIAL-BAL-2021'!S796+'DES-TRIAL-BAL-2021'!S796+'DMP-TRIAL-BAL-2021'!S796</f>
        <v>0</v>
      </c>
      <c r="AA796" s="347">
        <f>+'NF-KSF-TRIAL-BAL-2021'!T796+'RA-TRIAL-BAL-2021'!T796+'DES-TRIAL-BAL-2021'!T796+'DMP-TRIAL-BAL-2021'!T796</f>
        <v>0</v>
      </c>
      <c r="AB796" s="51"/>
      <c r="AC796" s="8">
        <v>0</v>
      </c>
      <c r="AD796" s="9">
        <v>0</v>
      </c>
      <c r="AE796" s="325"/>
      <c r="AF796" s="324"/>
      <c r="AG796" s="27">
        <f t="shared" si="400"/>
        <v>0</v>
      </c>
      <c r="AH796" s="28">
        <f t="shared" si="401"/>
        <v>0</v>
      </c>
      <c r="AI796" s="51"/>
      <c r="AJ796" s="1497">
        <f t="shared" si="351"/>
        <v>7697</v>
      </c>
      <c r="AK796" s="8">
        <v>0</v>
      </c>
      <c r="AL796" s="9">
        <v>0</v>
      </c>
      <c r="AM796" s="326">
        <f t="shared" si="385"/>
        <v>0</v>
      </c>
      <c r="AN796" s="970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58">
        <f t="shared" si="379"/>
        <v>0</v>
      </c>
      <c r="AS796" s="359">
        <f t="shared" si="380"/>
        <v>0</v>
      </c>
      <c r="AT796" s="360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25"/>
      <c r="R797" s="324"/>
      <c r="S797" s="27">
        <f t="shared" si="398"/>
        <v>0</v>
      </c>
      <c r="T797" s="28">
        <f t="shared" si="399"/>
        <v>0</v>
      </c>
      <c r="U797" s="51"/>
      <c r="V797" s="541">
        <f>+'NF-KSF-TRIAL-BAL-2021'!O797+'RA-TRIAL-BAL-2021'!O797+'DES-TRIAL-BAL-2021'!O797+'DMP-TRIAL-BAL-2021'!O797</f>
        <v>0</v>
      </c>
      <c r="W797" s="529">
        <f>+'NF-KSF-TRIAL-BAL-2021'!P797+'RA-TRIAL-BAL-2021'!P797+'DES-TRIAL-BAL-2021'!P797+'DMP-TRIAL-BAL-2021'!P797</f>
        <v>0</v>
      </c>
      <c r="X797" s="528">
        <f>+'NF-KSF-TRIAL-BAL-2021'!Q797+'RA-TRIAL-BAL-2021'!Q797+'DES-TRIAL-BAL-2021'!Q797+'DMP-TRIAL-BAL-2021'!Q797</f>
        <v>0</v>
      </c>
      <c r="Y797" s="529">
        <f>+'NF-KSF-TRIAL-BAL-2021'!R797+'RA-TRIAL-BAL-2021'!R797+'DES-TRIAL-BAL-2021'!R797+'DMP-TRIAL-BAL-2021'!R797</f>
        <v>0</v>
      </c>
      <c r="Z797" s="528">
        <f>+'NF-KSF-TRIAL-BAL-2021'!S797+'RA-TRIAL-BAL-2021'!S797+'DES-TRIAL-BAL-2021'!S797+'DMP-TRIAL-BAL-2021'!S797</f>
        <v>0</v>
      </c>
      <c r="AA797" s="347">
        <f>+'NF-KSF-TRIAL-BAL-2021'!T797+'RA-TRIAL-BAL-2021'!T797+'DES-TRIAL-BAL-2021'!T797+'DMP-TRIAL-BAL-2021'!T797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97">
        <f t="shared" si="351"/>
        <v>7698</v>
      </c>
      <c r="AK797" s="8">
        <v>0</v>
      </c>
      <c r="AL797" s="9">
        <v>0</v>
      </c>
      <c r="AM797" s="326">
        <f t="shared" si="385"/>
        <v>0</v>
      </c>
      <c r="AN797" s="970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58">
        <f t="shared" si="379"/>
        <v>0</v>
      </c>
      <c r="AS797" s="359">
        <f t="shared" si="380"/>
        <v>0</v>
      </c>
      <c r="AT797" s="360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25"/>
      <c r="R798" s="324"/>
      <c r="S798" s="27">
        <f t="shared" si="398"/>
        <v>0</v>
      </c>
      <c r="T798" s="28">
        <f t="shared" si="399"/>
        <v>0</v>
      </c>
      <c r="U798" s="51"/>
      <c r="V798" s="541">
        <f>+'NF-KSF-TRIAL-BAL-2021'!O798+'RA-TRIAL-BAL-2021'!O798+'DES-TRIAL-BAL-2021'!O798+'DMP-TRIAL-BAL-2021'!O798</f>
        <v>0</v>
      </c>
      <c r="W798" s="529">
        <f>+'NF-KSF-TRIAL-BAL-2021'!P798+'RA-TRIAL-BAL-2021'!P798+'DES-TRIAL-BAL-2021'!P798+'DMP-TRIAL-BAL-2021'!P798</f>
        <v>0</v>
      </c>
      <c r="X798" s="528">
        <f>+'NF-KSF-TRIAL-BAL-2021'!Q798+'RA-TRIAL-BAL-2021'!Q798+'DES-TRIAL-BAL-2021'!Q798+'DMP-TRIAL-BAL-2021'!Q798</f>
        <v>0</v>
      </c>
      <c r="Y798" s="529">
        <f>+'NF-KSF-TRIAL-BAL-2021'!R798+'RA-TRIAL-BAL-2021'!R798+'DES-TRIAL-BAL-2021'!R798+'DMP-TRIAL-BAL-2021'!R798</f>
        <v>0</v>
      </c>
      <c r="Z798" s="528">
        <f>+'NF-KSF-TRIAL-BAL-2021'!S798+'RA-TRIAL-BAL-2021'!S798+'DES-TRIAL-BAL-2021'!S798+'DMP-TRIAL-BAL-2021'!S798</f>
        <v>0</v>
      </c>
      <c r="AA798" s="347">
        <f>+'NF-KSF-TRIAL-BAL-2021'!T798+'RA-TRIAL-BAL-2021'!T798+'DES-TRIAL-BAL-2021'!T798+'DMP-TRIAL-BAL-2021'!T798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97">
        <f t="shared" si="351"/>
        <v>7699</v>
      </c>
      <c r="AK798" s="8">
        <v>0</v>
      </c>
      <c r="AL798" s="9">
        <v>0</v>
      </c>
      <c r="AM798" s="326">
        <f t="shared" si="385"/>
        <v>0</v>
      </c>
      <c r="AN798" s="970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58">
        <f t="shared" si="379"/>
        <v>0</v>
      </c>
      <c r="AS798" s="359">
        <f t="shared" si="380"/>
        <v>0</v>
      </c>
      <c r="AT798" s="360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25"/>
      <c r="R799" s="324"/>
      <c r="S799" s="27">
        <f t="shared" si="398"/>
        <v>0</v>
      </c>
      <c r="T799" s="28">
        <f t="shared" si="399"/>
        <v>0</v>
      </c>
      <c r="U799" s="51"/>
      <c r="V799" s="541">
        <f>+'NF-KSF-TRIAL-BAL-2021'!O799+'RA-TRIAL-BAL-2021'!O799+'DES-TRIAL-BAL-2021'!O799+'DMP-TRIAL-BAL-2021'!O799</f>
        <v>0</v>
      </c>
      <c r="W799" s="529">
        <f>+'NF-KSF-TRIAL-BAL-2021'!P799+'RA-TRIAL-BAL-2021'!P799+'DES-TRIAL-BAL-2021'!P799+'DMP-TRIAL-BAL-2021'!P799</f>
        <v>0</v>
      </c>
      <c r="X799" s="528">
        <f>+'NF-KSF-TRIAL-BAL-2021'!Q799+'RA-TRIAL-BAL-2021'!Q799+'DES-TRIAL-BAL-2021'!Q799+'DMP-TRIAL-BAL-2021'!Q799</f>
        <v>0</v>
      </c>
      <c r="Y799" s="529">
        <f>+'NF-KSF-TRIAL-BAL-2021'!R799+'RA-TRIAL-BAL-2021'!R799+'DES-TRIAL-BAL-2021'!R799+'DMP-TRIAL-BAL-2021'!R799</f>
        <v>0</v>
      </c>
      <c r="Z799" s="528">
        <f>+'NF-KSF-TRIAL-BAL-2021'!S799+'RA-TRIAL-BAL-2021'!S799+'DES-TRIAL-BAL-2021'!S799+'DMP-TRIAL-BAL-2021'!S799</f>
        <v>0</v>
      </c>
      <c r="AA799" s="347">
        <f>+'NF-KSF-TRIAL-BAL-2021'!T799+'RA-TRIAL-BAL-2021'!T799+'DES-TRIAL-BAL-2021'!T799+'DMP-TRIAL-BAL-2021'!T799</f>
        <v>0</v>
      </c>
      <c r="AB799" s="51"/>
      <c r="AC799" s="8">
        <v>0</v>
      </c>
      <c r="AD799" s="9">
        <v>0</v>
      </c>
      <c r="AE799" s="325"/>
      <c r="AF799" s="324"/>
      <c r="AG799" s="27">
        <f t="shared" si="400"/>
        <v>0</v>
      </c>
      <c r="AH799" s="28">
        <f t="shared" si="401"/>
        <v>0</v>
      </c>
      <c r="AI799" s="51"/>
      <c r="AJ799" s="1497">
        <f t="shared" si="351"/>
        <v>7801</v>
      </c>
      <c r="AK799" s="8">
        <v>0</v>
      </c>
      <c r="AL799" s="9">
        <v>0</v>
      </c>
      <c r="AM799" s="326">
        <f t="shared" si="385"/>
        <v>0</v>
      </c>
      <c r="AN799" s="970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58">
        <f t="shared" si="379"/>
        <v>0</v>
      </c>
      <c r="AS799" s="359">
        <f t="shared" si="380"/>
        <v>0</v>
      </c>
      <c r="AT799" s="360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25"/>
      <c r="R800" s="324"/>
      <c r="S800" s="27">
        <f t="shared" si="398"/>
        <v>0</v>
      </c>
      <c r="T800" s="28">
        <f t="shared" si="399"/>
        <v>0</v>
      </c>
      <c r="U800" s="51"/>
      <c r="V800" s="541">
        <f>+'NF-KSF-TRIAL-BAL-2021'!O800+'RA-TRIAL-BAL-2021'!O800+'DES-TRIAL-BAL-2021'!O800+'DMP-TRIAL-BAL-2021'!O800</f>
        <v>0</v>
      </c>
      <c r="W800" s="529">
        <f>+'NF-KSF-TRIAL-BAL-2021'!P800+'RA-TRIAL-BAL-2021'!P800+'DES-TRIAL-BAL-2021'!P800+'DMP-TRIAL-BAL-2021'!P800</f>
        <v>0</v>
      </c>
      <c r="X800" s="528">
        <f>+'NF-KSF-TRIAL-BAL-2021'!Q800+'RA-TRIAL-BAL-2021'!Q800+'DES-TRIAL-BAL-2021'!Q800+'DMP-TRIAL-BAL-2021'!Q800</f>
        <v>0</v>
      </c>
      <c r="Y800" s="529">
        <f>+'NF-KSF-TRIAL-BAL-2021'!R800+'RA-TRIAL-BAL-2021'!R800+'DES-TRIAL-BAL-2021'!R800+'DMP-TRIAL-BAL-2021'!R800</f>
        <v>0</v>
      </c>
      <c r="Z800" s="528">
        <f>+'NF-KSF-TRIAL-BAL-2021'!S800+'RA-TRIAL-BAL-2021'!S800+'DES-TRIAL-BAL-2021'!S800+'DMP-TRIAL-BAL-2021'!S800</f>
        <v>0</v>
      </c>
      <c r="AA800" s="347">
        <f>+'NF-KSF-TRIAL-BAL-2021'!T800+'RA-TRIAL-BAL-2021'!T800+'DES-TRIAL-BAL-2021'!T800+'DMP-TRIAL-BAL-2021'!T800</f>
        <v>0</v>
      </c>
      <c r="AB800" s="51"/>
      <c r="AC800" s="8">
        <v>0</v>
      </c>
      <c r="AD800" s="9">
        <v>0</v>
      </c>
      <c r="AE800" s="325"/>
      <c r="AF800" s="324"/>
      <c r="AG800" s="27">
        <f t="shared" si="400"/>
        <v>0</v>
      </c>
      <c r="AH800" s="28">
        <f t="shared" si="401"/>
        <v>0</v>
      </c>
      <c r="AI800" s="51"/>
      <c r="AJ800" s="1497">
        <f t="shared" si="351"/>
        <v>7802</v>
      </c>
      <c r="AK800" s="8">
        <v>0</v>
      </c>
      <c r="AL800" s="9">
        <v>0</v>
      </c>
      <c r="AM800" s="326">
        <f t="shared" si="385"/>
        <v>0</v>
      </c>
      <c r="AN800" s="970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58">
        <f t="shared" si="379"/>
        <v>0</v>
      </c>
      <c r="AS800" s="359">
        <f t="shared" si="380"/>
        <v>0</v>
      </c>
      <c r="AT800" s="360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25"/>
      <c r="R801" s="324"/>
      <c r="S801" s="27">
        <f t="shared" si="398"/>
        <v>0</v>
      </c>
      <c r="T801" s="28">
        <f t="shared" si="399"/>
        <v>0</v>
      </c>
      <c r="U801" s="51"/>
      <c r="V801" s="541">
        <f>+'NF-KSF-TRIAL-BAL-2021'!O801+'RA-TRIAL-BAL-2021'!O801+'DES-TRIAL-BAL-2021'!O801+'DMP-TRIAL-BAL-2021'!O801</f>
        <v>0</v>
      </c>
      <c r="W801" s="529">
        <f>+'NF-KSF-TRIAL-BAL-2021'!P801+'RA-TRIAL-BAL-2021'!P801+'DES-TRIAL-BAL-2021'!P801+'DMP-TRIAL-BAL-2021'!P801</f>
        <v>0</v>
      </c>
      <c r="X801" s="528">
        <f>+'NF-KSF-TRIAL-BAL-2021'!Q801+'RA-TRIAL-BAL-2021'!Q801+'DES-TRIAL-BAL-2021'!Q801+'DMP-TRIAL-BAL-2021'!Q801</f>
        <v>0</v>
      </c>
      <c r="Y801" s="529">
        <f>+'NF-KSF-TRIAL-BAL-2021'!R801+'RA-TRIAL-BAL-2021'!R801+'DES-TRIAL-BAL-2021'!R801+'DMP-TRIAL-BAL-2021'!R801</f>
        <v>0</v>
      </c>
      <c r="Z801" s="528">
        <f>+'NF-KSF-TRIAL-BAL-2021'!S801+'RA-TRIAL-BAL-2021'!S801+'DES-TRIAL-BAL-2021'!S801+'DMP-TRIAL-BAL-2021'!S801</f>
        <v>0</v>
      </c>
      <c r="AA801" s="347">
        <f>+'NF-KSF-TRIAL-BAL-2021'!T801+'RA-TRIAL-BAL-2021'!T801+'DES-TRIAL-BAL-2021'!T801+'DMP-TRIAL-BAL-2021'!T801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97">
        <f>+N801</f>
        <v>7803</v>
      </c>
      <c r="AK801" s="8">
        <v>0</v>
      </c>
      <c r="AL801" s="9">
        <v>0</v>
      </c>
      <c r="AM801" s="326">
        <f>+ROUND(+Q801+X801+AE801,2)</f>
        <v>0</v>
      </c>
      <c r="AN801" s="970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58">
        <f>+ROUND(+SUM(AK801-AL801)-SUM(O801-P801)-SUM(V801-W801)-SUM(AC801-AD801),2)</f>
        <v>0</v>
      </c>
      <c r="AS801" s="359">
        <f>+ROUND(+SUM(AM801-AN801)-SUM(Q801-R801)-SUM(X801-Y801)-SUM(AE801-AF801),2)</f>
        <v>0</v>
      </c>
      <c r="AT801" s="360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25"/>
      <c r="R802" s="324"/>
      <c r="S802" s="27">
        <f t="shared" si="398"/>
        <v>0</v>
      </c>
      <c r="T802" s="28">
        <f t="shared" si="399"/>
        <v>0</v>
      </c>
      <c r="U802" s="51"/>
      <c r="V802" s="541">
        <f>+'NF-KSF-TRIAL-BAL-2021'!O802+'RA-TRIAL-BAL-2021'!O802+'DES-TRIAL-BAL-2021'!O802+'DMP-TRIAL-BAL-2021'!O802</f>
        <v>0</v>
      </c>
      <c r="W802" s="529">
        <f>+'NF-KSF-TRIAL-BAL-2021'!P802+'RA-TRIAL-BAL-2021'!P802+'DES-TRIAL-BAL-2021'!P802+'DMP-TRIAL-BAL-2021'!P802</f>
        <v>0</v>
      </c>
      <c r="X802" s="528">
        <f>+'NF-KSF-TRIAL-BAL-2021'!Q802+'RA-TRIAL-BAL-2021'!Q802+'DES-TRIAL-BAL-2021'!Q802+'DMP-TRIAL-BAL-2021'!Q802</f>
        <v>0</v>
      </c>
      <c r="Y802" s="529">
        <f>+'NF-KSF-TRIAL-BAL-2021'!R802+'RA-TRIAL-BAL-2021'!R802+'DES-TRIAL-BAL-2021'!R802+'DMP-TRIAL-BAL-2021'!R802</f>
        <v>0</v>
      </c>
      <c r="Z802" s="528">
        <f>+'NF-KSF-TRIAL-BAL-2021'!S802+'RA-TRIAL-BAL-2021'!S802+'DES-TRIAL-BAL-2021'!S802+'DMP-TRIAL-BAL-2021'!S802</f>
        <v>0</v>
      </c>
      <c r="AA802" s="347">
        <f>+'NF-KSF-TRIAL-BAL-2021'!T802+'RA-TRIAL-BAL-2021'!T802+'DES-TRIAL-BAL-2021'!T802+'DMP-TRIAL-BAL-2021'!T802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97">
        <f>+N802</f>
        <v>7804</v>
      </c>
      <c r="AK802" s="8">
        <v>0</v>
      </c>
      <c r="AL802" s="9">
        <v>0</v>
      </c>
      <c r="AM802" s="326">
        <f>+ROUND(+Q802+X802+AE802,2)</f>
        <v>0</v>
      </c>
      <c r="AN802" s="970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58">
        <f>+ROUND(+SUM(AK802-AL802)-SUM(O802-P802)-SUM(V802-W802)-SUM(AC802-AD802),2)</f>
        <v>0</v>
      </c>
      <c r="AS802" s="359">
        <f>+ROUND(+SUM(AM802-AN802)-SUM(Q802-R802)-SUM(X802-Y802)-SUM(AE802-AF802),2)</f>
        <v>0</v>
      </c>
      <c r="AT802" s="360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25"/>
      <c r="R803" s="324"/>
      <c r="S803" s="27">
        <f t="shared" si="398"/>
        <v>0</v>
      </c>
      <c r="T803" s="28">
        <f t="shared" si="399"/>
        <v>0</v>
      </c>
      <c r="U803" s="51"/>
      <c r="V803" s="541">
        <f>+'NF-KSF-TRIAL-BAL-2021'!O803+'RA-TRIAL-BAL-2021'!O803+'DES-TRIAL-BAL-2021'!O803+'DMP-TRIAL-BAL-2021'!O803</f>
        <v>0</v>
      </c>
      <c r="W803" s="529">
        <f>+'NF-KSF-TRIAL-BAL-2021'!P803+'RA-TRIAL-BAL-2021'!P803+'DES-TRIAL-BAL-2021'!P803+'DMP-TRIAL-BAL-2021'!P803</f>
        <v>0</v>
      </c>
      <c r="X803" s="528">
        <f>+'NF-KSF-TRIAL-BAL-2021'!Q803+'RA-TRIAL-BAL-2021'!Q803+'DES-TRIAL-BAL-2021'!Q803+'DMP-TRIAL-BAL-2021'!Q803</f>
        <v>0</v>
      </c>
      <c r="Y803" s="529">
        <f>+'NF-KSF-TRIAL-BAL-2021'!R803+'RA-TRIAL-BAL-2021'!R803+'DES-TRIAL-BAL-2021'!R803+'DMP-TRIAL-BAL-2021'!R803</f>
        <v>0</v>
      </c>
      <c r="Z803" s="528">
        <f>+'NF-KSF-TRIAL-BAL-2021'!S803+'RA-TRIAL-BAL-2021'!S803+'DES-TRIAL-BAL-2021'!S803+'DMP-TRIAL-BAL-2021'!S803</f>
        <v>0</v>
      </c>
      <c r="AA803" s="347">
        <f>+'NF-KSF-TRIAL-BAL-2021'!T803+'RA-TRIAL-BAL-2021'!T803+'DES-TRIAL-BAL-2021'!T803+'DMP-TRIAL-BAL-2021'!T803</f>
        <v>0</v>
      </c>
      <c r="AB803" s="51"/>
      <c r="AC803" s="8">
        <v>0</v>
      </c>
      <c r="AD803" s="9">
        <v>0</v>
      </c>
      <c r="AE803" s="325"/>
      <c r="AF803" s="324"/>
      <c r="AG803" s="27">
        <f t="shared" si="400"/>
        <v>0</v>
      </c>
      <c r="AH803" s="28">
        <f t="shared" si="401"/>
        <v>0</v>
      </c>
      <c r="AI803" s="51"/>
      <c r="AJ803" s="1497">
        <f t="shared" si="351"/>
        <v>7807</v>
      </c>
      <c r="AK803" s="8">
        <v>0</v>
      </c>
      <c r="AL803" s="9">
        <v>0</v>
      </c>
      <c r="AM803" s="326">
        <f t="shared" si="385"/>
        <v>0</v>
      </c>
      <c r="AN803" s="970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58">
        <f t="shared" si="379"/>
        <v>0</v>
      </c>
      <c r="AS803" s="359">
        <f t="shared" si="380"/>
        <v>0</v>
      </c>
      <c r="AT803" s="360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25"/>
      <c r="R804" s="324"/>
      <c r="S804" s="27">
        <f t="shared" si="398"/>
        <v>0</v>
      </c>
      <c r="T804" s="28">
        <f t="shared" si="399"/>
        <v>0</v>
      </c>
      <c r="U804" s="51"/>
      <c r="V804" s="541">
        <f>+'NF-KSF-TRIAL-BAL-2021'!O804+'RA-TRIAL-BAL-2021'!O804+'DES-TRIAL-BAL-2021'!O804+'DMP-TRIAL-BAL-2021'!O804</f>
        <v>0</v>
      </c>
      <c r="W804" s="529">
        <f>+'NF-KSF-TRIAL-BAL-2021'!P804+'RA-TRIAL-BAL-2021'!P804+'DES-TRIAL-BAL-2021'!P804+'DMP-TRIAL-BAL-2021'!P804</f>
        <v>0</v>
      </c>
      <c r="X804" s="528">
        <f>+'NF-KSF-TRIAL-BAL-2021'!Q804+'RA-TRIAL-BAL-2021'!Q804+'DES-TRIAL-BAL-2021'!Q804+'DMP-TRIAL-BAL-2021'!Q804</f>
        <v>0</v>
      </c>
      <c r="Y804" s="529">
        <f>+'NF-KSF-TRIAL-BAL-2021'!R804+'RA-TRIAL-BAL-2021'!R804+'DES-TRIAL-BAL-2021'!R804+'DMP-TRIAL-BAL-2021'!R804</f>
        <v>0</v>
      </c>
      <c r="Z804" s="528">
        <f>+'NF-KSF-TRIAL-BAL-2021'!S804+'RA-TRIAL-BAL-2021'!S804+'DES-TRIAL-BAL-2021'!S804+'DMP-TRIAL-BAL-2021'!S804</f>
        <v>0</v>
      </c>
      <c r="AA804" s="347">
        <f>+'NF-KSF-TRIAL-BAL-2021'!T804+'RA-TRIAL-BAL-2021'!T804+'DES-TRIAL-BAL-2021'!T804+'DMP-TRIAL-BAL-2021'!T804</f>
        <v>0</v>
      </c>
      <c r="AB804" s="51"/>
      <c r="AC804" s="8">
        <v>0</v>
      </c>
      <c r="AD804" s="9">
        <v>0</v>
      </c>
      <c r="AE804" s="325"/>
      <c r="AF804" s="324"/>
      <c r="AG804" s="27">
        <f t="shared" si="400"/>
        <v>0</v>
      </c>
      <c r="AH804" s="28">
        <f t="shared" si="401"/>
        <v>0</v>
      </c>
      <c r="AI804" s="51"/>
      <c r="AJ804" s="1497">
        <f t="shared" si="351"/>
        <v>7808</v>
      </c>
      <c r="AK804" s="8">
        <v>0</v>
      </c>
      <c r="AL804" s="9">
        <v>0</v>
      </c>
      <c r="AM804" s="326">
        <f t="shared" si="385"/>
        <v>0</v>
      </c>
      <c r="AN804" s="970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58">
        <f t="shared" si="379"/>
        <v>0</v>
      </c>
      <c r="AS804" s="359">
        <f t="shared" si="380"/>
        <v>0</v>
      </c>
      <c r="AT804" s="360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25"/>
      <c r="R805" s="324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41">
        <f>+'NF-KSF-TRIAL-BAL-2021'!O805+'RA-TRIAL-BAL-2021'!O805+'DES-TRIAL-BAL-2021'!O805+'DMP-TRIAL-BAL-2021'!O805</f>
        <v>0</v>
      </c>
      <c r="W805" s="529">
        <f>+'NF-KSF-TRIAL-BAL-2021'!P805+'RA-TRIAL-BAL-2021'!P805+'DES-TRIAL-BAL-2021'!P805+'DMP-TRIAL-BAL-2021'!P805</f>
        <v>0</v>
      </c>
      <c r="X805" s="528">
        <f>+'NF-KSF-TRIAL-BAL-2021'!Q805+'RA-TRIAL-BAL-2021'!Q805+'DES-TRIAL-BAL-2021'!Q805+'DMP-TRIAL-BAL-2021'!Q805</f>
        <v>0</v>
      </c>
      <c r="Y805" s="529">
        <f>+'NF-KSF-TRIAL-BAL-2021'!R805+'RA-TRIAL-BAL-2021'!R805+'DES-TRIAL-BAL-2021'!R805+'DMP-TRIAL-BAL-2021'!R805</f>
        <v>0</v>
      </c>
      <c r="Z805" s="528">
        <f>+'NF-KSF-TRIAL-BAL-2021'!S805+'RA-TRIAL-BAL-2021'!S805+'DES-TRIAL-BAL-2021'!S805+'DMP-TRIAL-BAL-2021'!S805</f>
        <v>0</v>
      </c>
      <c r="AA805" s="347">
        <f>+'NF-KSF-TRIAL-BAL-2021'!T805+'RA-TRIAL-BAL-2021'!T805+'DES-TRIAL-BAL-2021'!T805+'DMP-TRIAL-BAL-2021'!T805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97">
        <f t="shared" si="351"/>
        <v>7901</v>
      </c>
      <c r="AK805" s="8">
        <v>0</v>
      </c>
      <c r="AL805" s="9">
        <v>0</v>
      </c>
      <c r="AM805" s="326">
        <f t="shared" si="385"/>
        <v>0</v>
      </c>
      <c r="AN805" s="970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58">
        <f t="shared" si="379"/>
        <v>0</v>
      </c>
      <c r="AS805" s="359">
        <f t="shared" si="380"/>
        <v>0</v>
      </c>
      <c r="AT805" s="360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25"/>
      <c r="R806" s="324"/>
      <c r="S806" s="27">
        <f t="shared" si="404"/>
        <v>0</v>
      </c>
      <c r="T806" s="28">
        <f t="shared" si="405"/>
        <v>0</v>
      </c>
      <c r="U806" s="51"/>
      <c r="V806" s="541">
        <f>+'NF-KSF-TRIAL-BAL-2021'!O806+'RA-TRIAL-BAL-2021'!O806+'DES-TRIAL-BAL-2021'!O806+'DMP-TRIAL-BAL-2021'!O806</f>
        <v>0</v>
      </c>
      <c r="W806" s="529">
        <f>+'NF-KSF-TRIAL-BAL-2021'!P806+'RA-TRIAL-BAL-2021'!P806+'DES-TRIAL-BAL-2021'!P806+'DMP-TRIAL-BAL-2021'!P806</f>
        <v>0</v>
      </c>
      <c r="X806" s="528">
        <f>+'NF-KSF-TRIAL-BAL-2021'!Q806+'RA-TRIAL-BAL-2021'!Q806+'DES-TRIAL-BAL-2021'!Q806+'DMP-TRIAL-BAL-2021'!Q806</f>
        <v>0</v>
      </c>
      <c r="Y806" s="529">
        <f>+'NF-KSF-TRIAL-BAL-2021'!R806+'RA-TRIAL-BAL-2021'!R806+'DES-TRIAL-BAL-2021'!R806+'DMP-TRIAL-BAL-2021'!R806</f>
        <v>0</v>
      </c>
      <c r="Z806" s="528">
        <f>+'NF-KSF-TRIAL-BAL-2021'!S806+'RA-TRIAL-BAL-2021'!S806+'DES-TRIAL-BAL-2021'!S806+'DMP-TRIAL-BAL-2021'!S806</f>
        <v>0</v>
      </c>
      <c r="AA806" s="347">
        <f>+'NF-KSF-TRIAL-BAL-2021'!T806+'RA-TRIAL-BAL-2021'!T806+'DES-TRIAL-BAL-2021'!T806+'DMP-TRIAL-BAL-2021'!T806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97">
        <f t="shared" si="351"/>
        <v>7902</v>
      </c>
      <c r="AK806" s="8">
        <v>0</v>
      </c>
      <c r="AL806" s="9">
        <v>0</v>
      </c>
      <c r="AM806" s="326">
        <f t="shared" si="385"/>
        <v>0</v>
      </c>
      <c r="AN806" s="970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58">
        <f t="shared" si="379"/>
        <v>0</v>
      </c>
      <c r="AS806" s="359">
        <f t="shared" si="380"/>
        <v>0</v>
      </c>
      <c r="AT806" s="360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25"/>
      <c r="R807" s="324"/>
      <c r="S807" s="27">
        <f t="shared" si="404"/>
        <v>0</v>
      </c>
      <c r="T807" s="28">
        <f t="shared" si="405"/>
        <v>0</v>
      </c>
      <c r="U807" s="51"/>
      <c r="V807" s="541">
        <f>+'NF-KSF-TRIAL-BAL-2021'!O807+'RA-TRIAL-BAL-2021'!O807+'DES-TRIAL-BAL-2021'!O807+'DMP-TRIAL-BAL-2021'!O807</f>
        <v>0</v>
      </c>
      <c r="W807" s="529">
        <f>+'NF-KSF-TRIAL-BAL-2021'!P807+'RA-TRIAL-BAL-2021'!P807+'DES-TRIAL-BAL-2021'!P807+'DMP-TRIAL-BAL-2021'!P807</f>
        <v>0</v>
      </c>
      <c r="X807" s="528">
        <f>+'NF-KSF-TRIAL-BAL-2021'!Q807+'RA-TRIAL-BAL-2021'!Q807+'DES-TRIAL-BAL-2021'!Q807+'DMP-TRIAL-BAL-2021'!Q807</f>
        <v>0</v>
      </c>
      <c r="Y807" s="529">
        <f>+'NF-KSF-TRIAL-BAL-2021'!R807+'RA-TRIAL-BAL-2021'!R807+'DES-TRIAL-BAL-2021'!R807+'DMP-TRIAL-BAL-2021'!R807</f>
        <v>0</v>
      </c>
      <c r="Z807" s="528">
        <f>+'NF-KSF-TRIAL-BAL-2021'!S807+'RA-TRIAL-BAL-2021'!S807+'DES-TRIAL-BAL-2021'!S807+'DMP-TRIAL-BAL-2021'!S807</f>
        <v>0</v>
      </c>
      <c r="AA807" s="347">
        <f>+'NF-KSF-TRIAL-BAL-2021'!T807+'RA-TRIAL-BAL-2021'!T807+'DES-TRIAL-BAL-2021'!T807+'DMP-TRIAL-BAL-2021'!T807</f>
        <v>0</v>
      </c>
      <c r="AB807" s="51"/>
      <c r="AC807" s="8">
        <v>0</v>
      </c>
      <c r="AD807" s="9">
        <v>0</v>
      </c>
      <c r="AE807" s="325"/>
      <c r="AF807" s="324"/>
      <c r="AG807" s="27">
        <f t="shared" si="406"/>
        <v>0</v>
      </c>
      <c r="AH807" s="28">
        <f t="shared" si="407"/>
        <v>0</v>
      </c>
      <c r="AI807" s="51"/>
      <c r="AJ807" s="1497">
        <f t="shared" si="351"/>
        <v>7903</v>
      </c>
      <c r="AK807" s="8">
        <v>0</v>
      </c>
      <c r="AL807" s="9">
        <v>0</v>
      </c>
      <c r="AM807" s="326">
        <f t="shared" si="385"/>
        <v>0</v>
      </c>
      <c r="AN807" s="970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58">
        <f t="shared" si="379"/>
        <v>0</v>
      </c>
      <c r="AS807" s="359">
        <f t="shared" si="380"/>
        <v>0</v>
      </c>
      <c r="AT807" s="360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25"/>
      <c r="R808" s="324"/>
      <c r="S808" s="27">
        <f t="shared" si="404"/>
        <v>0</v>
      </c>
      <c r="T808" s="28">
        <f t="shared" si="405"/>
        <v>0</v>
      </c>
      <c r="U808" s="51"/>
      <c r="V808" s="541">
        <f>+'NF-KSF-TRIAL-BAL-2021'!O808+'RA-TRIAL-BAL-2021'!O808+'DES-TRIAL-BAL-2021'!O808+'DMP-TRIAL-BAL-2021'!O808</f>
        <v>0</v>
      </c>
      <c r="W808" s="529">
        <f>+'NF-KSF-TRIAL-BAL-2021'!P808+'RA-TRIAL-BAL-2021'!P808+'DES-TRIAL-BAL-2021'!P808+'DMP-TRIAL-BAL-2021'!P808</f>
        <v>0</v>
      </c>
      <c r="X808" s="528">
        <f>+'NF-KSF-TRIAL-BAL-2021'!Q808+'RA-TRIAL-BAL-2021'!Q808+'DES-TRIAL-BAL-2021'!Q808+'DMP-TRIAL-BAL-2021'!Q808</f>
        <v>0</v>
      </c>
      <c r="Y808" s="529">
        <f>+'NF-KSF-TRIAL-BAL-2021'!R808+'RA-TRIAL-BAL-2021'!R808+'DES-TRIAL-BAL-2021'!R808+'DMP-TRIAL-BAL-2021'!R808</f>
        <v>0</v>
      </c>
      <c r="Z808" s="528">
        <f>+'NF-KSF-TRIAL-BAL-2021'!S808+'RA-TRIAL-BAL-2021'!S808+'DES-TRIAL-BAL-2021'!S808+'DMP-TRIAL-BAL-2021'!S808</f>
        <v>0</v>
      </c>
      <c r="AA808" s="347">
        <f>+'NF-KSF-TRIAL-BAL-2021'!T808+'RA-TRIAL-BAL-2021'!T808+'DES-TRIAL-BAL-2021'!T808+'DMP-TRIAL-BAL-2021'!T808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97">
        <f t="shared" si="351"/>
        <v>7904</v>
      </c>
      <c r="AK808" s="8">
        <v>0</v>
      </c>
      <c r="AL808" s="9">
        <v>0</v>
      </c>
      <c r="AM808" s="326">
        <f t="shared" si="385"/>
        <v>0</v>
      </c>
      <c r="AN808" s="970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58">
        <f t="shared" si="379"/>
        <v>0</v>
      </c>
      <c r="AS808" s="359">
        <f t="shared" si="380"/>
        <v>0</v>
      </c>
      <c r="AT808" s="360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25"/>
      <c r="R809" s="324"/>
      <c r="S809" s="27">
        <f t="shared" si="404"/>
        <v>0</v>
      </c>
      <c r="T809" s="28">
        <f t="shared" si="405"/>
        <v>0</v>
      </c>
      <c r="U809" s="51"/>
      <c r="V809" s="541">
        <f>+'NF-KSF-TRIAL-BAL-2021'!O809+'RA-TRIAL-BAL-2021'!O809+'DES-TRIAL-BAL-2021'!O809+'DMP-TRIAL-BAL-2021'!O809</f>
        <v>0</v>
      </c>
      <c r="W809" s="529">
        <f>+'NF-KSF-TRIAL-BAL-2021'!P809+'RA-TRIAL-BAL-2021'!P809+'DES-TRIAL-BAL-2021'!P809+'DMP-TRIAL-BAL-2021'!P809</f>
        <v>0</v>
      </c>
      <c r="X809" s="528">
        <f>+'NF-KSF-TRIAL-BAL-2021'!Q809+'RA-TRIAL-BAL-2021'!Q809+'DES-TRIAL-BAL-2021'!Q809+'DMP-TRIAL-BAL-2021'!Q809</f>
        <v>0</v>
      </c>
      <c r="Y809" s="529">
        <f>+'NF-KSF-TRIAL-BAL-2021'!R809+'RA-TRIAL-BAL-2021'!R809+'DES-TRIAL-BAL-2021'!R809+'DMP-TRIAL-BAL-2021'!R809</f>
        <v>0</v>
      </c>
      <c r="Z809" s="528">
        <f>+'NF-KSF-TRIAL-BAL-2021'!S809+'RA-TRIAL-BAL-2021'!S809+'DES-TRIAL-BAL-2021'!S809+'DMP-TRIAL-BAL-2021'!S809</f>
        <v>0</v>
      </c>
      <c r="AA809" s="347">
        <f>+'NF-KSF-TRIAL-BAL-2021'!T809+'RA-TRIAL-BAL-2021'!T809+'DES-TRIAL-BAL-2021'!T809+'DMP-TRIAL-BAL-2021'!T809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97">
        <f t="shared" si="351"/>
        <v>7905</v>
      </c>
      <c r="AK809" s="8">
        <v>0</v>
      </c>
      <c r="AL809" s="9">
        <v>0</v>
      </c>
      <c r="AM809" s="326">
        <f t="shared" si="385"/>
        <v>0</v>
      </c>
      <c r="AN809" s="970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58">
        <f t="shared" si="379"/>
        <v>0</v>
      </c>
      <c r="AS809" s="359">
        <f t="shared" si="380"/>
        <v>0</v>
      </c>
      <c r="AT809" s="360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25"/>
      <c r="R810" s="324"/>
      <c r="S810" s="27">
        <f t="shared" si="404"/>
        <v>0</v>
      </c>
      <c r="T810" s="28">
        <f t="shared" si="405"/>
        <v>0</v>
      </c>
      <c r="U810" s="51"/>
      <c r="V810" s="541">
        <f>+'NF-KSF-TRIAL-BAL-2021'!O810+'RA-TRIAL-BAL-2021'!O810+'DES-TRIAL-BAL-2021'!O810+'DMP-TRIAL-BAL-2021'!O810</f>
        <v>0</v>
      </c>
      <c r="W810" s="529">
        <f>+'NF-KSF-TRIAL-BAL-2021'!P810+'RA-TRIAL-BAL-2021'!P810+'DES-TRIAL-BAL-2021'!P810+'DMP-TRIAL-BAL-2021'!P810</f>
        <v>0</v>
      </c>
      <c r="X810" s="528">
        <f>+'NF-KSF-TRIAL-BAL-2021'!Q810+'RA-TRIAL-BAL-2021'!Q810+'DES-TRIAL-BAL-2021'!Q810+'DMP-TRIAL-BAL-2021'!Q810</f>
        <v>0</v>
      </c>
      <c r="Y810" s="529">
        <f>+'NF-KSF-TRIAL-BAL-2021'!R810+'RA-TRIAL-BAL-2021'!R810+'DES-TRIAL-BAL-2021'!R810+'DMP-TRIAL-BAL-2021'!R810</f>
        <v>0</v>
      </c>
      <c r="Z810" s="528">
        <f>+'NF-KSF-TRIAL-BAL-2021'!S810+'RA-TRIAL-BAL-2021'!S810+'DES-TRIAL-BAL-2021'!S810+'DMP-TRIAL-BAL-2021'!S810</f>
        <v>0</v>
      </c>
      <c r="AA810" s="347">
        <f>+'NF-KSF-TRIAL-BAL-2021'!T810+'RA-TRIAL-BAL-2021'!T810+'DES-TRIAL-BAL-2021'!T810+'DMP-TRIAL-BAL-2021'!T810</f>
        <v>0</v>
      </c>
      <c r="AB810" s="51"/>
      <c r="AC810" s="8">
        <v>0</v>
      </c>
      <c r="AD810" s="9">
        <v>0</v>
      </c>
      <c r="AE810" s="325"/>
      <c r="AF810" s="324"/>
      <c r="AG810" s="27">
        <f t="shared" si="406"/>
        <v>0</v>
      </c>
      <c r="AH810" s="28">
        <f t="shared" si="407"/>
        <v>0</v>
      </c>
      <c r="AI810" s="51"/>
      <c r="AJ810" s="1497">
        <f t="shared" si="351"/>
        <v>7906</v>
      </c>
      <c r="AK810" s="8">
        <v>0</v>
      </c>
      <c r="AL810" s="9">
        <v>0</v>
      </c>
      <c r="AM810" s="326">
        <f t="shared" si="385"/>
        <v>0</v>
      </c>
      <c r="AN810" s="970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58">
        <f t="shared" si="379"/>
        <v>0</v>
      </c>
      <c r="AS810" s="359">
        <f t="shared" si="380"/>
        <v>0</v>
      </c>
      <c r="AT810" s="360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25"/>
      <c r="R811" s="324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41">
        <f>+'NF-KSF-TRIAL-BAL-2021'!O811+'RA-TRIAL-BAL-2021'!O811+'DES-TRIAL-BAL-2021'!O811+'DMP-TRIAL-BAL-2021'!O811</f>
        <v>0</v>
      </c>
      <c r="W811" s="529">
        <f>+'NF-KSF-TRIAL-BAL-2021'!P811+'RA-TRIAL-BAL-2021'!P811+'DES-TRIAL-BAL-2021'!P811+'DMP-TRIAL-BAL-2021'!P811</f>
        <v>0</v>
      </c>
      <c r="X811" s="528">
        <f>+'NF-KSF-TRIAL-BAL-2021'!Q811+'RA-TRIAL-BAL-2021'!Q811+'DES-TRIAL-BAL-2021'!Q811+'DMP-TRIAL-BAL-2021'!Q811</f>
        <v>0</v>
      </c>
      <c r="Y811" s="529">
        <f>+'NF-KSF-TRIAL-BAL-2021'!R811+'RA-TRIAL-BAL-2021'!R811+'DES-TRIAL-BAL-2021'!R811+'DMP-TRIAL-BAL-2021'!R811</f>
        <v>0</v>
      </c>
      <c r="Z811" s="528">
        <f>+'NF-KSF-TRIAL-BAL-2021'!S811+'RA-TRIAL-BAL-2021'!S811+'DES-TRIAL-BAL-2021'!S811+'DMP-TRIAL-BAL-2021'!S811</f>
        <v>0</v>
      </c>
      <c r="AA811" s="347">
        <f>+'NF-KSF-TRIAL-BAL-2021'!T811+'RA-TRIAL-BAL-2021'!T811+'DES-TRIAL-BAL-2021'!T811+'DMP-TRIAL-BAL-2021'!T811</f>
        <v>0</v>
      </c>
      <c r="AB811" s="51"/>
      <c r="AC811" s="8">
        <v>0</v>
      </c>
      <c r="AD811" s="9">
        <v>0</v>
      </c>
      <c r="AE811" s="325"/>
      <c r="AF811" s="324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97">
        <f t="shared" si="351"/>
        <v>7911</v>
      </c>
      <c r="AK811" s="8">
        <v>0</v>
      </c>
      <c r="AL811" s="9">
        <v>0</v>
      </c>
      <c r="AM811" s="326">
        <f t="shared" si="385"/>
        <v>0</v>
      </c>
      <c r="AN811" s="970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58">
        <f t="shared" si="379"/>
        <v>0</v>
      </c>
      <c r="AS811" s="359">
        <f t="shared" si="380"/>
        <v>0</v>
      </c>
      <c r="AT811" s="360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25"/>
      <c r="R812" s="324"/>
      <c r="S812" s="27">
        <f t="shared" si="408"/>
        <v>0</v>
      </c>
      <c r="T812" s="28">
        <f t="shared" si="409"/>
        <v>0</v>
      </c>
      <c r="U812" s="51"/>
      <c r="V812" s="541">
        <f>+'NF-KSF-TRIAL-BAL-2021'!O812+'RA-TRIAL-BAL-2021'!O812+'DES-TRIAL-BAL-2021'!O812+'DMP-TRIAL-BAL-2021'!O812</f>
        <v>0</v>
      </c>
      <c r="W812" s="529">
        <f>+'NF-KSF-TRIAL-BAL-2021'!P812+'RA-TRIAL-BAL-2021'!P812+'DES-TRIAL-BAL-2021'!P812+'DMP-TRIAL-BAL-2021'!P812</f>
        <v>0</v>
      </c>
      <c r="X812" s="528">
        <f>+'NF-KSF-TRIAL-BAL-2021'!Q812+'RA-TRIAL-BAL-2021'!Q812+'DES-TRIAL-BAL-2021'!Q812+'DMP-TRIAL-BAL-2021'!Q812</f>
        <v>0</v>
      </c>
      <c r="Y812" s="529">
        <f>+'NF-KSF-TRIAL-BAL-2021'!R812+'RA-TRIAL-BAL-2021'!R812+'DES-TRIAL-BAL-2021'!R812+'DMP-TRIAL-BAL-2021'!R812</f>
        <v>0</v>
      </c>
      <c r="Z812" s="528">
        <f>+'NF-KSF-TRIAL-BAL-2021'!S812+'RA-TRIAL-BAL-2021'!S812+'DES-TRIAL-BAL-2021'!S812+'DMP-TRIAL-BAL-2021'!S812</f>
        <v>0</v>
      </c>
      <c r="AA812" s="347">
        <f>+'NF-KSF-TRIAL-BAL-2021'!T812+'RA-TRIAL-BAL-2021'!T812+'DES-TRIAL-BAL-2021'!T812+'DMP-TRIAL-BAL-2021'!T812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97">
        <f t="shared" si="351"/>
        <v>7912</v>
      </c>
      <c r="AK812" s="8">
        <v>0</v>
      </c>
      <c r="AL812" s="9">
        <v>0</v>
      </c>
      <c r="AM812" s="326">
        <f t="shared" si="385"/>
        <v>0</v>
      </c>
      <c r="AN812" s="970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58">
        <f t="shared" si="379"/>
        <v>0</v>
      </c>
      <c r="AS812" s="359">
        <f t="shared" si="380"/>
        <v>0</v>
      </c>
      <c r="AT812" s="360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25"/>
      <c r="R813" s="324"/>
      <c r="S813" s="27">
        <f t="shared" si="408"/>
        <v>0</v>
      </c>
      <c r="T813" s="28">
        <f t="shared" si="409"/>
        <v>0</v>
      </c>
      <c r="U813" s="51"/>
      <c r="V813" s="541">
        <f>+'NF-KSF-TRIAL-BAL-2021'!O813+'RA-TRIAL-BAL-2021'!O813+'DES-TRIAL-BAL-2021'!O813+'DMP-TRIAL-BAL-2021'!O813</f>
        <v>0</v>
      </c>
      <c r="W813" s="529">
        <f>+'NF-KSF-TRIAL-BAL-2021'!P813+'RA-TRIAL-BAL-2021'!P813+'DES-TRIAL-BAL-2021'!P813+'DMP-TRIAL-BAL-2021'!P813</f>
        <v>0</v>
      </c>
      <c r="X813" s="528">
        <f>+'NF-KSF-TRIAL-BAL-2021'!Q813+'RA-TRIAL-BAL-2021'!Q813+'DES-TRIAL-BAL-2021'!Q813+'DMP-TRIAL-BAL-2021'!Q813</f>
        <v>0</v>
      </c>
      <c r="Y813" s="529">
        <f>+'NF-KSF-TRIAL-BAL-2021'!R813+'RA-TRIAL-BAL-2021'!R813+'DES-TRIAL-BAL-2021'!R813+'DMP-TRIAL-BAL-2021'!R813</f>
        <v>0</v>
      </c>
      <c r="Z813" s="528">
        <f>+'NF-KSF-TRIAL-BAL-2021'!S813+'RA-TRIAL-BAL-2021'!S813+'DES-TRIAL-BAL-2021'!S813+'DMP-TRIAL-BAL-2021'!S813</f>
        <v>0</v>
      </c>
      <c r="AA813" s="347">
        <f>+'NF-KSF-TRIAL-BAL-2021'!T813+'RA-TRIAL-BAL-2021'!T813+'DES-TRIAL-BAL-2021'!T813+'DMP-TRIAL-BAL-2021'!T813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97">
        <f>+N813</f>
        <v>7915</v>
      </c>
      <c r="AK813" s="8">
        <v>0</v>
      </c>
      <c r="AL813" s="9">
        <v>0</v>
      </c>
      <c r="AM813" s="326">
        <f>+ROUND(+Q813+X813+AE813,2)</f>
        <v>0</v>
      </c>
      <c r="AN813" s="970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58">
        <f>+ROUND(+SUM(AK813-AL813)-SUM(O813-P813)-SUM(V813-W813)-SUM(AC813-AD813),2)</f>
        <v>0</v>
      </c>
      <c r="AS813" s="359">
        <f>+ROUND(+SUM(AM813-AN813)-SUM(Q813-R813)-SUM(X813-Y813)-SUM(AE813-AF813),2)</f>
        <v>0</v>
      </c>
      <c r="AT813" s="360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25"/>
      <c r="R814" s="324"/>
      <c r="S814" s="27">
        <f t="shared" si="408"/>
        <v>0</v>
      </c>
      <c r="T814" s="28">
        <f t="shared" si="409"/>
        <v>0</v>
      </c>
      <c r="U814" s="51"/>
      <c r="V814" s="541">
        <f>+'NF-KSF-TRIAL-BAL-2021'!O814+'RA-TRIAL-BAL-2021'!O814+'DES-TRIAL-BAL-2021'!O814+'DMP-TRIAL-BAL-2021'!O814</f>
        <v>0</v>
      </c>
      <c r="W814" s="529">
        <f>+'NF-KSF-TRIAL-BAL-2021'!P814+'RA-TRIAL-BAL-2021'!P814+'DES-TRIAL-BAL-2021'!P814+'DMP-TRIAL-BAL-2021'!P814</f>
        <v>0</v>
      </c>
      <c r="X814" s="528">
        <f>+'NF-KSF-TRIAL-BAL-2021'!Q814+'RA-TRIAL-BAL-2021'!Q814+'DES-TRIAL-BAL-2021'!Q814+'DMP-TRIAL-BAL-2021'!Q814</f>
        <v>0</v>
      </c>
      <c r="Y814" s="529">
        <f>+'NF-KSF-TRIAL-BAL-2021'!R814+'RA-TRIAL-BAL-2021'!R814+'DES-TRIAL-BAL-2021'!R814+'DMP-TRIAL-BAL-2021'!R814</f>
        <v>0</v>
      </c>
      <c r="Z814" s="528">
        <f>+'NF-KSF-TRIAL-BAL-2021'!S814+'RA-TRIAL-BAL-2021'!S814+'DES-TRIAL-BAL-2021'!S814+'DMP-TRIAL-BAL-2021'!S814</f>
        <v>0</v>
      </c>
      <c r="AA814" s="347">
        <f>+'NF-KSF-TRIAL-BAL-2021'!T814+'RA-TRIAL-BAL-2021'!T814+'DES-TRIAL-BAL-2021'!T814+'DMP-TRIAL-BAL-2021'!T814</f>
        <v>0</v>
      </c>
      <c r="AB814" s="51"/>
      <c r="AC814" s="8">
        <v>0</v>
      </c>
      <c r="AD814" s="9">
        <v>0</v>
      </c>
      <c r="AE814" s="325"/>
      <c r="AF814" s="324"/>
      <c r="AG814" s="27">
        <f t="shared" si="410"/>
        <v>0</v>
      </c>
      <c r="AH814" s="28">
        <f t="shared" si="411"/>
        <v>0</v>
      </c>
      <c r="AI814" s="51"/>
      <c r="AJ814" s="1497">
        <f>+N814</f>
        <v>7916</v>
      </c>
      <c r="AK814" s="8">
        <v>0</v>
      </c>
      <c r="AL814" s="9">
        <v>0</v>
      </c>
      <c r="AM814" s="326">
        <f>+ROUND(+Q814+X814+AE814,2)</f>
        <v>0</v>
      </c>
      <c r="AN814" s="970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58">
        <f>+ROUND(+SUM(AK814-AL814)-SUM(O814-P814)-SUM(V814-W814)-SUM(AC814-AD814),2)</f>
        <v>0</v>
      </c>
      <c r="AS814" s="359">
        <f>+ROUND(+SUM(AM814-AN814)-SUM(Q814-R814)-SUM(X814-Y814)-SUM(AE814-AF814),2)</f>
        <v>0</v>
      </c>
      <c r="AT814" s="360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25"/>
      <c r="R815" s="324"/>
      <c r="S815" s="27">
        <f t="shared" si="408"/>
        <v>0</v>
      </c>
      <c r="T815" s="28">
        <f t="shared" si="409"/>
        <v>0</v>
      </c>
      <c r="U815" s="51"/>
      <c r="V815" s="541">
        <f>+'NF-KSF-TRIAL-BAL-2021'!O815+'RA-TRIAL-BAL-2021'!O815+'DES-TRIAL-BAL-2021'!O815+'DMP-TRIAL-BAL-2021'!O815</f>
        <v>0</v>
      </c>
      <c r="W815" s="529">
        <f>+'NF-KSF-TRIAL-BAL-2021'!P815+'RA-TRIAL-BAL-2021'!P815+'DES-TRIAL-BAL-2021'!P815+'DMP-TRIAL-BAL-2021'!P815</f>
        <v>0</v>
      </c>
      <c r="X815" s="528">
        <f>+'NF-KSF-TRIAL-BAL-2021'!Q815+'RA-TRIAL-BAL-2021'!Q815+'DES-TRIAL-BAL-2021'!Q815+'DMP-TRIAL-BAL-2021'!Q815</f>
        <v>0</v>
      </c>
      <c r="Y815" s="529">
        <f>+'NF-KSF-TRIAL-BAL-2021'!R815+'RA-TRIAL-BAL-2021'!R815+'DES-TRIAL-BAL-2021'!R815+'DMP-TRIAL-BAL-2021'!R815</f>
        <v>0</v>
      </c>
      <c r="Z815" s="528">
        <f>+'NF-KSF-TRIAL-BAL-2021'!S815+'RA-TRIAL-BAL-2021'!S815+'DES-TRIAL-BAL-2021'!S815+'DMP-TRIAL-BAL-2021'!S815</f>
        <v>0</v>
      </c>
      <c r="AA815" s="347">
        <f>+'NF-KSF-TRIAL-BAL-2021'!T815+'RA-TRIAL-BAL-2021'!T815+'DES-TRIAL-BAL-2021'!T815+'DMP-TRIAL-BAL-2021'!T815</f>
        <v>0</v>
      </c>
      <c r="AB815" s="51"/>
      <c r="AC815" s="8">
        <v>0</v>
      </c>
      <c r="AD815" s="9">
        <v>0</v>
      </c>
      <c r="AE815" s="325"/>
      <c r="AF815" s="324"/>
      <c r="AG815" s="27">
        <f t="shared" si="410"/>
        <v>0</v>
      </c>
      <c r="AH815" s="28">
        <f t="shared" si="411"/>
        <v>0</v>
      </c>
      <c r="AI815" s="51"/>
      <c r="AJ815" s="1497">
        <f t="shared" si="351"/>
        <v>7917</v>
      </c>
      <c r="AK815" s="8">
        <v>0</v>
      </c>
      <c r="AL815" s="9">
        <v>0</v>
      </c>
      <c r="AM815" s="326">
        <f t="shared" si="385"/>
        <v>0</v>
      </c>
      <c r="AN815" s="970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58">
        <f t="shared" si="379"/>
        <v>0</v>
      </c>
      <c r="AS815" s="359">
        <f t="shared" si="380"/>
        <v>0</v>
      </c>
      <c r="AT815" s="360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25"/>
      <c r="R816" s="324"/>
      <c r="S816" s="27">
        <f t="shared" si="408"/>
        <v>0</v>
      </c>
      <c r="T816" s="28">
        <f t="shared" si="409"/>
        <v>0</v>
      </c>
      <c r="U816" s="51"/>
      <c r="V816" s="541">
        <f>+'NF-KSF-TRIAL-BAL-2021'!O816+'RA-TRIAL-BAL-2021'!O816+'DES-TRIAL-BAL-2021'!O816+'DMP-TRIAL-BAL-2021'!O816</f>
        <v>0</v>
      </c>
      <c r="W816" s="529">
        <f>+'NF-KSF-TRIAL-BAL-2021'!P816+'RA-TRIAL-BAL-2021'!P816+'DES-TRIAL-BAL-2021'!P816+'DMP-TRIAL-BAL-2021'!P816</f>
        <v>0</v>
      </c>
      <c r="X816" s="528">
        <f>+'NF-KSF-TRIAL-BAL-2021'!Q816+'RA-TRIAL-BAL-2021'!Q816+'DES-TRIAL-BAL-2021'!Q816+'DMP-TRIAL-BAL-2021'!Q816</f>
        <v>0</v>
      </c>
      <c r="Y816" s="529">
        <f>+'NF-KSF-TRIAL-BAL-2021'!R816+'RA-TRIAL-BAL-2021'!R816+'DES-TRIAL-BAL-2021'!R816+'DMP-TRIAL-BAL-2021'!R816</f>
        <v>0</v>
      </c>
      <c r="Z816" s="528">
        <f>+'NF-KSF-TRIAL-BAL-2021'!S816+'RA-TRIAL-BAL-2021'!S816+'DES-TRIAL-BAL-2021'!S816+'DMP-TRIAL-BAL-2021'!S816</f>
        <v>0</v>
      </c>
      <c r="AA816" s="347">
        <f>+'NF-KSF-TRIAL-BAL-2021'!T816+'RA-TRIAL-BAL-2021'!T816+'DES-TRIAL-BAL-2021'!T816+'DMP-TRIAL-BAL-2021'!T816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97">
        <f t="shared" si="351"/>
        <v>7918</v>
      </c>
      <c r="AK816" s="8">
        <v>0</v>
      </c>
      <c r="AL816" s="9">
        <v>0</v>
      </c>
      <c r="AM816" s="326">
        <f t="shared" si="385"/>
        <v>0</v>
      </c>
      <c r="AN816" s="970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58">
        <f t="shared" si="379"/>
        <v>0</v>
      </c>
      <c r="AS816" s="359">
        <f t="shared" si="380"/>
        <v>0</v>
      </c>
      <c r="AT816" s="360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25"/>
      <c r="R817" s="324"/>
      <c r="S817" s="27">
        <f t="shared" si="408"/>
        <v>0</v>
      </c>
      <c r="T817" s="28">
        <f t="shared" si="409"/>
        <v>0</v>
      </c>
      <c r="U817" s="51"/>
      <c r="V817" s="541">
        <f>+'NF-KSF-TRIAL-BAL-2021'!O817+'RA-TRIAL-BAL-2021'!O817+'DES-TRIAL-BAL-2021'!O817+'DMP-TRIAL-BAL-2021'!O817</f>
        <v>0</v>
      </c>
      <c r="W817" s="529">
        <f>+'NF-KSF-TRIAL-BAL-2021'!P817+'RA-TRIAL-BAL-2021'!P817+'DES-TRIAL-BAL-2021'!P817+'DMP-TRIAL-BAL-2021'!P817</f>
        <v>0</v>
      </c>
      <c r="X817" s="528">
        <f>+'NF-KSF-TRIAL-BAL-2021'!Q817+'RA-TRIAL-BAL-2021'!Q817+'DES-TRIAL-BAL-2021'!Q817+'DMP-TRIAL-BAL-2021'!Q817</f>
        <v>0</v>
      </c>
      <c r="Y817" s="529">
        <f>+'NF-KSF-TRIAL-BAL-2021'!R817+'RA-TRIAL-BAL-2021'!R817+'DES-TRIAL-BAL-2021'!R817+'DMP-TRIAL-BAL-2021'!R817</f>
        <v>0</v>
      </c>
      <c r="Z817" s="528">
        <f>+'NF-KSF-TRIAL-BAL-2021'!S817+'RA-TRIAL-BAL-2021'!S817+'DES-TRIAL-BAL-2021'!S817+'DMP-TRIAL-BAL-2021'!S817</f>
        <v>0</v>
      </c>
      <c r="AA817" s="347">
        <f>+'NF-KSF-TRIAL-BAL-2021'!T817+'RA-TRIAL-BAL-2021'!T817+'DES-TRIAL-BAL-2021'!T817+'DMP-TRIAL-BAL-2021'!T817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97">
        <f t="shared" si="351"/>
        <v>7922</v>
      </c>
      <c r="AK817" s="8">
        <v>0</v>
      </c>
      <c r="AL817" s="9">
        <v>0</v>
      </c>
      <c r="AM817" s="326">
        <f t="shared" si="385"/>
        <v>0</v>
      </c>
      <c r="AN817" s="970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58">
        <f t="shared" si="379"/>
        <v>0</v>
      </c>
      <c r="AS817" s="359">
        <f t="shared" si="380"/>
        <v>0</v>
      </c>
      <c r="AT817" s="360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25"/>
      <c r="R818" s="324"/>
      <c r="S818" s="27">
        <f t="shared" si="408"/>
        <v>0</v>
      </c>
      <c r="T818" s="28">
        <f t="shared" si="409"/>
        <v>0</v>
      </c>
      <c r="U818" s="51"/>
      <c r="V818" s="541">
        <f>+'NF-KSF-TRIAL-BAL-2021'!O818+'RA-TRIAL-BAL-2021'!O818+'DES-TRIAL-BAL-2021'!O818+'DMP-TRIAL-BAL-2021'!O818</f>
        <v>0</v>
      </c>
      <c r="W818" s="529">
        <f>+'NF-KSF-TRIAL-BAL-2021'!P818+'RA-TRIAL-BAL-2021'!P818+'DES-TRIAL-BAL-2021'!P818+'DMP-TRIAL-BAL-2021'!P818</f>
        <v>0</v>
      </c>
      <c r="X818" s="528">
        <f>+'NF-KSF-TRIAL-BAL-2021'!Q818+'RA-TRIAL-BAL-2021'!Q818+'DES-TRIAL-BAL-2021'!Q818+'DMP-TRIAL-BAL-2021'!Q818</f>
        <v>0</v>
      </c>
      <c r="Y818" s="529">
        <f>+'NF-KSF-TRIAL-BAL-2021'!R818+'RA-TRIAL-BAL-2021'!R818+'DES-TRIAL-BAL-2021'!R818+'DMP-TRIAL-BAL-2021'!R818</f>
        <v>0</v>
      </c>
      <c r="Z818" s="528">
        <f>+'NF-KSF-TRIAL-BAL-2021'!S818+'RA-TRIAL-BAL-2021'!S818+'DES-TRIAL-BAL-2021'!S818+'DMP-TRIAL-BAL-2021'!S818</f>
        <v>0</v>
      </c>
      <c r="AA818" s="347">
        <f>+'NF-KSF-TRIAL-BAL-2021'!T818+'RA-TRIAL-BAL-2021'!T818+'DES-TRIAL-BAL-2021'!T818+'DMP-TRIAL-BAL-2021'!T818</f>
        <v>0</v>
      </c>
      <c r="AB818" s="51"/>
      <c r="AC818" s="8">
        <v>0</v>
      </c>
      <c r="AD818" s="9">
        <v>0</v>
      </c>
      <c r="AE818" s="325"/>
      <c r="AF818" s="324"/>
      <c r="AG818" s="27">
        <f t="shared" si="410"/>
        <v>0</v>
      </c>
      <c r="AH818" s="28">
        <f t="shared" si="411"/>
        <v>0</v>
      </c>
      <c r="AI818" s="51"/>
      <c r="AJ818" s="1497">
        <f t="shared" si="351"/>
        <v>7923</v>
      </c>
      <c r="AK818" s="8">
        <v>0</v>
      </c>
      <c r="AL818" s="9">
        <v>0</v>
      </c>
      <c r="AM818" s="326">
        <f t="shared" si="385"/>
        <v>0</v>
      </c>
      <c r="AN818" s="970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58">
        <f t="shared" si="379"/>
        <v>0</v>
      </c>
      <c r="AS818" s="359">
        <f t="shared" si="380"/>
        <v>0</v>
      </c>
      <c r="AT818" s="360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25"/>
      <c r="R819" s="324"/>
      <c r="S819" s="27">
        <f t="shared" si="408"/>
        <v>0</v>
      </c>
      <c r="T819" s="28">
        <f t="shared" si="409"/>
        <v>0</v>
      </c>
      <c r="U819" s="51"/>
      <c r="V819" s="541">
        <f>+'NF-KSF-TRIAL-BAL-2021'!O819+'RA-TRIAL-BAL-2021'!O819+'DES-TRIAL-BAL-2021'!O819+'DMP-TRIAL-BAL-2021'!O819</f>
        <v>0</v>
      </c>
      <c r="W819" s="529">
        <f>+'NF-KSF-TRIAL-BAL-2021'!P819+'RA-TRIAL-BAL-2021'!P819+'DES-TRIAL-BAL-2021'!P819+'DMP-TRIAL-BAL-2021'!P819</f>
        <v>0</v>
      </c>
      <c r="X819" s="528">
        <f>+'NF-KSF-TRIAL-BAL-2021'!Q819+'RA-TRIAL-BAL-2021'!Q819+'DES-TRIAL-BAL-2021'!Q819+'DMP-TRIAL-BAL-2021'!Q819</f>
        <v>0</v>
      </c>
      <c r="Y819" s="529">
        <f>+'NF-KSF-TRIAL-BAL-2021'!R819+'RA-TRIAL-BAL-2021'!R819+'DES-TRIAL-BAL-2021'!R819+'DMP-TRIAL-BAL-2021'!R819</f>
        <v>0</v>
      </c>
      <c r="Z819" s="528">
        <f>+'NF-KSF-TRIAL-BAL-2021'!S819+'RA-TRIAL-BAL-2021'!S819+'DES-TRIAL-BAL-2021'!S819+'DMP-TRIAL-BAL-2021'!S819</f>
        <v>0</v>
      </c>
      <c r="AA819" s="347">
        <f>+'NF-KSF-TRIAL-BAL-2021'!T819+'RA-TRIAL-BAL-2021'!T819+'DES-TRIAL-BAL-2021'!T819+'DMP-TRIAL-BAL-2021'!T819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97">
        <f t="shared" si="351"/>
        <v>7924</v>
      </c>
      <c r="AK819" s="8">
        <v>0</v>
      </c>
      <c r="AL819" s="9">
        <v>0</v>
      </c>
      <c r="AM819" s="326">
        <f t="shared" si="385"/>
        <v>0</v>
      </c>
      <c r="AN819" s="970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58">
        <f t="shared" si="379"/>
        <v>0</v>
      </c>
      <c r="AS819" s="359">
        <f t="shared" si="380"/>
        <v>0</v>
      </c>
      <c r="AT819" s="360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25"/>
      <c r="R820" s="324"/>
      <c r="S820" s="27">
        <f t="shared" si="408"/>
        <v>0</v>
      </c>
      <c r="T820" s="28">
        <f t="shared" si="409"/>
        <v>0</v>
      </c>
      <c r="U820" s="51"/>
      <c r="V820" s="541">
        <f>+'NF-KSF-TRIAL-BAL-2021'!O820+'RA-TRIAL-BAL-2021'!O820+'DES-TRIAL-BAL-2021'!O820+'DMP-TRIAL-BAL-2021'!O820</f>
        <v>0</v>
      </c>
      <c r="W820" s="529">
        <f>+'NF-KSF-TRIAL-BAL-2021'!P820+'RA-TRIAL-BAL-2021'!P820+'DES-TRIAL-BAL-2021'!P820+'DMP-TRIAL-BAL-2021'!P820</f>
        <v>0</v>
      </c>
      <c r="X820" s="528">
        <f>+'NF-KSF-TRIAL-BAL-2021'!Q820+'RA-TRIAL-BAL-2021'!Q820+'DES-TRIAL-BAL-2021'!Q820+'DMP-TRIAL-BAL-2021'!Q820</f>
        <v>0</v>
      </c>
      <c r="Y820" s="529">
        <f>+'NF-KSF-TRIAL-BAL-2021'!R820+'RA-TRIAL-BAL-2021'!R820+'DES-TRIAL-BAL-2021'!R820+'DMP-TRIAL-BAL-2021'!R820</f>
        <v>0</v>
      </c>
      <c r="Z820" s="528">
        <f>+'NF-KSF-TRIAL-BAL-2021'!S820+'RA-TRIAL-BAL-2021'!S820+'DES-TRIAL-BAL-2021'!S820+'DMP-TRIAL-BAL-2021'!S820</f>
        <v>0</v>
      </c>
      <c r="AA820" s="347">
        <f>+'NF-KSF-TRIAL-BAL-2021'!T820+'RA-TRIAL-BAL-2021'!T820+'DES-TRIAL-BAL-2021'!T820+'DMP-TRIAL-BAL-2021'!T820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97">
        <f t="shared" ref="AJ820:AJ829" si="412">+N820</f>
        <v>7925</v>
      </c>
      <c r="AK820" s="8">
        <v>0</v>
      </c>
      <c r="AL820" s="9">
        <v>0</v>
      </c>
      <c r="AM820" s="326">
        <f t="shared" si="385"/>
        <v>0</v>
      </c>
      <c r="AN820" s="970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58">
        <f t="shared" si="379"/>
        <v>0</v>
      </c>
      <c r="AS820" s="359">
        <f t="shared" si="380"/>
        <v>0</v>
      </c>
      <c r="AT820" s="360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25"/>
      <c r="R821" s="324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41">
        <f>+'NF-KSF-TRIAL-BAL-2021'!O821+'RA-TRIAL-BAL-2021'!O821+'DES-TRIAL-BAL-2021'!O821+'DMP-TRIAL-BAL-2021'!O821</f>
        <v>0</v>
      </c>
      <c r="W821" s="529">
        <f>+'NF-KSF-TRIAL-BAL-2021'!P821+'RA-TRIAL-BAL-2021'!P821+'DES-TRIAL-BAL-2021'!P821+'DMP-TRIAL-BAL-2021'!P821</f>
        <v>0</v>
      </c>
      <c r="X821" s="528">
        <f>+'NF-KSF-TRIAL-BAL-2021'!Q821+'RA-TRIAL-BAL-2021'!Q821+'DES-TRIAL-BAL-2021'!Q821+'DMP-TRIAL-BAL-2021'!Q821</f>
        <v>0</v>
      </c>
      <c r="Y821" s="529">
        <f>+'NF-KSF-TRIAL-BAL-2021'!R821+'RA-TRIAL-BAL-2021'!R821+'DES-TRIAL-BAL-2021'!R821+'DMP-TRIAL-BAL-2021'!R821</f>
        <v>0</v>
      </c>
      <c r="Z821" s="528">
        <f>+'NF-KSF-TRIAL-BAL-2021'!S821+'RA-TRIAL-BAL-2021'!S821+'DES-TRIAL-BAL-2021'!S821+'DMP-TRIAL-BAL-2021'!S821</f>
        <v>0</v>
      </c>
      <c r="AA821" s="347">
        <f>+'NF-KSF-TRIAL-BAL-2021'!T821+'RA-TRIAL-BAL-2021'!T821+'DES-TRIAL-BAL-2021'!T821+'DMP-TRIAL-BAL-2021'!T821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97">
        <f t="shared" si="412"/>
        <v>7926</v>
      </c>
      <c r="AK821" s="8">
        <v>0</v>
      </c>
      <c r="AL821" s="9">
        <v>0</v>
      </c>
      <c r="AM821" s="326">
        <f t="shared" si="385"/>
        <v>0</v>
      </c>
      <c r="AN821" s="970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58">
        <f t="shared" si="379"/>
        <v>0</v>
      </c>
      <c r="AS821" s="359">
        <f t="shared" si="380"/>
        <v>0</v>
      </c>
      <c r="AT821" s="360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25"/>
      <c r="R822" s="324">
        <v>563</v>
      </c>
      <c r="S822" s="27">
        <f t="shared" si="408"/>
        <v>0</v>
      </c>
      <c r="T822" s="28">
        <f t="shared" si="409"/>
        <v>563</v>
      </c>
      <c r="U822" s="51"/>
      <c r="V822" s="541">
        <f>+'NF-KSF-TRIAL-BAL-2021'!O822+'RA-TRIAL-BAL-2021'!O822+'DES-TRIAL-BAL-2021'!O822+'DMP-TRIAL-BAL-2021'!O822</f>
        <v>0</v>
      </c>
      <c r="W822" s="529">
        <f>+'NF-KSF-TRIAL-BAL-2021'!P822+'RA-TRIAL-BAL-2021'!P822+'DES-TRIAL-BAL-2021'!P822+'DMP-TRIAL-BAL-2021'!P822</f>
        <v>0</v>
      </c>
      <c r="X822" s="528">
        <f>+'NF-KSF-TRIAL-BAL-2021'!Q822+'RA-TRIAL-BAL-2021'!Q822+'DES-TRIAL-BAL-2021'!Q822+'DMP-TRIAL-BAL-2021'!Q822</f>
        <v>0</v>
      </c>
      <c r="Y822" s="529">
        <f>+'NF-KSF-TRIAL-BAL-2021'!R822+'RA-TRIAL-BAL-2021'!R822+'DES-TRIAL-BAL-2021'!R822+'DMP-TRIAL-BAL-2021'!R822</f>
        <v>0</v>
      </c>
      <c r="Z822" s="528">
        <f>+'NF-KSF-TRIAL-BAL-2021'!S822+'RA-TRIAL-BAL-2021'!S822+'DES-TRIAL-BAL-2021'!S822+'DMP-TRIAL-BAL-2021'!S822</f>
        <v>0</v>
      </c>
      <c r="AA822" s="347">
        <f>+'NF-KSF-TRIAL-BAL-2021'!T822+'RA-TRIAL-BAL-2021'!T822+'DES-TRIAL-BAL-2021'!T822+'DMP-TRIAL-BAL-2021'!T822</f>
        <v>0</v>
      </c>
      <c r="AB822" s="51"/>
      <c r="AC822" s="8">
        <v>0</v>
      </c>
      <c r="AD822" s="9">
        <v>0</v>
      </c>
      <c r="AE822" s="325"/>
      <c r="AF822" s="324">
        <v>7734</v>
      </c>
      <c r="AG822" s="27">
        <f t="shared" si="410"/>
        <v>0</v>
      </c>
      <c r="AH822" s="28">
        <f t="shared" si="411"/>
        <v>7734</v>
      </c>
      <c r="AI822" s="51"/>
      <c r="AJ822" s="1497">
        <f t="shared" si="412"/>
        <v>7992</v>
      </c>
      <c r="AK822" s="8">
        <v>0</v>
      </c>
      <c r="AL822" s="9">
        <v>0</v>
      </c>
      <c r="AM822" s="326">
        <f t="shared" ref="AM822:AM828" si="414">+ROUND(+Q822+X822+AE822,2)</f>
        <v>0</v>
      </c>
      <c r="AN822" s="970">
        <f t="shared" ref="AN822:AN828" si="415">+ROUND(+R822+Y822+AF822,2)</f>
        <v>8297</v>
      </c>
      <c r="AO822" s="27">
        <f t="shared" si="402"/>
        <v>0</v>
      </c>
      <c r="AP822" s="28">
        <f t="shared" si="403"/>
        <v>8297</v>
      </c>
      <c r="AQ822" s="43"/>
      <c r="AR822" s="358">
        <f t="shared" ref="AR822:AR828" si="416">+ROUND(+SUM(AK822-AL822)-SUM(O822-P822)-SUM(V822-W822)-SUM(AC822-AD822),2)</f>
        <v>0</v>
      </c>
      <c r="AS822" s="359">
        <f t="shared" ref="AS822:AS828" si="417">+ROUND(+SUM(AM822-AN822)-SUM(Q822-R822)-SUM(X822-Y822)-SUM(AE822-AF822),2)</f>
        <v>0</v>
      </c>
      <c r="AT822" s="360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25"/>
      <c r="R823" s="324"/>
      <c r="S823" s="27">
        <f t="shared" si="408"/>
        <v>0</v>
      </c>
      <c r="T823" s="28">
        <f t="shared" si="409"/>
        <v>0</v>
      </c>
      <c r="U823" s="51"/>
      <c r="V823" s="541">
        <f>+'NF-KSF-TRIAL-BAL-2021'!O823+'RA-TRIAL-BAL-2021'!O823+'DES-TRIAL-BAL-2021'!O823+'DMP-TRIAL-BAL-2021'!O823</f>
        <v>0</v>
      </c>
      <c r="W823" s="529">
        <f>+'NF-KSF-TRIAL-BAL-2021'!P823+'RA-TRIAL-BAL-2021'!P823+'DES-TRIAL-BAL-2021'!P823+'DMP-TRIAL-BAL-2021'!P823</f>
        <v>0</v>
      </c>
      <c r="X823" s="528">
        <f>+'NF-KSF-TRIAL-BAL-2021'!Q823+'RA-TRIAL-BAL-2021'!Q823+'DES-TRIAL-BAL-2021'!Q823+'DMP-TRIAL-BAL-2021'!Q823</f>
        <v>0</v>
      </c>
      <c r="Y823" s="529">
        <f>+'NF-KSF-TRIAL-BAL-2021'!R823+'RA-TRIAL-BAL-2021'!R823+'DES-TRIAL-BAL-2021'!R823+'DMP-TRIAL-BAL-2021'!R823</f>
        <v>0</v>
      </c>
      <c r="Z823" s="528">
        <f>+'NF-KSF-TRIAL-BAL-2021'!S823+'RA-TRIAL-BAL-2021'!S823+'DES-TRIAL-BAL-2021'!S823+'DMP-TRIAL-BAL-2021'!S823</f>
        <v>0</v>
      </c>
      <c r="AA823" s="347">
        <f>+'NF-KSF-TRIAL-BAL-2021'!T823+'RA-TRIAL-BAL-2021'!T823+'DES-TRIAL-BAL-2021'!T823+'DMP-TRIAL-BAL-2021'!T823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97">
        <f t="shared" si="412"/>
        <v>7993</v>
      </c>
      <c r="AK823" s="8">
        <v>0</v>
      </c>
      <c r="AL823" s="9">
        <v>0</v>
      </c>
      <c r="AM823" s="326">
        <f t="shared" si="414"/>
        <v>0</v>
      </c>
      <c r="AN823" s="970">
        <f t="shared" si="415"/>
        <v>0</v>
      </c>
      <c r="AO823" s="27">
        <f t="shared" si="402"/>
        <v>0</v>
      </c>
      <c r="AP823" s="28">
        <f t="shared" si="403"/>
        <v>0</v>
      </c>
      <c r="AQ823" s="43"/>
      <c r="AR823" s="358">
        <f t="shared" si="416"/>
        <v>0</v>
      </c>
      <c r="AS823" s="359">
        <f t="shared" si="417"/>
        <v>0</v>
      </c>
      <c r="AT823" s="360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25"/>
      <c r="R824" s="324"/>
      <c r="S824" s="27">
        <f t="shared" si="408"/>
        <v>0</v>
      </c>
      <c r="T824" s="28">
        <f t="shared" si="409"/>
        <v>0</v>
      </c>
      <c r="U824" s="51"/>
      <c r="V824" s="541">
        <f>+'NF-KSF-TRIAL-BAL-2021'!O824+'RA-TRIAL-BAL-2021'!O824+'DES-TRIAL-BAL-2021'!O824+'DMP-TRIAL-BAL-2021'!O824</f>
        <v>0</v>
      </c>
      <c r="W824" s="529">
        <f>+'NF-KSF-TRIAL-BAL-2021'!P824+'RA-TRIAL-BAL-2021'!P824+'DES-TRIAL-BAL-2021'!P824+'DMP-TRIAL-BAL-2021'!P824</f>
        <v>0</v>
      </c>
      <c r="X824" s="528">
        <f>+'NF-KSF-TRIAL-BAL-2021'!Q824+'RA-TRIAL-BAL-2021'!Q824+'DES-TRIAL-BAL-2021'!Q824+'DMP-TRIAL-BAL-2021'!Q824</f>
        <v>0</v>
      </c>
      <c r="Y824" s="529">
        <f>+'NF-KSF-TRIAL-BAL-2021'!R824+'RA-TRIAL-BAL-2021'!R824+'DES-TRIAL-BAL-2021'!R824+'DMP-TRIAL-BAL-2021'!R824</f>
        <v>0</v>
      </c>
      <c r="Z824" s="528">
        <f>+'NF-KSF-TRIAL-BAL-2021'!S824+'RA-TRIAL-BAL-2021'!S824+'DES-TRIAL-BAL-2021'!S824+'DMP-TRIAL-BAL-2021'!S824</f>
        <v>0</v>
      </c>
      <c r="AA824" s="347">
        <f>+'NF-KSF-TRIAL-BAL-2021'!T824+'RA-TRIAL-BAL-2021'!T824+'DES-TRIAL-BAL-2021'!T824+'DMP-TRIAL-BAL-2021'!T824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97">
        <f t="shared" si="412"/>
        <v>7994</v>
      </c>
      <c r="AK824" s="8">
        <v>0</v>
      </c>
      <c r="AL824" s="9">
        <v>0</v>
      </c>
      <c r="AM824" s="326">
        <f t="shared" si="414"/>
        <v>0</v>
      </c>
      <c r="AN824" s="970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58">
        <f t="shared" si="416"/>
        <v>0</v>
      </c>
      <c r="AS824" s="359">
        <f t="shared" si="417"/>
        <v>0</v>
      </c>
      <c r="AT824" s="360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25"/>
      <c r="R825" s="324"/>
      <c r="S825" s="27">
        <f t="shared" si="408"/>
        <v>0</v>
      </c>
      <c r="T825" s="28">
        <f t="shared" si="409"/>
        <v>0</v>
      </c>
      <c r="U825" s="51"/>
      <c r="V825" s="541">
        <f>+'NF-KSF-TRIAL-BAL-2021'!O825+'RA-TRIAL-BAL-2021'!O825+'DES-TRIAL-BAL-2021'!O825+'DMP-TRIAL-BAL-2021'!O825</f>
        <v>0</v>
      </c>
      <c r="W825" s="529">
        <f>+'NF-KSF-TRIAL-BAL-2021'!P825+'RA-TRIAL-BAL-2021'!P825+'DES-TRIAL-BAL-2021'!P825+'DMP-TRIAL-BAL-2021'!P825</f>
        <v>0</v>
      </c>
      <c r="X825" s="528">
        <f>+'NF-KSF-TRIAL-BAL-2021'!Q825+'RA-TRIAL-BAL-2021'!Q825+'DES-TRIAL-BAL-2021'!Q825+'DMP-TRIAL-BAL-2021'!Q825</f>
        <v>0</v>
      </c>
      <c r="Y825" s="529">
        <f>+'NF-KSF-TRIAL-BAL-2021'!R825+'RA-TRIAL-BAL-2021'!R825+'DES-TRIAL-BAL-2021'!R825+'DMP-TRIAL-BAL-2021'!R825</f>
        <v>0</v>
      </c>
      <c r="Z825" s="528">
        <f>+'NF-KSF-TRIAL-BAL-2021'!S825+'RA-TRIAL-BAL-2021'!S825+'DES-TRIAL-BAL-2021'!S825+'DMP-TRIAL-BAL-2021'!S825</f>
        <v>0</v>
      </c>
      <c r="AA825" s="347">
        <f>+'NF-KSF-TRIAL-BAL-2021'!T825+'RA-TRIAL-BAL-2021'!T825+'DES-TRIAL-BAL-2021'!T825+'DMP-TRIAL-BAL-2021'!T825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97">
        <f t="shared" si="412"/>
        <v>7995</v>
      </c>
      <c r="AK825" s="8">
        <v>0</v>
      </c>
      <c r="AL825" s="9">
        <v>0</v>
      </c>
      <c r="AM825" s="326">
        <f t="shared" si="414"/>
        <v>0</v>
      </c>
      <c r="AN825" s="970">
        <f t="shared" si="415"/>
        <v>0</v>
      </c>
      <c r="AO825" s="27">
        <f t="shared" si="402"/>
        <v>0</v>
      </c>
      <c r="AP825" s="28">
        <f t="shared" si="403"/>
        <v>0</v>
      </c>
      <c r="AQ825" s="43"/>
      <c r="AR825" s="358">
        <f t="shared" si="416"/>
        <v>0</v>
      </c>
      <c r="AS825" s="359">
        <f t="shared" si="417"/>
        <v>0</v>
      </c>
      <c r="AT825" s="360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25"/>
      <c r="R826" s="324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41">
        <f>+'NF-KSF-TRIAL-BAL-2021'!O826+'RA-TRIAL-BAL-2021'!O826+'DES-TRIAL-BAL-2021'!O826+'DMP-TRIAL-BAL-2021'!O826</f>
        <v>0</v>
      </c>
      <c r="W826" s="529">
        <f>+'NF-KSF-TRIAL-BAL-2021'!P826+'RA-TRIAL-BAL-2021'!P826+'DES-TRIAL-BAL-2021'!P826+'DMP-TRIAL-BAL-2021'!P826</f>
        <v>0</v>
      </c>
      <c r="X826" s="528">
        <f>+'NF-KSF-TRIAL-BAL-2021'!Q826+'RA-TRIAL-BAL-2021'!Q826+'DES-TRIAL-BAL-2021'!Q826+'DMP-TRIAL-BAL-2021'!Q826</f>
        <v>0</v>
      </c>
      <c r="Y826" s="529">
        <f>+'NF-KSF-TRIAL-BAL-2021'!R826+'RA-TRIAL-BAL-2021'!R826+'DES-TRIAL-BAL-2021'!R826+'DMP-TRIAL-BAL-2021'!R826</f>
        <v>0</v>
      </c>
      <c r="Z826" s="528">
        <f>+'NF-KSF-TRIAL-BAL-2021'!S826+'RA-TRIAL-BAL-2021'!S826+'DES-TRIAL-BAL-2021'!S826+'DMP-TRIAL-BAL-2021'!S826</f>
        <v>0</v>
      </c>
      <c r="AA826" s="347">
        <f>+'NF-KSF-TRIAL-BAL-2021'!T826+'RA-TRIAL-BAL-2021'!T826+'DES-TRIAL-BAL-2021'!T826+'DMP-TRIAL-BAL-2021'!T826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97">
        <f>+N826</f>
        <v>7996</v>
      </c>
      <c r="AK826" s="8">
        <v>0</v>
      </c>
      <c r="AL826" s="9">
        <v>0</v>
      </c>
      <c r="AM826" s="326">
        <f>+ROUND(+Q826+X826+AE826,2)</f>
        <v>0</v>
      </c>
      <c r="AN826" s="970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58">
        <f>+ROUND(+SUM(AK826-AL826)-SUM(O826-P826)-SUM(V826-W826)-SUM(AC826-AD826),2)</f>
        <v>0</v>
      </c>
      <c r="AS826" s="359">
        <f>+ROUND(+SUM(AM826-AN826)-SUM(Q826-R826)-SUM(X826-Y826)-SUM(AE826-AF826),2)</f>
        <v>0</v>
      </c>
      <c r="AT826" s="360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25"/>
      <c r="R827" s="324"/>
      <c r="S827" s="27">
        <f t="shared" si="408"/>
        <v>0</v>
      </c>
      <c r="T827" s="28">
        <f t="shared" si="409"/>
        <v>0</v>
      </c>
      <c r="U827" s="51"/>
      <c r="V827" s="541">
        <f>+'NF-KSF-TRIAL-BAL-2021'!O827+'RA-TRIAL-BAL-2021'!O827+'DES-TRIAL-BAL-2021'!O827+'DMP-TRIAL-BAL-2021'!O827</f>
        <v>0</v>
      </c>
      <c r="W827" s="529">
        <f>+'NF-KSF-TRIAL-BAL-2021'!P827+'RA-TRIAL-BAL-2021'!P827+'DES-TRIAL-BAL-2021'!P827+'DMP-TRIAL-BAL-2021'!P827</f>
        <v>0</v>
      </c>
      <c r="X827" s="528">
        <f>+'NF-KSF-TRIAL-BAL-2021'!Q827+'RA-TRIAL-BAL-2021'!Q827+'DES-TRIAL-BAL-2021'!Q827+'DMP-TRIAL-BAL-2021'!Q827</f>
        <v>0</v>
      </c>
      <c r="Y827" s="529">
        <f>+'NF-KSF-TRIAL-BAL-2021'!R827+'RA-TRIAL-BAL-2021'!R827+'DES-TRIAL-BAL-2021'!R827+'DMP-TRIAL-BAL-2021'!R827</f>
        <v>0</v>
      </c>
      <c r="Z827" s="528">
        <f>+'NF-KSF-TRIAL-BAL-2021'!S827+'RA-TRIAL-BAL-2021'!S827+'DES-TRIAL-BAL-2021'!S827+'DMP-TRIAL-BAL-2021'!S827</f>
        <v>0</v>
      </c>
      <c r="AA827" s="347">
        <f>+'NF-KSF-TRIAL-BAL-2021'!T827+'RA-TRIAL-BAL-2021'!T827+'DES-TRIAL-BAL-2021'!T827+'DMP-TRIAL-BAL-2021'!T827</f>
        <v>0</v>
      </c>
      <c r="AB827" s="51"/>
      <c r="AC827" s="8">
        <v>0</v>
      </c>
      <c r="AD827" s="9">
        <v>0</v>
      </c>
      <c r="AE827" s="325"/>
      <c r="AF827" s="324"/>
      <c r="AG827" s="27">
        <f t="shared" si="410"/>
        <v>0</v>
      </c>
      <c r="AH827" s="28">
        <f t="shared" si="411"/>
        <v>0</v>
      </c>
      <c r="AI827" s="51"/>
      <c r="AJ827" s="1497">
        <f t="shared" si="412"/>
        <v>7997</v>
      </c>
      <c r="AK827" s="8">
        <v>0</v>
      </c>
      <c r="AL827" s="9">
        <v>0</v>
      </c>
      <c r="AM827" s="326">
        <f t="shared" si="414"/>
        <v>0</v>
      </c>
      <c r="AN827" s="970">
        <f t="shared" si="415"/>
        <v>0</v>
      </c>
      <c r="AO827" s="27">
        <f t="shared" si="402"/>
        <v>0</v>
      </c>
      <c r="AP827" s="28">
        <f t="shared" si="403"/>
        <v>0</v>
      </c>
      <c r="AQ827" s="43"/>
      <c r="AR827" s="358">
        <f t="shared" si="416"/>
        <v>0</v>
      </c>
      <c r="AS827" s="359">
        <f t="shared" si="417"/>
        <v>0</v>
      </c>
      <c r="AT827" s="360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25"/>
      <c r="R828" s="324"/>
      <c r="S828" s="27">
        <f t="shared" si="408"/>
        <v>0</v>
      </c>
      <c r="T828" s="28">
        <f t="shared" si="409"/>
        <v>0</v>
      </c>
      <c r="U828" s="51"/>
      <c r="V828" s="541">
        <f>+'NF-KSF-TRIAL-BAL-2021'!O828+'RA-TRIAL-BAL-2021'!O828+'DES-TRIAL-BAL-2021'!O828+'DMP-TRIAL-BAL-2021'!O828</f>
        <v>0</v>
      </c>
      <c r="W828" s="529">
        <f>+'NF-KSF-TRIAL-BAL-2021'!P828+'RA-TRIAL-BAL-2021'!P828+'DES-TRIAL-BAL-2021'!P828+'DMP-TRIAL-BAL-2021'!P828</f>
        <v>0</v>
      </c>
      <c r="X828" s="528">
        <f>+'NF-KSF-TRIAL-BAL-2021'!Q828+'RA-TRIAL-BAL-2021'!Q828+'DES-TRIAL-BAL-2021'!Q828+'DMP-TRIAL-BAL-2021'!Q828</f>
        <v>0</v>
      </c>
      <c r="Y828" s="529">
        <f>+'NF-KSF-TRIAL-BAL-2021'!R828+'RA-TRIAL-BAL-2021'!R828+'DES-TRIAL-BAL-2021'!R828+'DMP-TRIAL-BAL-2021'!R828</f>
        <v>0</v>
      </c>
      <c r="Z828" s="528">
        <f>+'NF-KSF-TRIAL-BAL-2021'!S828+'RA-TRIAL-BAL-2021'!S828+'DES-TRIAL-BAL-2021'!S828+'DMP-TRIAL-BAL-2021'!S828</f>
        <v>0</v>
      </c>
      <c r="AA828" s="347">
        <f>+'NF-KSF-TRIAL-BAL-2021'!T828+'RA-TRIAL-BAL-2021'!T828+'DES-TRIAL-BAL-2021'!T828+'DMP-TRIAL-BAL-2021'!T828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97">
        <f t="shared" si="412"/>
        <v>7998</v>
      </c>
      <c r="AK828" s="8">
        <v>0</v>
      </c>
      <c r="AL828" s="9">
        <v>0</v>
      </c>
      <c r="AM828" s="326">
        <f t="shared" si="414"/>
        <v>0</v>
      </c>
      <c r="AN828" s="970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58">
        <f t="shared" si="416"/>
        <v>0</v>
      </c>
      <c r="AS828" s="359">
        <f t="shared" si="417"/>
        <v>0</v>
      </c>
      <c r="AT828" s="360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666</v>
      </c>
      <c r="O829" s="12">
        <f t="shared" ref="O829:T829" si="419">+ROUND(+SUM(O14:O828),2)</f>
        <v>19520489.620000001</v>
      </c>
      <c r="P829" s="13">
        <f t="shared" si="419"/>
        <v>19520489.620000001</v>
      </c>
      <c r="Q829" s="32">
        <f t="shared" si="419"/>
        <v>52521113.25</v>
      </c>
      <c r="R829" s="33">
        <f t="shared" si="419"/>
        <v>52521113.25</v>
      </c>
      <c r="S829" s="32">
        <f t="shared" si="419"/>
        <v>30471690.48</v>
      </c>
      <c r="T829" s="34">
        <f t="shared" si="419"/>
        <v>30471690.48</v>
      </c>
      <c r="U829" s="51"/>
      <c r="V829" s="840">
        <f t="shared" ref="V829:AA829" si="420">+ROUND(+SUM(V14:V828),2)</f>
        <v>5892916.4900000002</v>
      </c>
      <c r="W829" s="841">
        <f t="shared" si="420"/>
        <v>5892916.4900000002</v>
      </c>
      <c r="X829" s="842">
        <f t="shared" si="420"/>
        <v>22844261.5</v>
      </c>
      <c r="Y829" s="843">
        <f t="shared" si="420"/>
        <v>22844261.5</v>
      </c>
      <c r="Z829" s="844">
        <f t="shared" si="420"/>
        <v>7750551.7800000003</v>
      </c>
      <c r="AA829" s="845">
        <f t="shared" si="420"/>
        <v>7750551.7800000003</v>
      </c>
      <c r="AB829" s="51"/>
      <c r="AC829" s="882">
        <f t="shared" ref="AC829:AH829" si="421">+ROUND(+SUM(AC14:AC828),2)</f>
        <v>65153601.780000001</v>
      </c>
      <c r="AD829" s="883">
        <f t="shared" si="421"/>
        <v>65153601.780000001</v>
      </c>
      <c r="AE829" s="884">
        <f t="shared" si="421"/>
        <v>2850562.06</v>
      </c>
      <c r="AF829" s="885">
        <f t="shared" si="421"/>
        <v>2850562.06</v>
      </c>
      <c r="AG829" s="886">
        <f t="shared" si="421"/>
        <v>67707531.260000005</v>
      </c>
      <c r="AH829" s="887">
        <f t="shared" si="421"/>
        <v>67707531.260000005</v>
      </c>
      <c r="AI829" s="51"/>
      <c r="AJ829" s="1536" t="str">
        <f t="shared" si="412"/>
        <v xml:space="preserve"> 1-7</v>
      </c>
      <c r="AK829" s="1537">
        <f t="shared" ref="AK829:AP829" si="422">+ROUND(+SUM(AK14:AK828),2)</f>
        <v>90567007.890000001</v>
      </c>
      <c r="AL829" s="1538">
        <f t="shared" si="422"/>
        <v>90567007.890000001</v>
      </c>
      <c r="AM829" s="1539">
        <f t="shared" si="422"/>
        <v>78215936.810000002</v>
      </c>
      <c r="AN829" s="1540">
        <f t="shared" si="422"/>
        <v>78215936.810000002</v>
      </c>
      <c r="AO829" s="1539">
        <f t="shared" si="422"/>
        <v>105929773.52</v>
      </c>
      <c r="AP829" s="1541">
        <f t="shared" si="422"/>
        <v>105929773.52</v>
      </c>
      <c r="AQ829" s="43"/>
      <c r="AR829" s="361">
        <f>+ROUND(+SUM(AR14:AR828),2)</f>
        <v>0</v>
      </c>
      <c r="AS829" s="362">
        <f>+ROUND(+SUM(AS14:AS828),2)</f>
        <v>0</v>
      </c>
      <c r="AT829" s="363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406"/>
      <c r="J831" s="406"/>
      <c r="K831" s="406"/>
      <c r="L831" s="407"/>
      <c r="M831" s="51" t="s">
        <v>265</v>
      </c>
      <c r="N831" s="408">
        <v>9</v>
      </c>
      <c r="O831" s="409"/>
      <c r="P831" s="410"/>
      <c r="Q831" s="411"/>
      <c r="R831" s="410"/>
      <c r="S831" s="411"/>
      <c r="T831" s="412"/>
      <c r="U831" s="51"/>
      <c r="V831" s="409"/>
      <c r="W831" s="410"/>
      <c r="X831" s="411"/>
      <c r="Y831" s="410"/>
      <c r="Z831" s="411"/>
      <c r="AA831" s="412"/>
      <c r="AB831" s="51"/>
      <c r="AC831" s="409"/>
      <c r="AD831" s="410"/>
      <c r="AE831" s="411"/>
      <c r="AF831" s="410"/>
      <c r="AG831" s="411"/>
      <c r="AH831" s="412"/>
      <c r="AI831" s="51"/>
      <c r="AJ831" s="413">
        <f t="shared" ref="AJ831:AJ890" si="423">+N831</f>
        <v>9</v>
      </c>
      <c r="AK831" s="409"/>
      <c r="AL831" s="410"/>
      <c r="AM831" s="411"/>
      <c r="AN831" s="410"/>
      <c r="AO831" s="411"/>
      <c r="AP831" s="412"/>
      <c r="AQ831" s="43"/>
      <c r="AR831" s="414"/>
      <c r="AS831" s="415"/>
      <c r="AT831" s="416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23"/>
      <c r="P832" s="329">
        <v>0</v>
      </c>
      <c r="Q832" s="325"/>
      <c r="R832" s="324"/>
      <c r="S832" s="326">
        <f>+IF(ABS(+O832+Q832)&gt;=ABS(P832+R832),+O832-P832+Q832-R832,0)</f>
        <v>0</v>
      </c>
      <c r="T832" s="331">
        <v>0</v>
      </c>
      <c r="U832" s="51"/>
      <c r="V832" s="543">
        <f>+'NF-KSF-TRIAL-BAL-2021'!O832+'RA-TRIAL-BAL-2021'!O832+'DES-TRIAL-BAL-2021'!O832+'DMP-TRIAL-BAL-2021'!O832</f>
        <v>0</v>
      </c>
      <c r="W832" s="526">
        <f>+'NF-KSF-TRIAL-BAL-2021'!P832+'RA-TRIAL-BAL-2021'!P832+'DES-TRIAL-BAL-2021'!P832+'DMP-TRIAL-BAL-2021'!P832</f>
        <v>0</v>
      </c>
      <c r="X832" s="525">
        <f>+'NF-KSF-TRIAL-BAL-2021'!Q832+'RA-TRIAL-BAL-2021'!Q832+'DES-TRIAL-BAL-2021'!Q832+'DMP-TRIAL-BAL-2021'!Q832</f>
        <v>0</v>
      </c>
      <c r="Y832" s="526">
        <f>+'NF-KSF-TRIAL-BAL-2021'!R832+'RA-TRIAL-BAL-2021'!R832+'DES-TRIAL-BAL-2021'!R832+'DMP-TRIAL-BAL-2021'!R832</f>
        <v>0</v>
      </c>
      <c r="Z832" s="525">
        <f>+'NF-KSF-TRIAL-BAL-2021'!S832+'RA-TRIAL-BAL-2021'!S832+'DES-TRIAL-BAL-2021'!S832+'DMP-TRIAL-BAL-2021'!S832</f>
        <v>0</v>
      </c>
      <c r="AA832" s="527">
        <f>+'NF-KSF-TRIAL-BAL-2021'!T832+'RA-TRIAL-BAL-2021'!T832+'DES-TRIAL-BAL-2021'!T832+'DMP-TRIAL-BAL-2021'!T832</f>
        <v>0</v>
      </c>
      <c r="AB832" s="51"/>
      <c r="AC832" s="323"/>
      <c r="AD832" s="329">
        <v>0</v>
      </c>
      <c r="AE832" s="325"/>
      <c r="AF832" s="324"/>
      <c r="AG832" s="326">
        <f>+IF(ABS(+AC832+AE832)&gt;=ABS(AD832+AF832),+AC832-AD832+AE832-AF832,0)</f>
        <v>0</v>
      </c>
      <c r="AH832" s="331">
        <v>0</v>
      </c>
      <c r="AI832" s="51"/>
      <c r="AJ832" s="1496">
        <f t="shared" si="423"/>
        <v>9110</v>
      </c>
      <c r="AK832" s="951">
        <f>+ROUND(+O832+V832+AC832,2)</f>
        <v>0</v>
      </c>
      <c r="AL832" s="329">
        <v>0</v>
      </c>
      <c r="AM832" s="326">
        <f t="shared" ref="AM832:AN837" si="425">+ROUND(+Q832+X832+AE832,2)</f>
        <v>0</v>
      </c>
      <c r="AN832" s="970">
        <f t="shared" si="425"/>
        <v>0</v>
      </c>
      <c r="AO832" s="27">
        <f>+S832+Z832+AG832</f>
        <v>0</v>
      </c>
      <c r="AP832" s="331">
        <v>0</v>
      </c>
      <c r="AQ832" s="43"/>
      <c r="AR832" s="358">
        <f t="shared" ref="AR832:AR887" si="426">+ROUND(+SUM(AK832-AL832)-SUM(O832-P832)-SUM(V832-W832)-SUM(AC832-AD832),2)</f>
        <v>0</v>
      </c>
      <c r="AS832" s="359">
        <f t="shared" ref="AS832:AS887" si="427">+ROUND(+SUM(AM832-AN832)-SUM(Q832-R832)-SUM(X832-Y832)-SUM(AE832-AF832),2)</f>
        <v>0</v>
      </c>
      <c r="AT832" s="360">
        <f t="shared" ref="AT832:AT887" si="428">+ROUND(+SUM(AO832-AP832)-SUM(S832-T832)-SUM(Z832-AA832)-SUM(AG832-AH832),2)</f>
        <v>0</v>
      </c>
      <c r="AU832" s="43"/>
      <c r="AV832" s="2120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120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 t="s">
        <v>265</v>
      </c>
      <c r="N833" s="113">
        <f t="shared" si="424"/>
        <v>9120</v>
      </c>
      <c r="O833" s="120">
        <v>634710.81000000006</v>
      </c>
      <c r="P833" s="9">
        <v>0</v>
      </c>
      <c r="Q833" s="122"/>
      <c r="R833" s="121"/>
      <c r="S833" s="27">
        <f>+IF(ABS(+O833+Q833)&gt;=ABS(P833+R833),+O833-P833+Q833-R833,0)</f>
        <v>634710.81000000006</v>
      </c>
      <c r="T833" s="30">
        <v>0</v>
      </c>
      <c r="U833" s="51"/>
      <c r="V833" s="541">
        <f>+'NF-KSF-TRIAL-BAL-2021'!O833+'RA-TRIAL-BAL-2021'!O833+'DES-TRIAL-BAL-2021'!O833+'DMP-TRIAL-BAL-2021'!O833</f>
        <v>0</v>
      </c>
      <c r="W833" s="529">
        <f>+'NF-KSF-TRIAL-BAL-2021'!P833+'RA-TRIAL-BAL-2021'!P833+'DES-TRIAL-BAL-2021'!P833+'DMP-TRIAL-BAL-2021'!P833</f>
        <v>0</v>
      </c>
      <c r="X833" s="528">
        <f>+'NF-KSF-TRIAL-BAL-2021'!Q833+'RA-TRIAL-BAL-2021'!Q833+'DES-TRIAL-BAL-2021'!Q833+'DMP-TRIAL-BAL-2021'!Q833</f>
        <v>0</v>
      </c>
      <c r="Y833" s="529">
        <f>+'NF-KSF-TRIAL-BAL-2021'!R833+'RA-TRIAL-BAL-2021'!R833+'DES-TRIAL-BAL-2021'!R833+'DMP-TRIAL-BAL-2021'!R833</f>
        <v>0</v>
      </c>
      <c r="Z833" s="528">
        <f>+'NF-KSF-TRIAL-BAL-2021'!S833+'RA-TRIAL-BAL-2021'!S833+'DES-TRIAL-BAL-2021'!S833+'DMP-TRIAL-BAL-2021'!S833</f>
        <v>0</v>
      </c>
      <c r="AA833" s="347">
        <f>+'NF-KSF-TRIAL-BAL-2021'!T833+'RA-TRIAL-BAL-2021'!T833+'DES-TRIAL-BAL-2021'!T833+'DMP-TRIAL-BAL-2021'!T833</f>
        <v>0</v>
      </c>
      <c r="AB833" s="51"/>
      <c r="AC833" s="120"/>
      <c r="AD833" s="9">
        <v>0</v>
      </c>
      <c r="AE833" s="122"/>
      <c r="AF833" s="324"/>
      <c r="AG833" s="27">
        <f>+IF(ABS(+AC833+AE833)&gt;=ABS(AD833+AF833),+AC833-AD833+AE833-AF833,0)</f>
        <v>0</v>
      </c>
      <c r="AH833" s="30">
        <v>0</v>
      </c>
      <c r="AI833" s="51"/>
      <c r="AJ833" s="1497">
        <f t="shared" si="423"/>
        <v>9120</v>
      </c>
      <c r="AK833" s="951">
        <f>+ROUND(+O833+V833+AC833,2)</f>
        <v>634710.81000000006</v>
      </c>
      <c r="AL833" s="9">
        <v>0</v>
      </c>
      <c r="AM833" s="326">
        <f t="shared" si="425"/>
        <v>0</v>
      </c>
      <c r="AN833" s="970">
        <f t="shared" si="425"/>
        <v>0</v>
      </c>
      <c r="AO833" s="27">
        <f>+S833+Z833+AG833</f>
        <v>634710.81000000006</v>
      </c>
      <c r="AP833" s="331">
        <v>0</v>
      </c>
      <c r="AQ833" s="43"/>
      <c r="AR833" s="358">
        <f t="shared" si="426"/>
        <v>0</v>
      </c>
      <c r="AS833" s="359">
        <f t="shared" si="427"/>
        <v>0</v>
      </c>
      <c r="AT833" s="360">
        <f t="shared" si="428"/>
        <v>0</v>
      </c>
      <c r="AU833" s="43"/>
      <c r="AV833" s="2120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120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41">
        <f>+'NF-KSF-TRIAL-BAL-2021'!O834+'RA-TRIAL-BAL-2021'!O834+'DES-TRIAL-BAL-2021'!O834+'DMP-TRIAL-BAL-2021'!O834</f>
        <v>0</v>
      </c>
      <c r="W834" s="529">
        <f>+'NF-KSF-TRIAL-BAL-2021'!P834+'RA-TRIAL-BAL-2021'!P834+'DES-TRIAL-BAL-2021'!P834+'DMP-TRIAL-BAL-2021'!P834</f>
        <v>0</v>
      </c>
      <c r="X834" s="528">
        <f>+'NF-KSF-TRIAL-BAL-2021'!Q834+'RA-TRIAL-BAL-2021'!Q834+'DES-TRIAL-BAL-2021'!Q834+'DMP-TRIAL-BAL-2021'!Q834</f>
        <v>0</v>
      </c>
      <c r="Y834" s="529">
        <f>+'NF-KSF-TRIAL-BAL-2021'!R834+'RA-TRIAL-BAL-2021'!R834+'DES-TRIAL-BAL-2021'!R834+'DMP-TRIAL-BAL-2021'!R834</f>
        <v>0</v>
      </c>
      <c r="Z834" s="528">
        <f>+'NF-KSF-TRIAL-BAL-2021'!S834+'RA-TRIAL-BAL-2021'!S834+'DES-TRIAL-BAL-2021'!S834+'DMP-TRIAL-BAL-2021'!S834</f>
        <v>0</v>
      </c>
      <c r="AA834" s="347">
        <f>+'NF-KSF-TRIAL-BAL-2021'!T834+'RA-TRIAL-BAL-2021'!T834+'DES-TRIAL-BAL-2021'!T834+'DMP-TRIAL-BAL-2021'!T834</f>
        <v>0</v>
      </c>
      <c r="AB834" s="51"/>
      <c r="AC834" s="120"/>
      <c r="AD834" s="9">
        <v>0</v>
      </c>
      <c r="AE834" s="122"/>
      <c r="AF834" s="324"/>
      <c r="AG834" s="27">
        <f>+IF(ABS(+AC834+AE834)&gt;=ABS(AD834+AF834),+AC834-AD834+AE834-AF834,0)</f>
        <v>0</v>
      </c>
      <c r="AH834" s="30">
        <v>0</v>
      </c>
      <c r="AI834" s="51"/>
      <c r="AJ834" s="1497">
        <f t="shared" si="423"/>
        <v>9130</v>
      </c>
      <c r="AK834" s="951">
        <f>+ROUND(+O834+V834+AC834,2)</f>
        <v>0</v>
      </c>
      <c r="AL834" s="9">
        <v>0</v>
      </c>
      <c r="AM834" s="326">
        <f t="shared" si="425"/>
        <v>0</v>
      </c>
      <c r="AN834" s="970">
        <f t="shared" si="425"/>
        <v>0</v>
      </c>
      <c r="AO834" s="27">
        <f>+S834+Z834+AG834</f>
        <v>0</v>
      </c>
      <c r="AP834" s="331">
        <v>0</v>
      </c>
      <c r="AQ834" s="43"/>
      <c r="AR834" s="358">
        <f t="shared" si="426"/>
        <v>0</v>
      </c>
      <c r="AS834" s="359">
        <f t="shared" si="427"/>
        <v>0</v>
      </c>
      <c r="AT834" s="360">
        <f t="shared" si="428"/>
        <v>0</v>
      </c>
      <c r="AU834" s="43"/>
      <c r="AV834" s="2120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120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 t="s">
        <v>265</v>
      </c>
      <c r="N835" s="113">
        <f t="shared" si="424"/>
        <v>9200</v>
      </c>
      <c r="O835" s="8">
        <v>0</v>
      </c>
      <c r="P835" s="121">
        <v>767796.14</v>
      </c>
      <c r="Q835" s="122">
        <v>1811736.18</v>
      </c>
      <c r="R835" s="324">
        <v>5284684.07</v>
      </c>
      <c r="S835" s="29">
        <v>0</v>
      </c>
      <c r="T835" s="28">
        <f>+IF(ABS(+O835+Q835)&lt;=ABS(P835+R835),-O835+P835-Q835+R835,0)</f>
        <v>4240744.03</v>
      </c>
      <c r="U835" s="51"/>
      <c r="V835" s="541">
        <f>+'NF-KSF-TRIAL-BAL-2021'!O835+'RA-TRIAL-BAL-2021'!O835+'DES-TRIAL-BAL-2021'!O835+'DMP-TRIAL-BAL-2021'!O835</f>
        <v>0</v>
      </c>
      <c r="W835" s="529">
        <f>+'NF-KSF-TRIAL-BAL-2021'!P835+'RA-TRIAL-BAL-2021'!P835+'DES-TRIAL-BAL-2021'!P835+'DMP-TRIAL-BAL-2021'!P835</f>
        <v>1427278.03</v>
      </c>
      <c r="X835" s="528">
        <f>+'NF-KSF-TRIAL-BAL-2021'!Q835+'RA-TRIAL-BAL-2021'!Q835+'DES-TRIAL-BAL-2021'!Q835+'DMP-TRIAL-BAL-2021'!Q835</f>
        <v>1284523.33</v>
      </c>
      <c r="Y835" s="529">
        <f>+'NF-KSF-TRIAL-BAL-2021'!R835+'RA-TRIAL-BAL-2021'!R835+'DES-TRIAL-BAL-2021'!R835+'DMP-TRIAL-BAL-2021'!R835</f>
        <v>574619.83000000007</v>
      </c>
      <c r="Z835" s="528">
        <f>+'NF-KSF-TRIAL-BAL-2021'!S835+'RA-TRIAL-BAL-2021'!S835+'DES-TRIAL-BAL-2021'!S835+'DMP-TRIAL-BAL-2021'!S835</f>
        <v>0</v>
      </c>
      <c r="AA835" s="347">
        <f>+'NF-KSF-TRIAL-BAL-2021'!T835+'RA-TRIAL-BAL-2021'!T835+'DES-TRIAL-BAL-2021'!T835+'DMP-TRIAL-BAL-2021'!T835</f>
        <v>717374.53</v>
      </c>
      <c r="AB835" s="51"/>
      <c r="AC835" s="8">
        <v>0</v>
      </c>
      <c r="AD835" s="121"/>
      <c r="AE835" s="122"/>
      <c r="AF835" s="324"/>
      <c r="AG835" s="29">
        <v>0</v>
      </c>
      <c r="AH835" s="28">
        <f>+IF(ABS(+AC835+AE835)&lt;=ABS(AD835+AF835),-AC835+AD835-AE835+AF835,0)</f>
        <v>0</v>
      </c>
      <c r="AI835" s="51"/>
      <c r="AJ835" s="1497">
        <f t="shared" si="423"/>
        <v>9200</v>
      </c>
      <c r="AK835" s="8">
        <v>0</v>
      </c>
      <c r="AL835" s="970">
        <f>+ROUND(+P835+W835+AD835,2)</f>
        <v>2195074.17</v>
      </c>
      <c r="AM835" s="326">
        <f t="shared" si="425"/>
        <v>3096259.51</v>
      </c>
      <c r="AN835" s="970">
        <f t="shared" si="425"/>
        <v>5859303.9000000004</v>
      </c>
      <c r="AO835" s="330">
        <v>0</v>
      </c>
      <c r="AP835" s="28">
        <f>+T835+AA835+AH835</f>
        <v>4958118.5600000005</v>
      </c>
      <c r="AQ835" s="43"/>
      <c r="AR835" s="358">
        <f t="shared" si="426"/>
        <v>0</v>
      </c>
      <c r="AS835" s="359">
        <f t="shared" si="427"/>
        <v>0</v>
      </c>
      <c r="AT835" s="360">
        <f t="shared" si="428"/>
        <v>0</v>
      </c>
      <c r="AU835" s="43"/>
      <c r="AV835" s="2119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119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24"/>
      <c r="S836" s="29">
        <v>0</v>
      </c>
      <c r="T836" s="28">
        <f>+IF(ABS(+O836+Q836)&lt;=ABS(P836+R836),-O836+P836-Q836+R836,0)</f>
        <v>0</v>
      </c>
      <c r="U836" s="51"/>
      <c r="V836" s="541">
        <f>+'NF-KSF-TRIAL-BAL-2021'!O836+'RA-TRIAL-BAL-2021'!O836+'DES-TRIAL-BAL-2021'!O836+'DMP-TRIAL-BAL-2021'!O836</f>
        <v>0</v>
      </c>
      <c r="W836" s="529">
        <f>+'NF-KSF-TRIAL-BAL-2021'!P836+'RA-TRIAL-BAL-2021'!P836+'DES-TRIAL-BAL-2021'!P836+'DMP-TRIAL-BAL-2021'!P836</f>
        <v>0</v>
      </c>
      <c r="X836" s="528">
        <f>+'NF-KSF-TRIAL-BAL-2021'!Q836+'RA-TRIAL-BAL-2021'!Q836+'DES-TRIAL-BAL-2021'!Q836+'DMP-TRIAL-BAL-2021'!Q836</f>
        <v>0</v>
      </c>
      <c r="Y836" s="529">
        <f>+'NF-KSF-TRIAL-BAL-2021'!R836+'RA-TRIAL-BAL-2021'!R836+'DES-TRIAL-BAL-2021'!R836+'DMP-TRIAL-BAL-2021'!R836</f>
        <v>0</v>
      </c>
      <c r="Z836" s="528">
        <f>+'NF-KSF-TRIAL-BAL-2021'!S836+'RA-TRIAL-BAL-2021'!S836+'DES-TRIAL-BAL-2021'!S836+'DMP-TRIAL-BAL-2021'!S836</f>
        <v>0</v>
      </c>
      <c r="AA836" s="347">
        <f>+'NF-KSF-TRIAL-BAL-2021'!T836+'RA-TRIAL-BAL-2021'!T836+'DES-TRIAL-BAL-2021'!T836+'DMP-TRIAL-BAL-2021'!T836</f>
        <v>0</v>
      </c>
      <c r="AB836" s="51"/>
      <c r="AC836" s="8">
        <v>0</v>
      </c>
      <c r="AD836" s="121"/>
      <c r="AE836" s="122"/>
      <c r="AF836" s="324"/>
      <c r="AG836" s="29">
        <v>0</v>
      </c>
      <c r="AH836" s="28">
        <f>+IF(ABS(+AC836+AE836)&lt;=ABS(AD836+AF836),-AC836+AD836-AE836+AF836,0)</f>
        <v>0</v>
      </c>
      <c r="AI836" s="51"/>
      <c r="AJ836" s="1497">
        <f t="shared" si="423"/>
        <v>9208</v>
      </c>
      <c r="AK836" s="8">
        <v>0</v>
      </c>
      <c r="AL836" s="970">
        <f>+ROUND(+P836+W836+AD836,2)</f>
        <v>0</v>
      </c>
      <c r="AM836" s="326">
        <f t="shared" si="425"/>
        <v>0</v>
      </c>
      <c r="AN836" s="970">
        <f t="shared" si="425"/>
        <v>0</v>
      </c>
      <c r="AO836" s="330">
        <v>0</v>
      </c>
      <c r="AP836" s="28">
        <f>+T836+AA836+AH836</f>
        <v>0</v>
      </c>
      <c r="AQ836" s="43"/>
      <c r="AR836" s="358">
        <f t="shared" si="426"/>
        <v>0</v>
      </c>
      <c r="AS836" s="359">
        <f t="shared" si="427"/>
        <v>0</v>
      </c>
      <c r="AT836" s="360">
        <f t="shared" si="428"/>
        <v>0</v>
      </c>
      <c r="AU836" s="43"/>
      <c r="AV836" s="2119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119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24"/>
      <c r="S837" s="27">
        <f>+IF(ABS(+O837+Q837)&gt;=ABS(P837+R837),+O837-P837+Q837-R837,0)</f>
        <v>0</v>
      </c>
      <c r="T837" s="30">
        <v>0</v>
      </c>
      <c r="U837" s="51"/>
      <c r="V837" s="541">
        <f>+'NF-KSF-TRIAL-BAL-2021'!O837+'RA-TRIAL-BAL-2021'!O837+'DES-TRIAL-BAL-2021'!O837+'DMP-TRIAL-BAL-2021'!O837</f>
        <v>0</v>
      </c>
      <c r="W837" s="529">
        <f>+'NF-KSF-TRIAL-BAL-2021'!P837+'RA-TRIAL-BAL-2021'!P837+'DES-TRIAL-BAL-2021'!P837+'DMP-TRIAL-BAL-2021'!P837</f>
        <v>0</v>
      </c>
      <c r="X837" s="528">
        <f>+'NF-KSF-TRIAL-BAL-2021'!Q837+'RA-TRIAL-BAL-2021'!Q837+'DES-TRIAL-BAL-2021'!Q837+'DMP-TRIAL-BAL-2021'!Q837</f>
        <v>0</v>
      </c>
      <c r="Y837" s="529">
        <f>+'NF-KSF-TRIAL-BAL-2021'!R837+'RA-TRIAL-BAL-2021'!R837+'DES-TRIAL-BAL-2021'!R837+'DMP-TRIAL-BAL-2021'!R837</f>
        <v>0</v>
      </c>
      <c r="Z837" s="528">
        <f>+'NF-KSF-TRIAL-BAL-2021'!S837+'RA-TRIAL-BAL-2021'!S837+'DES-TRIAL-BAL-2021'!S837+'DMP-TRIAL-BAL-2021'!S837</f>
        <v>0</v>
      </c>
      <c r="AA837" s="347">
        <f>+'NF-KSF-TRIAL-BAL-2021'!T837+'RA-TRIAL-BAL-2021'!T837+'DES-TRIAL-BAL-2021'!T837+'DMP-TRIAL-BAL-2021'!T837</f>
        <v>0</v>
      </c>
      <c r="AB837" s="51"/>
      <c r="AC837" s="120"/>
      <c r="AD837" s="9">
        <v>0</v>
      </c>
      <c r="AE837" s="122"/>
      <c r="AF837" s="324"/>
      <c r="AG837" s="27">
        <f>+IF(ABS(+AC837+AE837)&gt;=ABS(AD837+AF837),+AC837-AD837+AE837-AF837,0)</f>
        <v>0</v>
      </c>
      <c r="AH837" s="30">
        <v>0</v>
      </c>
      <c r="AI837" s="51"/>
      <c r="AJ837" s="1497">
        <f>+N837</f>
        <v>9211</v>
      </c>
      <c r="AK837" s="951">
        <f>+ROUND(+O837+V837+AC837,2)</f>
        <v>0</v>
      </c>
      <c r="AL837" s="9">
        <v>0</v>
      </c>
      <c r="AM837" s="326">
        <f t="shared" si="425"/>
        <v>0</v>
      </c>
      <c r="AN837" s="970">
        <f t="shared" si="425"/>
        <v>0</v>
      </c>
      <c r="AO837" s="27">
        <f>+S837+Z837+AG837</f>
        <v>0</v>
      </c>
      <c r="AP837" s="331">
        <v>0</v>
      </c>
      <c r="AQ837" s="43"/>
      <c r="AR837" s="358">
        <f t="shared" si="426"/>
        <v>0</v>
      </c>
      <c r="AS837" s="359">
        <f t="shared" si="427"/>
        <v>0</v>
      </c>
      <c r="AT837" s="360">
        <f t="shared" si="428"/>
        <v>0</v>
      </c>
      <c r="AU837" s="43"/>
      <c r="AV837" s="2120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120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24"/>
      <c r="S838" s="27">
        <f>+IF(ABS(+O838+Q838)&gt;=ABS(P838+R838),+O838-P838+Q838-R838,0)</f>
        <v>0</v>
      </c>
      <c r="T838" s="30">
        <v>0</v>
      </c>
      <c r="U838" s="51"/>
      <c r="V838" s="541">
        <f>+'NF-KSF-TRIAL-BAL-2021'!O838+'RA-TRIAL-BAL-2021'!O838+'DES-TRIAL-BAL-2021'!O838+'DMP-TRIAL-BAL-2021'!O838</f>
        <v>0</v>
      </c>
      <c r="W838" s="529">
        <f>+'NF-KSF-TRIAL-BAL-2021'!P838+'RA-TRIAL-BAL-2021'!P838+'DES-TRIAL-BAL-2021'!P838+'DMP-TRIAL-BAL-2021'!P838</f>
        <v>0</v>
      </c>
      <c r="X838" s="528">
        <f>+'NF-KSF-TRIAL-BAL-2021'!Q838+'RA-TRIAL-BAL-2021'!Q838+'DES-TRIAL-BAL-2021'!Q838+'DMP-TRIAL-BAL-2021'!Q838</f>
        <v>0</v>
      </c>
      <c r="Y838" s="529">
        <f>+'NF-KSF-TRIAL-BAL-2021'!R838+'RA-TRIAL-BAL-2021'!R838+'DES-TRIAL-BAL-2021'!R838+'DMP-TRIAL-BAL-2021'!R838</f>
        <v>0</v>
      </c>
      <c r="Z838" s="528">
        <f>+'NF-KSF-TRIAL-BAL-2021'!S838+'RA-TRIAL-BAL-2021'!S838+'DES-TRIAL-BAL-2021'!S838+'DMP-TRIAL-BAL-2021'!S838</f>
        <v>0</v>
      </c>
      <c r="AA838" s="347">
        <f>+'NF-KSF-TRIAL-BAL-2021'!T838+'RA-TRIAL-BAL-2021'!T838+'DES-TRIAL-BAL-2021'!T838+'DMP-TRIAL-BAL-2021'!T838</f>
        <v>0</v>
      </c>
      <c r="AB838" s="51"/>
      <c r="AC838" s="120"/>
      <c r="AD838" s="9">
        <v>0</v>
      </c>
      <c r="AE838" s="122"/>
      <c r="AF838" s="324"/>
      <c r="AG838" s="27">
        <f>+IF(ABS(+AC838+AE838)&gt;=ABS(AD838+AF838),+AC838-AD838+AE838-AF838,0)</f>
        <v>0</v>
      </c>
      <c r="AH838" s="30">
        <v>0</v>
      </c>
      <c r="AI838" s="51"/>
      <c r="AJ838" s="1497">
        <f t="shared" si="423"/>
        <v>9212</v>
      </c>
      <c r="AK838" s="951">
        <f>+ROUND(+O838+V838+AC838,2)</f>
        <v>0</v>
      </c>
      <c r="AL838" s="9">
        <v>0</v>
      </c>
      <c r="AM838" s="326">
        <f t="shared" ref="AM838:AN887" si="429">+ROUND(+Q838+X838+AE838,2)</f>
        <v>0</v>
      </c>
      <c r="AN838" s="970">
        <f t="shared" si="429"/>
        <v>0</v>
      </c>
      <c r="AO838" s="27">
        <f>+S838+Z838+AG838</f>
        <v>0</v>
      </c>
      <c r="AP838" s="331">
        <v>0</v>
      </c>
      <c r="AQ838" s="43"/>
      <c r="AR838" s="358">
        <f t="shared" si="426"/>
        <v>0</v>
      </c>
      <c r="AS838" s="359">
        <f t="shared" si="427"/>
        <v>0</v>
      </c>
      <c r="AT838" s="360">
        <f t="shared" si="428"/>
        <v>0</v>
      </c>
      <c r="AU838" s="43"/>
      <c r="AV838" s="2120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120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 t="s">
        <v>265</v>
      </c>
      <c r="N839" s="113">
        <f t="shared" si="424"/>
        <v>9214</v>
      </c>
      <c r="O839" s="120"/>
      <c r="P839" s="9">
        <v>0</v>
      </c>
      <c r="Q839" s="122"/>
      <c r="R839" s="324"/>
      <c r="S839" s="27">
        <f>+IF(ABS(+O839+Q839)&gt;=ABS(P839+R839),+O839-P839+Q839-R839,0)</f>
        <v>0</v>
      </c>
      <c r="T839" s="30">
        <v>0</v>
      </c>
      <c r="U839" s="51"/>
      <c r="V839" s="541">
        <f>+'NF-KSF-TRIAL-BAL-2021'!O839+'RA-TRIAL-BAL-2021'!O839+'DES-TRIAL-BAL-2021'!O839+'DMP-TRIAL-BAL-2021'!O839</f>
        <v>477220.38</v>
      </c>
      <c r="W839" s="529">
        <f>+'NF-KSF-TRIAL-BAL-2021'!P839+'RA-TRIAL-BAL-2021'!P839+'DES-TRIAL-BAL-2021'!P839+'DMP-TRIAL-BAL-2021'!P839</f>
        <v>0</v>
      </c>
      <c r="X839" s="528">
        <f>+'NF-KSF-TRIAL-BAL-2021'!Q839+'RA-TRIAL-BAL-2021'!Q839+'DES-TRIAL-BAL-2021'!Q839+'DMP-TRIAL-BAL-2021'!Q839</f>
        <v>59767.869999999995</v>
      </c>
      <c r="Y839" s="529">
        <f>+'NF-KSF-TRIAL-BAL-2021'!R839+'RA-TRIAL-BAL-2021'!R839+'DES-TRIAL-BAL-2021'!R839+'DMP-TRIAL-BAL-2021'!R839</f>
        <v>56021.7</v>
      </c>
      <c r="Z839" s="528">
        <f>+'NF-KSF-TRIAL-BAL-2021'!S839+'RA-TRIAL-BAL-2021'!S839+'DES-TRIAL-BAL-2021'!S839+'DMP-TRIAL-BAL-2021'!S839</f>
        <v>480966.55</v>
      </c>
      <c r="AA839" s="347">
        <f>+'NF-KSF-TRIAL-BAL-2021'!T839+'RA-TRIAL-BAL-2021'!T839+'DES-TRIAL-BAL-2021'!T839+'DMP-TRIAL-BAL-2021'!T839</f>
        <v>0</v>
      </c>
      <c r="AB839" s="51"/>
      <c r="AC839" s="120"/>
      <c r="AD839" s="9">
        <v>0</v>
      </c>
      <c r="AE839" s="122"/>
      <c r="AF839" s="324"/>
      <c r="AG839" s="27">
        <f>+IF(ABS(+AC839+AE839)&gt;=ABS(AD839+AF839),+AC839-AD839+AE839-AF839,0)</f>
        <v>0</v>
      </c>
      <c r="AH839" s="30">
        <v>0</v>
      </c>
      <c r="AI839" s="51"/>
      <c r="AJ839" s="1497">
        <f t="shared" si="423"/>
        <v>9214</v>
      </c>
      <c r="AK839" s="951">
        <f>+ROUND(+O839+V839+AC839,2)</f>
        <v>477220.38</v>
      </c>
      <c r="AL839" s="9">
        <v>0</v>
      </c>
      <c r="AM839" s="326">
        <f t="shared" si="429"/>
        <v>59767.87</v>
      </c>
      <c r="AN839" s="970">
        <f t="shared" si="429"/>
        <v>56021.7</v>
      </c>
      <c r="AO839" s="27">
        <f>+S839+Z839+AG839</f>
        <v>480966.55</v>
      </c>
      <c r="AP839" s="331">
        <v>0</v>
      </c>
      <c r="AQ839" s="43"/>
      <c r="AR839" s="358">
        <f t="shared" si="426"/>
        <v>0</v>
      </c>
      <c r="AS839" s="359">
        <f t="shared" si="427"/>
        <v>0</v>
      </c>
      <c r="AT839" s="360">
        <f t="shared" si="428"/>
        <v>0</v>
      </c>
      <c r="AU839" s="43"/>
      <c r="AV839" s="2120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120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24"/>
      <c r="S840" s="27">
        <f>+IF(ABS(+O840+Q840)&gt;=ABS(P840+R840),+O840-P840+Q840-R840,0)</f>
        <v>0</v>
      </c>
      <c r="T840" s="30">
        <v>0</v>
      </c>
      <c r="U840" s="51"/>
      <c r="V840" s="541">
        <f>+'NF-KSF-TRIAL-BAL-2021'!O840+'RA-TRIAL-BAL-2021'!O840+'DES-TRIAL-BAL-2021'!O840+'DMP-TRIAL-BAL-2021'!O840</f>
        <v>0</v>
      </c>
      <c r="W840" s="529">
        <f>+'NF-KSF-TRIAL-BAL-2021'!P840+'RA-TRIAL-BAL-2021'!P840+'DES-TRIAL-BAL-2021'!P840+'DMP-TRIAL-BAL-2021'!P840</f>
        <v>0</v>
      </c>
      <c r="X840" s="528">
        <f>+'NF-KSF-TRIAL-BAL-2021'!Q840+'RA-TRIAL-BAL-2021'!Q840+'DES-TRIAL-BAL-2021'!Q840+'DMP-TRIAL-BAL-2021'!Q840</f>
        <v>0</v>
      </c>
      <c r="Y840" s="529">
        <f>+'NF-KSF-TRIAL-BAL-2021'!R840+'RA-TRIAL-BAL-2021'!R840+'DES-TRIAL-BAL-2021'!R840+'DMP-TRIAL-BAL-2021'!R840</f>
        <v>0</v>
      </c>
      <c r="Z840" s="528">
        <f>+'NF-KSF-TRIAL-BAL-2021'!S840+'RA-TRIAL-BAL-2021'!S840+'DES-TRIAL-BAL-2021'!S840+'DMP-TRIAL-BAL-2021'!S840</f>
        <v>0</v>
      </c>
      <c r="AA840" s="347">
        <f>+'NF-KSF-TRIAL-BAL-2021'!T840+'RA-TRIAL-BAL-2021'!T840+'DES-TRIAL-BAL-2021'!T840+'DMP-TRIAL-BAL-2021'!T840</f>
        <v>0</v>
      </c>
      <c r="AB840" s="51"/>
      <c r="AC840" s="120"/>
      <c r="AD840" s="9">
        <v>0</v>
      </c>
      <c r="AE840" s="122"/>
      <c r="AF840" s="324"/>
      <c r="AG840" s="27">
        <f>+IF(ABS(+AC840+AE840)&gt;=ABS(AD840+AF840),+AC840-AD840+AE840-AF840,0)</f>
        <v>0</v>
      </c>
      <c r="AH840" s="30">
        <v>0</v>
      </c>
      <c r="AI840" s="51"/>
      <c r="AJ840" s="1497">
        <f t="shared" si="423"/>
        <v>9215</v>
      </c>
      <c r="AK840" s="951">
        <f>+ROUND(+O840+V840+AC840,2)</f>
        <v>0</v>
      </c>
      <c r="AL840" s="9">
        <v>0</v>
      </c>
      <c r="AM840" s="326">
        <f t="shared" si="429"/>
        <v>0</v>
      </c>
      <c r="AN840" s="970">
        <f t="shared" si="429"/>
        <v>0</v>
      </c>
      <c r="AO840" s="27">
        <f>+S840+Z840+AG840</f>
        <v>0</v>
      </c>
      <c r="AP840" s="331">
        <v>0</v>
      </c>
      <c r="AQ840" s="43"/>
      <c r="AR840" s="358">
        <f t="shared" si="426"/>
        <v>0</v>
      </c>
      <c r="AS840" s="359">
        <f t="shared" si="427"/>
        <v>0</v>
      </c>
      <c r="AT840" s="360">
        <f t="shared" si="428"/>
        <v>0</v>
      </c>
      <c r="AU840" s="43"/>
      <c r="AV840" s="2120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120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24"/>
      <c r="S841" s="27">
        <f>+IF(ABS(+O841+Q841)&gt;=ABS(P841+R841),+O841-P841+Q841-R841,0)</f>
        <v>0</v>
      </c>
      <c r="T841" s="30">
        <v>0</v>
      </c>
      <c r="U841" s="51"/>
      <c r="V841" s="541">
        <f>+'NF-KSF-TRIAL-BAL-2021'!O841+'RA-TRIAL-BAL-2021'!O841+'DES-TRIAL-BAL-2021'!O841+'DMP-TRIAL-BAL-2021'!O841</f>
        <v>0</v>
      </c>
      <c r="W841" s="529">
        <f>+'NF-KSF-TRIAL-BAL-2021'!P841+'RA-TRIAL-BAL-2021'!P841+'DES-TRIAL-BAL-2021'!P841+'DMP-TRIAL-BAL-2021'!P841</f>
        <v>0</v>
      </c>
      <c r="X841" s="528">
        <f>+'NF-KSF-TRIAL-BAL-2021'!Q841+'RA-TRIAL-BAL-2021'!Q841+'DES-TRIAL-BAL-2021'!Q841+'DMP-TRIAL-BAL-2021'!Q841</f>
        <v>0</v>
      </c>
      <c r="Y841" s="529">
        <f>+'NF-KSF-TRIAL-BAL-2021'!R841+'RA-TRIAL-BAL-2021'!R841+'DES-TRIAL-BAL-2021'!R841+'DMP-TRIAL-BAL-2021'!R841</f>
        <v>0</v>
      </c>
      <c r="Z841" s="528">
        <f>+'NF-KSF-TRIAL-BAL-2021'!S841+'RA-TRIAL-BAL-2021'!S841+'DES-TRIAL-BAL-2021'!S841+'DMP-TRIAL-BAL-2021'!S841</f>
        <v>0</v>
      </c>
      <c r="AA841" s="347">
        <f>+'NF-KSF-TRIAL-BAL-2021'!T841+'RA-TRIAL-BAL-2021'!T841+'DES-TRIAL-BAL-2021'!T841+'DMP-TRIAL-BAL-2021'!T841</f>
        <v>0</v>
      </c>
      <c r="AB841" s="51"/>
      <c r="AC841" s="120"/>
      <c r="AD841" s="9">
        <v>0</v>
      </c>
      <c r="AE841" s="122"/>
      <c r="AF841" s="324"/>
      <c r="AG841" s="27">
        <f>+IF(ABS(+AC841+AE841)&gt;=ABS(AD841+AF841),+AC841-AD841+AE841-AF841,0)</f>
        <v>0</v>
      </c>
      <c r="AH841" s="30">
        <v>0</v>
      </c>
      <c r="AI841" s="51"/>
      <c r="AJ841" s="1497">
        <f t="shared" si="423"/>
        <v>9216</v>
      </c>
      <c r="AK841" s="951">
        <f>+ROUND(+O841+V841+AC841,2)</f>
        <v>0</v>
      </c>
      <c r="AL841" s="9">
        <v>0</v>
      </c>
      <c r="AM841" s="326">
        <f t="shared" si="429"/>
        <v>0</v>
      </c>
      <c r="AN841" s="970">
        <f t="shared" si="429"/>
        <v>0</v>
      </c>
      <c r="AO841" s="27">
        <f>+S841+Z841+AG841</f>
        <v>0</v>
      </c>
      <c r="AP841" s="331">
        <v>0</v>
      </c>
      <c r="AQ841" s="43"/>
      <c r="AR841" s="358">
        <f t="shared" si="426"/>
        <v>0</v>
      </c>
      <c r="AS841" s="359">
        <f t="shared" si="427"/>
        <v>0</v>
      </c>
      <c r="AT841" s="360">
        <f t="shared" si="428"/>
        <v>0</v>
      </c>
      <c r="AU841" s="43"/>
      <c r="AV841" s="2120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120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24"/>
      <c r="S842" s="29">
        <v>0</v>
      </c>
      <c r="T842" s="28">
        <f>+IF(ABS(+O842+Q842)&lt;=ABS(P842+R842),-O842+P842-Q842+R842,0)</f>
        <v>0</v>
      </c>
      <c r="U842" s="51"/>
      <c r="V842" s="541">
        <f>+'NF-KSF-TRIAL-BAL-2021'!O842+'RA-TRIAL-BAL-2021'!O842+'DES-TRIAL-BAL-2021'!O842+'DMP-TRIAL-BAL-2021'!O842</f>
        <v>0</v>
      </c>
      <c r="W842" s="529">
        <f>+'NF-KSF-TRIAL-BAL-2021'!P842+'RA-TRIAL-BAL-2021'!P842+'DES-TRIAL-BAL-2021'!P842+'DMP-TRIAL-BAL-2021'!P842</f>
        <v>0</v>
      </c>
      <c r="X842" s="528">
        <f>+'NF-KSF-TRIAL-BAL-2021'!Q842+'RA-TRIAL-BAL-2021'!Q842+'DES-TRIAL-BAL-2021'!Q842+'DMP-TRIAL-BAL-2021'!Q842</f>
        <v>0</v>
      </c>
      <c r="Y842" s="529">
        <f>+'NF-KSF-TRIAL-BAL-2021'!R842+'RA-TRIAL-BAL-2021'!R842+'DES-TRIAL-BAL-2021'!R842+'DMP-TRIAL-BAL-2021'!R842</f>
        <v>0</v>
      </c>
      <c r="Z842" s="528">
        <f>+'NF-KSF-TRIAL-BAL-2021'!S842+'RA-TRIAL-BAL-2021'!S842+'DES-TRIAL-BAL-2021'!S842+'DMP-TRIAL-BAL-2021'!S842</f>
        <v>0</v>
      </c>
      <c r="AA842" s="347">
        <f>+'NF-KSF-TRIAL-BAL-2021'!T842+'RA-TRIAL-BAL-2021'!T842+'DES-TRIAL-BAL-2021'!T842+'DMP-TRIAL-BAL-2021'!T842</f>
        <v>0</v>
      </c>
      <c r="AB842" s="51"/>
      <c r="AC842" s="8">
        <v>0</v>
      </c>
      <c r="AD842" s="121"/>
      <c r="AE842" s="122"/>
      <c r="AF842" s="324"/>
      <c r="AG842" s="29">
        <v>0</v>
      </c>
      <c r="AH842" s="28">
        <f>+IF(ABS(+AC842+AE842)&lt;=ABS(AD842+AF842),-AC842+AD842-AE842+AF842,0)</f>
        <v>0</v>
      </c>
      <c r="AI842" s="51"/>
      <c r="AJ842" s="1497">
        <f t="shared" si="423"/>
        <v>9221</v>
      </c>
      <c r="AK842" s="328">
        <v>0</v>
      </c>
      <c r="AL842" s="970">
        <f>+ROUND(+P842+W842+AD842,2)</f>
        <v>0</v>
      </c>
      <c r="AM842" s="326">
        <f t="shared" si="429"/>
        <v>0</v>
      </c>
      <c r="AN842" s="970">
        <f t="shared" si="429"/>
        <v>0</v>
      </c>
      <c r="AO842" s="330">
        <v>0</v>
      </c>
      <c r="AP842" s="28">
        <f>+T842+AA842+AH842</f>
        <v>0</v>
      </c>
      <c r="AQ842" s="43"/>
      <c r="AR842" s="358">
        <f t="shared" si="426"/>
        <v>0</v>
      </c>
      <c r="AS842" s="359">
        <f t="shared" si="427"/>
        <v>0</v>
      </c>
      <c r="AT842" s="360">
        <f t="shared" si="428"/>
        <v>0</v>
      </c>
      <c r="AU842" s="43"/>
      <c r="AV842" s="2119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119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24"/>
      <c r="S843" s="29">
        <v>0</v>
      </c>
      <c r="T843" s="28">
        <f>+IF(ABS(+O843+Q843)&lt;=ABS(P843+R843),-O843+P843-Q843+R843,0)</f>
        <v>0</v>
      </c>
      <c r="U843" s="51"/>
      <c r="V843" s="541">
        <f>+'NF-KSF-TRIAL-BAL-2021'!O843+'RA-TRIAL-BAL-2021'!O843+'DES-TRIAL-BAL-2021'!O843+'DMP-TRIAL-BAL-2021'!O843</f>
        <v>0</v>
      </c>
      <c r="W843" s="529">
        <f>+'NF-KSF-TRIAL-BAL-2021'!P843+'RA-TRIAL-BAL-2021'!P843+'DES-TRIAL-BAL-2021'!P843+'DMP-TRIAL-BAL-2021'!P843</f>
        <v>0</v>
      </c>
      <c r="X843" s="528">
        <f>+'NF-KSF-TRIAL-BAL-2021'!Q843+'RA-TRIAL-BAL-2021'!Q843+'DES-TRIAL-BAL-2021'!Q843+'DMP-TRIAL-BAL-2021'!Q843</f>
        <v>0</v>
      </c>
      <c r="Y843" s="529">
        <f>+'NF-KSF-TRIAL-BAL-2021'!R843+'RA-TRIAL-BAL-2021'!R843+'DES-TRIAL-BAL-2021'!R843+'DMP-TRIAL-BAL-2021'!R843</f>
        <v>0</v>
      </c>
      <c r="Z843" s="528">
        <f>+'NF-KSF-TRIAL-BAL-2021'!S843+'RA-TRIAL-BAL-2021'!S843+'DES-TRIAL-BAL-2021'!S843+'DMP-TRIAL-BAL-2021'!S843</f>
        <v>0</v>
      </c>
      <c r="AA843" s="347">
        <f>+'NF-KSF-TRIAL-BAL-2021'!T843+'RA-TRIAL-BAL-2021'!T843+'DES-TRIAL-BAL-2021'!T843+'DMP-TRIAL-BAL-2021'!T843</f>
        <v>0</v>
      </c>
      <c r="AB843" s="51"/>
      <c r="AC843" s="8">
        <v>0</v>
      </c>
      <c r="AD843" s="121"/>
      <c r="AE843" s="122"/>
      <c r="AF843" s="324"/>
      <c r="AG843" s="29">
        <v>0</v>
      </c>
      <c r="AH843" s="28">
        <f>+IF(ABS(+AC843+AE843)&lt;=ABS(AD843+AF843),-AC843+AD843-AE843+AF843,0)</f>
        <v>0</v>
      </c>
      <c r="AI843" s="51"/>
      <c r="AJ843" s="1497">
        <f t="shared" si="423"/>
        <v>9222</v>
      </c>
      <c r="AK843" s="328">
        <v>0</v>
      </c>
      <c r="AL843" s="970">
        <f>+ROUND(+P843+W843+AD843,2)</f>
        <v>0</v>
      </c>
      <c r="AM843" s="326">
        <f t="shared" si="429"/>
        <v>0</v>
      </c>
      <c r="AN843" s="970">
        <f t="shared" si="429"/>
        <v>0</v>
      </c>
      <c r="AO843" s="330">
        <v>0</v>
      </c>
      <c r="AP843" s="28">
        <f>+T843+AA843+AH843</f>
        <v>0</v>
      </c>
      <c r="AQ843" s="43"/>
      <c r="AR843" s="358">
        <f t="shared" si="426"/>
        <v>0</v>
      </c>
      <c r="AS843" s="359">
        <f t="shared" si="427"/>
        <v>0</v>
      </c>
      <c r="AT843" s="360">
        <f t="shared" si="428"/>
        <v>0</v>
      </c>
      <c r="AU843" s="43"/>
      <c r="AV843" s="2119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119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24"/>
      <c r="S844" s="29">
        <v>0</v>
      </c>
      <c r="T844" s="28">
        <f>+IF(ABS(+O844+Q844)&lt;=ABS(P844+R844),-O844+P844-Q844+R844,0)</f>
        <v>0</v>
      </c>
      <c r="U844" s="51"/>
      <c r="V844" s="541">
        <f>+'NF-KSF-TRIAL-BAL-2021'!O844+'RA-TRIAL-BAL-2021'!O844+'DES-TRIAL-BAL-2021'!O844+'DMP-TRIAL-BAL-2021'!O844</f>
        <v>0</v>
      </c>
      <c r="W844" s="529">
        <f>+'NF-KSF-TRIAL-BAL-2021'!P844+'RA-TRIAL-BAL-2021'!P844+'DES-TRIAL-BAL-2021'!P844+'DMP-TRIAL-BAL-2021'!P844</f>
        <v>0</v>
      </c>
      <c r="X844" s="528">
        <f>+'NF-KSF-TRIAL-BAL-2021'!Q844+'RA-TRIAL-BAL-2021'!Q844+'DES-TRIAL-BAL-2021'!Q844+'DMP-TRIAL-BAL-2021'!Q844</f>
        <v>0</v>
      </c>
      <c r="Y844" s="529">
        <f>+'NF-KSF-TRIAL-BAL-2021'!R844+'RA-TRIAL-BAL-2021'!R844+'DES-TRIAL-BAL-2021'!R844+'DMP-TRIAL-BAL-2021'!R844</f>
        <v>0</v>
      </c>
      <c r="Z844" s="528">
        <f>+'NF-KSF-TRIAL-BAL-2021'!S844+'RA-TRIAL-BAL-2021'!S844+'DES-TRIAL-BAL-2021'!S844+'DMP-TRIAL-BAL-2021'!S844</f>
        <v>0</v>
      </c>
      <c r="AA844" s="347">
        <f>+'NF-KSF-TRIAL-BAL-2021'!T844+'RA-TRIAL-BAL-2021'!T844+'DES-TRIAL-BAL-2021'!T844+'DMP-TRIAL-BAL-2021'!T844</f>
        <v>0</v>
      </c>
      <c r="AB844" s="51"/>
      <c r="AC844" s="8">
        <v>0</v>
      </c>
      <c r="AD844" s="121"/>
      <c r="AE844" s="122"/>
      <c r="AF844" s="324"/>
      <c r="AG844" s="29">
        <v>0</v>
      </c>
      <c r="AH844" s="28">
        <f>+IF(ABS(+AC844+AE844)&lt;=ABS(AD844+AF844),-AC844+AD844-AE844+AF844,0)</f>
        <v>0</v>
      </c>
      <c r="AI844" s="51"/>
      <c r="AJ844" s="1497">
        <f t="shared" si="423"/>
        <v>9231</v>
      </c>
      <c r="AK844" s="328">
        <v>0</v>
      </c>
      <c r="AL844" s="970">
        <f>+ROUND(+P844+W844+AD844,2)</f>
        <v>0</v>
      </c>
      <c r="AM844" s="326">
        <f t="shared" si="429"/>
        <v>0</v>
      </c>
      <c r="AN844" s="970">
        <f t="shared" si="429"/>
        <v>0</v>
      </c>
      <c r="AO844" s="330">
        <v>0</v>
      </c>
      <c r="AP844" s="28">
        <f>+T844+AA844+AH844</f>
        <v>0</v>
      </c>
      <c r="AQ844" s="43"/>
      <c r="AR844" s="358">
        <f t="shared" si="426"/>
        <v>0</v>
      </c>
      <c r="AS844" s="359">
        <f t="shared" si="427"/>
        <v>0</v>
      </c>
      <c r="AT844" s="360">
        <f t="shared" si="428"/>
        <v>0</v>
      </c>
      <c r="AU844" s="43"/>
      <c r="AV844" s="2119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119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 t="s">
        <v>265</v>
      </c>
      <c r="N845" s="113">
        <f t="shared" si="424"/>
        <v>9233</v>
      </c>
      <c r="O845" s="8">
        <v>0</v>
      </c>
      <c r="P845" s="121"/>
      <c r="Q845" s="122"/>
      <c r="R845" s="324"/>
      <c r="S845" s="29">
        <v>0</v>
      </c>
      <c r="T845" s="28">
        <f>+IF(ABS(+O845+Q845)&lt;=ABS(P845+R845),-O845+P845-Q845+R845,0)</f>
        <v>0</v>
      </c>
      <c r="U845" s="51"/>
      <c r="V845" s="541">
        <f>+'NF-KSF-TRIAL-BAL-2021'!O845+'RA-TRIAL-BAL-2021'!O845+'DES-TRIAL-BAL-2021'!O845+'DMP-TRIAL-BAL-2021'!O845</f>
        <v>0</v>
      </c>
      <c r="W845" s="529">
        <f>+'NF-KSF-TRIAL-BAL-2021'!P845+'RA-TRIAL-BAL-2021'!P845+'DES-TRIAL-BAL-2021'!P845+'DMP-TRIAL-BAL-2021'!P845</f>
        <v>0</v>
      </c>
      <c r="X845" s="528">
        <f>+'NF-KSF-TRIAL-BAL-2021'!Q845+'RA-TRIAL-BAL-2021'!Q845+'DES-TRIAL-BAL-2021'!Q845+'DMP-TRIAL-BAL-2021'!Q845</f>
        <v>0</v>
      </c>
      <c r="Y845" s="529">
        <f>+'NF-KSF-TRIAL-BAL-2021'!R845+'RA-TRIAL-BAL-2021'!R845+'DES-TRIAL-BAL-2021'!R845+'DMP-TRIAL-BAL-2021'!R845</f>
        <v>0</v>
      </c>
      <c r="Z845" s="528">
        <f>+'NF-KSF-TRIAL-BAL-2021'!S845+'RA-TRIAL-BAL-2021'!S845+'DES-TRIAL-BAL-2021'!S845+'DMP-TRIAL-BAL-2021'!S845</f>
        <v>0</v>
      </c>
      <c r="AA845" s="347">
        <f>+'NF-KSF-TRIAL-BAL-2021'!T845+'RA-TRIAL-BAL-2021'!T845+'DES-TRIAL-BAL-2021'!T845+'DMP-TRIAL-BAL-2021'!T845</f>
        <v>0</v>
      </c>
      <c r="AB845" s="51"/>
      <c r="AC845" s="8">
        <v>0</v>
      </c>
      <c r="AD845" s="121"/>
      <c r="AE845" s="122"/>
      <c r="AF845" s="324"/>
      <c r="AG845" s="29">
        <v>0</v>
      </c>
      <c r="AH845" s="28">
        <f>+IF(ABS(+AC845+AE845)&lt;=ABS(AD845+AF845),-AC845+AD845-AE845+AF845,0)</f>
        <v>0</v>
      </c>
      <c r="AI845" s="51"/>
      <c r="AJ845" s="1497">
        <f t="shared" si="423"/>
        <v>9233</v>
      </c>
      <c r="AK845" s="328">
        <v>0</v>
      </c>
      <c r="AL845" s="970">
        <f>+ROUND(+P845+W845+AD845,2)</f>
        <v>0</v>
      </c>
      <c r="AM845" s="326">
        <f t="shared" si="429"/>
        <v>0</v>
      </c>
      <c r="AN845" s="970">
        <f t="shared" si="429"/>
        <v>0</v>
      </c>
      <c r="AO845" s="330">
        <v>0</v>
      </c>
      <c r="AP845" s="28">
        <f>+T845+AA845+AH845</f>
        <v>0</v>
      </c>
      <c r="AQ845" s="43"/>
      <c r="AR845" s="358">
        <f t="shared" si="426"/>
        <v>0</v>
      </c>
      <c r="AS845" s="359">
        <f t="shared" si="427"/>
        <v>0</v>
      </c>
      <c r="AT845" s="360">
        <f t="shared" si="428"/>
        <v>0</v>
      </c>
      <c r="AU845" s="43"/>
      <c r="AV845" s="2119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119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 t="s">
        <v>265</v>
      </c>
      <c r="N846" s="113">
        <f t="shared" si="424"/>
        <v>9289</v>
      </c>
      <c r="O846" s="120">
        <v>192619</v>
      </c>
      <c r="P846" s="9">
        <v>0</v>
      </c>
      <c r="Q846" s="122"/>
      <c r="R846" s="324">
        <v>192619</v>
      </c>
      <c r="S846" s="27">
        <f>+IF(ABS(+O846+Q846)&gt;=ABS(P846+R846),+O846-P846+Q846-R846,0)</f>
        <v>0</v>
      </c>
      <c r="T846" s="30">
        <v>0</v>
      </c>
      <c r="U846" s="51"/>
      <c r="V846" s="541">
        <f>+'NF-KSF-TRIAL-BAL-2021'!O846+'RA-TRIAL-BAL-2021'!O846+'DES-TRIAL-BAL-2021'!O846+'DMP-TRIAL-BAL-2021'!O846</f>
        <v>0</v>
      </c>
      <c r="W846" s="529">
        <f>+'NF-KSF-TRIAL-BAL-2021'!P846+'RA-TRIAL-BAL-2021'!P846+'DES-TRIAL-BAL-2021'!P846+'DMP-TRIAL-BAL-2021'!P846</f>
        <v>0</v>
      </c>
      <c r="X846" s="528">
        <f>+'NF-KSF-TRIAL-BAL-2021'!Q846+'RA-TRIAL-BAL-2021'!Q846+'DES-TRIAL-BAL-2021'!Q846+'DMP-TRIAL-BAL-2021'!Q846</f>
        <v>0</v>
      </c>
      <c r="Y846" s="529">
        <f>+'NF-KSF-TRIAL-BAL-2021'!R846+'RA-TRIAL-BAL-2021'!R846+'DES-TRIAL-BAL-2021'!R846+'DMP-TRIAL-BAL-2021'!R846</f>
        <v>0</v>
      </c>
      <c r="Z846" s="528">
        <f>+'NF-KSF-TRIAL-BAL-2021'!S846+'RA-TRIAL-BAL-2021'!S846+'DES-TRIAL-BAL-2021'!S846+'DMP-TRIAL-BAL-2021'!S846</f>
        <v>0</v>
      </c>
      <c r="AA846" s="347">
        <f>+'NF-KSF-TRIAL-BAL-2021'!T846+'RA-TRIAL-BAL-2021'!T846+'DES-TRIAL-BAL-2021'!T846+'DMP-TRIAL-BAL-2021'!T846</f>
        <v>0</v>
      </c>
      <c r="AB846" s="51"/>
      <c r="AC846" s="120"/>
      <c r="AD846" s="9">
        <v>0</v>
      </c>
      <c r="AE846" s="122"/>
      <c r="AF846" s="324"/>
      <c r="AG846" s="27">
        <f>+IF(ABS(+AC846+AE846)&gt;=ABS(AD846+AF846),+AC846-AD846+AE846-AF846,0)</f>
        <v>0</v>
      </c>
      <c r="AH846" s="30">
        <v>0</v>
      </c>
      <c r="AI846" s="51"/>
      <c r="AJ846" s="1497">
        <f t="shared" si="423"/>
        <v>9289</v>
      </c>
      <c r="AK846" s="951">
        <f>+ROUND(+O846+V846+AC846,2)</f>
        <v>192619</v>
      </c>
      <c r="AL846" s="9">
        <v>0</v>
      </c>
      <c r="AM846" s="326">
        <f t="shared" si="429"/>
        <v>0</v>
      </c>
      <c r="AN846" s="970">
        <f t="shared" si="429"/>
        <v>192619</v>
      </c>
      <c r="AO846" s="27">
        <f>+S846+Z846+AG846</f>
        <v>0</v>
      </c>
      <c r="AP846" s="331">
        <v>0</v>
      </c>
      <c r="AQ846" s="43"/>
      <c r="AR846" s="358">
        <f t="shared" si="426"/>
        <v>0</v>
      </c>
      <c r="AS846" s="359">
        <f t="shared" si="427"/>
        <v>0</v>
      </c>
      <c r="AT846" s="360">
        <f t="shared" si="428"/>
        <v>0</v>
      </c>
      <c r="AU846" s="43"/>
      <c r="AV846" s="2120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120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 t="s">
        <v>265</v>
      </c>
      <c r="N847" s="113">
        <f t="shared" si="424"/>
        <v>9295</v>
      </c>
      <c r="O847" s="575">
        <v>0</v>
      </c>
      <c r="P847" s="576"/>
      <c r="Q847" s="589"/>
      <c r="R847" s="324"/>
      <c r="S847" s="579">
        <v>0</v>
      </c>
      <c r="T847" s="580">
        <f t="shared" ref="T847:T857" si="430">+IF(ABS(+O847+Q847)&lt;=ABS(P847+R847),-O847+P847-Q847+R847,0)</f>
        <v>0</v>
      </c>
      <c r="U847" s="51"/>
      <c r="V847" s="541">
        <f>+'NF-KSF-TRIAL-BAL-2021'!O847+'RA-TRIAL-BAL-2021'!O847+'DES-TRIAL-BAL-2021'!O847+'DMP-TRIAL-BAL-2021'!O847</f>
        <v>0</v>
      </c>
      <c r="W847" s="529">
        <f>+'NF-KSF-TRIAL-BAL-2021'!P847+'RA-TRIAL-BAL-2021'!P847+'DES-TRIAL-BAL-2021'!P847+'DMP-TRIAL-BAL-2021'!P847</f>
        <v>0</v>
      </c>
      <c r="X847" s="587">
        <f>+'NF-KSF-TRIAL-BAL-2021'!Q847+'RA-TRIAL-BAL-2021'!Q847+'DES-TRIAL-BAL-2021'!Q847+'DMP-TRIAL-BAL-2021'!Q847</f>
        <v>0</v>
      </c>
      <c r="Y847" s="586">
        <f>+'NF-KSF-TRIAL-BAL-2021'!R847+'RA-TRIAL-BAL-2021'!R847+'DES-TRIAL-BAL-2021'!R847+'DMP-TRIAL-BAL-2021'!R847</f>
        <v>0</v>
      </c>
      <c r="Z847" s="587">
        <f>+'NF-KSF-TRIAL-BAL-2021'!S847+'RA-TRIAL-BAL-2021'!S847+'DES-TRIAL-BAL-2021'!S847+'DMP-TRIAL-BAL-2021'!S847</f>
        <v>0</v>
      </c>
      <c r="AA847" s="588">
        <f>+'NF-KSF-TRIAL-BAL-2021'!T847+'RA-TRIAL-BAL-2021'!T847+'DES-TRIAL-BAL-2021'!T847+'DMP-TRIAL-BAL-2021'!T847</f>
        <v>0</v>
      </c>
      <c r="AB847" s="51"/>
      <c r="AC847" s="575">
        <v>0</v>
      </c>
      <c r="AD847" s="582">
        <v>0</v>
      </c>
      <c r="AE847" s="579">
        <v>0</v>
      </c>
      <c r="AF847" s="582">
        <v>0</v>
      </c>
      <c r="AG847" s="579">
        <v>0</v>
      </c>
      <c r="AH847" s="584">
        <v>0</v>
      </c>
      <c r="AI847" s="51"/>
      <c r="AJ847" s="1497">
        <f t="shared" si="423"/>
        <v>9295</v>
      </c>
      <c r="AK847" s="8">
        <v>0</v>
      </c>
      <c r="AL847" s="970">
        <f>+ROUND(+P847+W847+AD847,2)</f>
        <v>0</v>
      </c>
      <c r="AM847" s="326">
        <f t="shared" si="429"/>
        <v>0</v>
      </c>
      <c r="AN847" s="970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58">
        <f t="shared" si="426"/>
        <v>0</v>
      </c>
      <c r="AS847" s="359">
        <f t="shared" si="427"/>
        <v>0</v>
      </c>
      <c r="AT847" s="360">
        <f t="shared" si="428"/>
        <v>0</v>
      </c>
      <c r="AU847" s="43"/>
      <c r="AV847" s="2119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125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 t="s">
        <v>265</v>
      </c>
      <c r="N848" s="113">
        <f t="shared" si="424"/>
        <v>9299</v>
      </c>
      <c r="O848" s="8">
        <v>0</v>
      </c>
      <c r="P848" s="121">
        <v>909425.54</v>
      </c>
      <c r="Q848" s="122">
        <v>909425.54</v>
      </c>
      <c r="R848" s="324"/>
      <c r="S848" s="29">
        <v>0</v>
      </c>
      <c r="T848" s="28">
        <f t="shared" si="430"/>
        <v>0</v>
      </c>
      <c r="U848" s="51"/>
      <c r="V848" s="541">
        <f>+'NF-KSF-TRIAL-BAL-2021'!O848+'RA-TRIAL-BAL-2021'!O848+'DES-TRIAL-BAL-2021'!O848+'DMP-TRIAL-BAL-2021'!O848</f>
        <v>0</v>
      </c>
      <c r="W848" s="529">
        <f>+'NF-KSF-TRIAL-BAL-2021'!P848+'RA-TRIAL-BAL-2021'!P848+'DES-TRIAL-BAL-2021'!P848+'DMP-TRIAL-BAL-2021'!P848</f>
        <v>4029652.79</v>
      </c>
      <c r="X848" s="528">
        <f>+'NF-KSF-TRIAL-BAL-2021'!Q848+'RA-TRIAL-BAL-2021'!Q848+'DES-TRIAL-BAL-2021'!Q848+'DMP-TRIAL-BAL-2021'!Q848</f>
        <v>3477503.88</v>
      </c>
      <c r="Y848" s="529">
        <f>+'NF-KSF-TRIAL-BAL-2021'!R848+'RA-TRIAL-BAL-2021'!R848+'DES-TRIAL-BAL-2021'!R848+'DMP-TRIAL-BAL-2021'!R848</f>
        <v>242666.65</v>
      </c>
      <c r="Z848" s="528">
        <f>+'NF-KSF-TRIAL-BAL-2021'!S848+'RA-TRIAL-BAL-2021'!S848+'DES-TRIAL-BAL-2021'!S848+'DMP-TRIAL-BAL-2021'!S848</f>
        <v>0</v>
      </c>
      <c r="AA848" s="347">
        <f>+'NF-KSF-TRIAL-BAL-2021'!T848+'RA-TRIAL-BAL-2021'!T848+'DES-TRIAL-BAL-2021'!T848+'DMP-TRIAL-BAL-2021'!T848</f>
        <v>794815.56000000029</v>
      </c>
      <c r="AB848" s="51"/>
      <c r="AC848" s="8">
        <v>0</v>
      </c>
      <c r="AD848" s="121"/>
      <c r="AE848" s="122"/>
      <c r="AF848" s="324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97">
        <f t="shared" si="423"/>
        <v>9299</v>
      </c>
      <c r="AK848" s="328">
        <v>0</v>
      </c>
      <c r="AL848" s="970">
        <f>+ROUND(+P848+W848+AD848,2)</f>
        <v>4939078.33</v>
      </c>
      <c r="AM848" s="326">
        <f t="shared" si="429"/>
        <v>4386929.42</v>
      </c>
      <c r="AN848" s="970">
        <f t="shared" si="429"/>
        <v>242666.65</v>
      </c>
      <c r="AO848" s="330">
        <v>0</v>
      </c>
      <c r="AP848" s="28">
        <f t="shared" si="431"/>
        <v>794815.56000000029</v>
      </c>
      <c r="AQ848" s="43"/>
      <c r="AR848" s="358">
        <f t="shared" si="426"/>
        <v>0</v>
      </c>
      <c r="AS848" s="359">
        <f t="shared" si="427"/>
        <v>0</v>
      </c>
      <c r="AT848" s="360">
        <f t="shared" si="428"/>
        <v>0</v>
      </c>
      <c r="AU848" s="43"/>
      <c r="AV848" s="2119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119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 t="s">
        <v>265</v>
      </c>
      <c r="N849" s="113">
        <f t="shared" si="424"/>
        <v>9800</v>
      </c>
      <c r="O849" s="575">
        <v>0</v>
      </c>
      <c r="P849" s="582">
        <v>0</v>
      </c>
      <c r="Q849" s="589">
        <v>4954762.83</v>
      </c>
      <c r="R849" s="576"/>
      <c r="S849" s="583">
        <f t="shared" ref="S849:S867" si="433">+IF(ABS(+O849+Q849)&gt;=ABS(P849+R849),+O849-P849+Q849-R849,0)</f>
        <v>4954762.83</v>
      </c>
      <c r="T849" s="580">
        <f t="shared" si="430"/>
        <v>0</v>
      </c>
      <c r="U849" s="51"/>
      <c r="V849" s="541">
        <f>+'NF-KSF-TRIAL-BAL-2021'!O849+'RA-TRIAL-BAL-2021'!O849+'DES-TRIAL-BAL-2021'!O849+'DMP-TRIAL-BAL-2021'!O849</f>
        <v>0</v>
      </c>
      <c r="W849" s="529">
        <f>+'NF-KSF-TRIAL-BAL-2021'!P849+'RA-TRIAL-BAL-2021'!P849+'DES-TRIAL-BAL-2021'!P849+'DMP-TRIAL-BAL-2021'!P849</f>
        <v>0</v>
      </c>
      <c r="X849" s="587">
        <f>+'NF-KSF-TRIAL-BAL-2021'!Q849+'RA-TRIAL-BAL-2021'!Q849+'DES-TRIAL-BAL-2021'!Q849+'DMP-TRIAL-BAL-2021'!Q849</f>
        <v>474179.83</v>
      </c>
      <c r="Y849" s="586">
        <f>+'NF-KSF-TRIAL-BAL-2021'!R849+'RA-TRIAL-BAL-2021'!R849+'DES-TRIAL-BAL-2021'!R849+'DMP-TRIAL-BAL-2021'!R849</f>
        <v>0</v>
      </c>
      <c r="Z849" s="587">
        <f>+'NF-KSF-TRIAL-BAL-2021'!S849+'RA-TRIAL-BAL-2021'!S849+'DES-TRIAL-BAL-2021'!S849+'DMP-TRIAL-BAL-2021'!S849</f>
        <v>474179.83</v>
      </c>
      <c r="AA849" s="588">
        <f>+'NF-KSF-TRIAL-BAL-2021'!T849+'RA-TRIAL-BAL-2021'!T849+'DES-TRIAL-BAL-2021'!T849+'DMP-TRIAL-BAL-2021'!T849</f>
        <v>0</v>
      </c>
      <c r="AB849" s="51"/>
      <c r="AC849" s="575">
        <v>0</v>
      </c>
      <c r="AD849" s="582">
        <v>0</v>
      </c>
      <c r="AE849" s="589"/>
      <c r="AF849" s="576"/>
      <c r="AG849" s="583">
        <f t="shared" ref="AG849:AG867" si="434">+IF(ABS(+AC849+AE849)&gt;=ABS(AD849+AF849),+AC849-AD849+AE849-AF849,0)</f>
        <v>0</v>
      </c>
      <c r="AH849" s="580">
        <f t="shared" si="432"/>
        <v>0</v>
      </c>
      <c r="AI849" s="51"/>
      <c r="AJ849" s="1497">
        <f t="shared" si="423"/>
        <v>9800</v>
      </c>
      <c r="AK849" s="8">
        <v>0</v>
      </c>
      <c r="AL849" s="9">
        <v>0</v>
      </c>
      <c r="AM849" s="326">
        <f t="shared" si="429"/>
        <v>5428942.6600000001</v>
      </c>
      <c r="AN849" s="970">
        <f t="shared" si="429"/>
        <v>0</v>
      </c>
      <c r="AO849" s="27">
        <f t="shared" ref="AO849:AO867" si="435">+S849+Z849+AG849</f>
        <v>5428942.6600000001</v>
      </c>
      <c r="AP849" s="28">
        <f t="shared" si="431"/>
        <v>0</v>
      </c>
      <c r="AQ849" s="43"/>
      <c r="AR849" s="358">
        <f t="shared" si="426"/>
        <v>0</v>
      </c>
      <c r="AS849" s="359">
        <f t="shared" si="427"/>
        <v>0</v>
      </c>
      <c r="AT849" s="360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 t="s">
        <v>265</v>
      </c>
      <c r="N850" s="113">
        <f t="shared" si="424"/>
        <v>9801</v>
      </c>
      <c r="O850" s="575">
        <v>0</v>
      </c>
      <c r="P850" s="582">
        <v>0</v>
      </c>
      <c r="Q850" s="589">
        <v>1539212.94</v>
      </c>
      <c r="R850" s="576"/>
      <c r="S850" s="583">
        <f t="shared" si="433"/>
        <v>1539212.94</v>
      </c>
      <c r="T850" s="580">
        <f t="shared" si="430"/>
        <v>0</v>
      </c>
      <c r="U850" s="51"/>
      <c r="V850" s="541">
        <f>+'NF-KSF-TRIAL-BAL-2021'!O850+'RA-TRIAL-BAL-2021'!O850+'DES-TRIAL-BAL-2021'!O850+'DMP-TRIAL-BAL-2021'!O850</f>
        <v>0</v>
      </c>
      <c r="W850" s="529">
        <f>+'NF-KSF-TRIAL-BAL-2021'!P850+'RA-TRIAL-BAL-2021'!P850+'DES-TRIAL-BAL-2021'!P850+'DMP-TRIAL-BAL-2021'!P850</f>
        <v>0</v>
      </c>
      <c r="X850" s="587">
        <f>+'NF-KSF-TRIAL-BAL-2021'!Q850+'RA-TRIAL-BAL-2021'!Q850+'DES-TRIAL-BAL-2021'!Q850+'DMP-TRIAL-BAL-2021'!Q850</f>
        <v>87451.86</v>
      </c>
      <c r="Y850" s="586">
        <f>+'NF-KSF-TRIAL-BAL-2021'!R850+'RA-TRIAL-BAL-2021'!R850+'DES-TRIAL-BAL-2021'!R850+'DMP-TRIAL-BAL-2021'!R850</f>
        <v>0</v>
      </c>
      <c r="Z850" s="587">
        <f>+'NF-KSF-TRIAL-BAL-2021'!S850+'RA-TRIAL-BAL-2021'!S850+'DES-TRIAL-BAL-2021'!S850+'DMP-TRIAL-BAL-2021'!S850</f>
        <v>87451.86</v>
      </c>
      <c r="AA850" s="588">
        <f>+'NF-KSF-TRIAL-BAL-2021'!T850+'RA-TRIAL-BAL-2021'!T850+'DES-TRIAL-BAL-2021'!T850+'DMP-TRIAL-BAL-2021'!T850</f>
        <v>0</v>
      </c>
      <c r="AB850" s="51"/>
      <c r="AC850" s="575">
        <v>0</v>
      </c>
      <c r="AD850" s="582">
        <v>0</v>
      </c>
      <c r="AE850" s="589"/>
      <c r="AF850" s="576"/>
      <c r="AG850" s="583">
        <f t="shared" si="434"/>
        <v>0</v>
      </c>
      <c r="AH850" s="580">
        <f t="shared" si="432"/>
        <v>0</v>
      </c>
      <c r="AI850" s="51"/>
      <c r="AJ850" s="1497">
        <f t="shared" si="423"/>
        <v>9801</v>
      </c>
      <c r="AK850" s="8">
        <v>0</v>
      </c>
      <c r="AL850" s="9">
        <v>0</v>
      </c>
      <c r="AM850" s="326">
        <f t="shared" si="429"/>
        <v>1626664.8</v>
      </c>
      <c r="AN850" s="970">
        <f t="shared" si="429"/>
        <v>0</v>
      </c>
      <c r="AO850" s="27">
        <f t="shared" si="435"/>
        <v>1626664.8</v>
      </c>
      <c r="AP850" s="28">
        <f t="shared" si="431"/>
        <v>0</v>
      </c>
      <c r="AQ850" s="43"/>
      <c r="AR850" s="358">
        <f t="shared" si="426"/>
        <v>0</v>
      </c>
      <c r="AS850" s="359">
        <f t="shared" si="427"/>
        <v>0</v>
      </c>
      <c r="AT850" s="360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 t="s">
        <v>265</v>
      </c>
      <c r="N851" s="113">
        <f t="shared" si="424"/>
        <v>9803</v>
      </c>
      <c r="O851" s="575">
        <v>0</v>
      </c>
      <c r="P851" s="582">
        <v>0</v>
      </c>
      <c r="Q851" s="589"/>
      <c r="R851" s="576">
        <v>2914909.12</v>
      </c>
      <c r="S851" s="583">
        <f t="shared" si="433"/>
        <v>0</v>
      </c>
      <c r="T851" s="580">
        <f t="shared" si="430"/>
        <v>2914909.12</v>
      </c>
      <c r="U851" s="51"/>
      <c r="V851" s="541">
        <f>+'NF-KSF-TRIAL-BAL-2021'!O851+'RA-TRIAL-BAL-2021'!O851+'DES-TRIAL-BAL-2021'!O851+'DMP-TRIAL-BAL-2021'!O851</f>
        <v>0</v>
      </c>
      <c r="W851" s="529">
        <f>+'NF-KSF-TRIAL-BAL-2021'!P851+'RA-TRIAL-BAL-2021'!P851+'DES-TRIAL-BAL-2021'!P851+'DMP-TRIAL-BAL-2021'!P851</f>
        <v>0</v>
      </c>
      <c r="X851" s="587">
        <f>+'NF-KSF-TRIAL-BAL-2021'!Q851+'RA-TRIAL-BAL-2021'!Q851+'DES-TRIAL-BAL-2021'!Q851+'DMP-TRIAL-BAL-2021'!Q851</f>
        <v>0</v>
      </c>
      <c r="Y851" s="586">
        <f>+'NF-KSF-TRIAL-BAL-2021'!R851+'RA-TRIAL-BAL-2021'!R851+'DES-TRIAL-BAL-2021'!R851+'DMP-TRIAL-BAL-2021'!R851</f>
        <v>1371285.19</v>
      </c>
      <c r="Z851" s="587">
        <f>+'NF-KSF-TRIAL-BAL-2021'!S851+'RA-TRIAL-BAL-2021'!S851+'DES-TRIAL-BAL-2021'!S851+'DMP-TRIAL-BAL-2021'!S851</f>
        <v>0</v>
      </c>
      <c r="AA851" s="588">
        <f>+'NF-KSF-TRIAL-BAL-2021'!T851+'RA-TRIAL-BAL-2021'!T851+'DES-TRIAL-BAL-2021'!T851+'DMP-TRIAL-BAL-2021'!T851</f>
        <v>1371285.19</v>
      </c>
      <c r="AB851" s="51"/>
      <c r="AC851" s="575">
        <v>0</v>
      </c>
      <c r="AD851" s="582">
        <v>0</v>
      </c>
      <c r="AE851" s="589"/>
      <c r="AF851" s="576"/>
      <c r="AG851" s="583">
        <f t="shared" si="434"/>
        <v>0</v>
      </c>
      <c r="AH851" s="580">
        <f t="shared" si="432"/>
        <v>0</v>
      </c>
      <c r="AI851" s="51"/>
      <c r="AJ851" s="1497">
        <f t="shared" si="423"/>
        <v>9803</v>
      </c>
      <c r="AK851" s="8">
        <v>0</v>
      </c>
      <c r="AL851" s="9">
        <v>0</v>
      </c>
      <c r="AM851" s="326">
        <f t="shared" si="429"/>
        <v>0</v>
      </c>
      <c r="AN851" s="970">
        <f t="shared" si="429"/>
        <v>4286194.3099999996</v>
      </c>
      <c r="AO851" s="27">
        <f t="shared" si="435"/>
        <v>0</v>
      </c>
      <c r="AP851" s="28">
        <f t="shared" si="431"/>
        <v>4286194.3100000005</v>
      </c>
      <c r="AQ851" s="43"/>
      <c r="AR851" s="358">
        <f t="shared" si="426"/>
        <v>0</v>
      </c>
      <c r="AS851" s="359">
        <f t="shared" si="427"/>
        <v>0</v>
      </c>
      <c r="AT851" s="360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 t="s">
        <v>265</v>
      </c>
      <c r="N852" s="113">
        <f t="shared" si="424"/>
        <v>9804</v>
      </c>
      <c r="O852" s="575">
        <v>0</v>
      </c>
      <c r="P852" s="582">
        <v>0</v>
      </c>
      <c r="Q852" s="589">
        <v>329000</v>
      </c>
      <c r="R852" s="576">
        <v>429440</v>
      </c>
      <c r="S852" s="583">
        <f t="shared" si="433"/>
        <v>0</v>
      </c>
      <c r="T852" s="580">
        <f t="shared" si="430"/>
        <v>100440</v>
      </c>
      <c r="U852" s="51"/>
      <c r="V852" s="541">
        <f>+'NF-KSF-TRIAL-BAL-2021'!O852+'RA-TRIAL-BAL-2021'!O852+'DES-TRIAL-BAL-2021'!O852+'DMP-TRIAL-BAL-2021'!O852</f>
        <v>0</v>
      </c>
      <c r="W852" s="529">
        <f>+'NF-KSF-TRIAL-BAL-2021'!P852+'RA-TRIAL-BAL-2021'!P852+'DES-TRIAL-BAL-2021'!P852+'DMP-TRIAL-BAL-2021'!P852</f>
        <v>0</v>
      </c>
      <c r="X852" s="587">
        <f>+'NF-KSF-TRIAL-BAL-2021'!Q852+'RA-TRIAL-BAL-2021'!Q852+'DES-TRIAL-BAL-2021'!Q852+'DMP-TRIAL-BAL-2021'!Q852</f>
        <v>100440</v>
      </c>
      <c r="Y852" s="586">
        <f>+'NF-KSF-TRIAL-BAL-2021'!R852+'RA-TRIAL-BAL-2021'!R852+'DES-TRIAL-BAL-2021'!R852+'DMP-TRIAL-BAL-2021'!R852</f>
        <v>0</v>
      </c>
      <c r="Z852" s="587">
        <f>+'NF-KSF-TRIAL-BAL-2021'!S852+'RA-TRIAL-BAL-2021'!S852+'DES-TRIAL-BAL-2021'!S852+'DMP-TRIAL-BAL-2021'!S852</f>
        <v>100440</v>
      </c>
      <c r="AA852" s="588">
        <f>+'NF-KSF-TRIAL-BAL-2021'!T852+'RA-TRIAL-BAL-2021'!T852+'DES-TRIAL-BAL-2021'!T852+'DMP-TRIAL-BAL-2021'!T852</f>
        <v>0</v>
      </c>
      <c r="AB852" s="51"/>
      <c r="AC852" s="575">
        <v>0</v>
      </c>
      <c r="AD852" s="582">
        <v>0</v>
      </c>
      <c r="AE852" s="589"/>
      <c r="AF852" s="576"/>
      <c r="AG852" s="583">
        <f t="shared" si="434"/>
        <v>0</v>
      </c>
      <c r="AH852" s="580">
        <f t="shared" si="432"/>
        <v>0</v>
      </c>
      <c r="AI852" s="51"/>
      <c r="AJ852" s="1497">
        <f t="shared" si="423"/>
        <v>9804</v>
      </c>
      <c r="AK852" s="8">
        <v>0</v>
      </c>
      <c r="AL852" s="9">
        <v>0</v>
      </c>
      <c r="AM852" s="326">
        <f t="shared" si="429"/>
        <v>429440</v>
      </c>
      <c r="AN852" s="970">
        <f t="shared" si="429"/>
        <v>429440</v>
      </c>
      <c r="AO852" s="27">
        <f t="shared" si="435"/>
        <v>100440</v>
      </c>
      <c r="AP852" s="28">
        <f t="shared" si="431"/>
        <v>100440</v>
      </c>
      <c r="AQ852" s="43"/>
      <c r="AR852" s="358">
        <f t="shared" si="426"/>
        <v>0</v>
      </c>
      <c r="AS852" s="359">
        <f t="shared" si="427"/>
        <v>0</v>
      </c>
      <c r="AT852" s="360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 t="s">
        <v>265</v>
      </c>
      <c r="N853" s="113">
        <f t="shared" si="424"/>
        <v>9805</v>
      </c>
      <c r="O853" s="575">
        <v>0</v>
      </c>
      <c r="P853" s="582">
        <v>0</v>
      </c>
      <c r="Q853" s="589"/>
      <c r="R853" s="576"/>
      <c r="S853" s="583">
        <f t="shared" si="433"/>
        <v>0</v>
      </c>
      <c r="T853" s="580">
        <f t="shared" si="430"/>
        <v>0</v>
      </c>
      <c r="U853" s="51"/>
      <c r="V853" s="541">
        <f>+'NF-KSF-TRIAL-BAL-2021'!O853+'RA-TRIAL-BAL-2021'!O853+'DES-TRIAL-BAL-2021'!O853+'DMP-TRIAL-BAL-2021'!O853</f>
        <v>0</v>
      </c>
      <c r="W853" s="529">
        <f>+'NF-KSF-TRIAL-BAL-2021'!P853+'RA-TRIAL-BAL-2021'!P853+'DES-TRIAL-BAL-2021'!P853+'DMP-TRIAL-BAL-2021'!P853</f>
        <v>0</v>
      </c>
      <c r="X853" s="587">
        <f>+'NF-KSF-TRIAL-BAL-2021'!Q853+'RA-TRIAL-BAL-2021'!Q853+'DES-TRIAL-BAL-2021'!Q853+'DMP-TRIAL-BAL-2021'!Q853</f>
        <v>0</v>
      </c>
      <c r="Y853" s="586">
        <f>+'NF-KSF-TRIAL-BAL-2021'!R853+'RA-TRIAL-BAL-2021'!R853+'DES-TRIAL-BAL-2021'!R853+'DMP-TRIAL-BAL-2021'!R853</f>
        <v>0</v>
      </c>
      <c r="Z853" s="587">
        <f>+'NF-KSF-TRIAL-BAL-2021'!S853+'RA-TRIAL-BAL-2021'!S853+'DES-TRIAL-BAL-2021'!S853+'DMP-TRIAL-BAL-2021'!S853</f>
        <v>0</v>
      </c>
      <c r="AA853" s="588">
        <f>+'NF-KSF-TRIAL-BAL-2021'!T853+'RA-TRIAL-BAL-2021'!T853+'DES-TRIAL-BAL-2021'!T853+'DMP-TRIAL-BAL-2021'!T853</f>
        <v>0</v>
      </c>
      <c r="AB853" s="51"/>
      <c r="AC853" s="575">
        <v>0</v>
      </c>
      <c r="AD853" s="582">
        <v>0</v>
      </c>
      <c r="AE853" s="589"/>
      <c r="AF853" s="576"/>
      <c r="AG853" s="583">
        <f t="shared" si="434"/>
        <v>0</v>
      </c>
      <c r="AH853" s="580">
        <f t="shared" si="432"/>
        <v>0</v>
      </c>
      <c r="AI853" s="51"/>
      <c r="AJ853" s="1497">
        <f>+N853</f>
        <v>9805</v>
      </c>
      <c r="AK853" s="8">
        <v>0</v>
      </c>
      <c r="AL853" s="9">
        <v>0</v>
      </c>
      <c r="AM853" s="326">
        <f t="shared" ref="AM853:AN857" si="436">+ROUND(+Q853+X853+AE853,2)</f>
        <v>0</v>
      </c>
      <c r="AN853" s="970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58">
        <f>+ROUND(+SUM(AK853-AL853)-SUM(O853-P853)-SUM(V853-W853)-SUM(AC853-AD853),2)</f>
        <v>0</v>
      </c>
      <c r="AS853" s="359">
        <f>+ROUND(+SUM(AM853-AN853)-SUM(Q853-R853)-SUM(X853-Y853)-SUM(AE853-AF853),2)</f>
        <v>0</v>
      </c>
      <c r="AT853" s="360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 t="s">
        <v>265</v>
      </c>
      <c r="N854" s="113">
        <f t="shared" si="424"/>
        <v>9806</v>
      </c>
      <c r="O854" s="575">
        <v>0</v>
      </c>
      <c r="P854" s="582">
        <v>0</v>
      </c>
      <c r="Q854" s="589"/>
      <c r="R854" s="576"/>
      <c r="S854" s="583">
        <f t="shared" si="433"/>
        <v>0</v>
      </c>
      <c r="T854" s="580">
        <f t="shared" si="430"/>
        <v>0</v>
      </c>
      <c r="U854" s="51"/>
      <c r="V854" s="541">
        <f>+'NF-KSF-TRIAL-BAL-2021'!O854+'RA-TRIAL-BAL-2021'!O854+'DES-TRIAL-BAL-2021'!O854+'DMP-TRIAL-BAL-2021'!O854</f>
        <v>0</v>
      </c>
      <c r="W854" s="529">
        <f>+'NF-KSF-TRIAL-BAL-2021'!P854+'RA-TRIAL-BAL-2021'!P854+'DES-TRIAL-BAL-2021'!P854+'DMP-TRIAL-BAL-2021'!P854</f>
        <v>0</v>
      </c>
      <c r="X854" s="587">
        <f>+'NF-KSF-TRIAL-BAL-2021'!Q854+'RA-TRIAL-BAL-2021'!Q854+'DES-TRIAL-BAL-2021'!Q854+'DMP-TRIAL-BAL-2021'!Q854</f>
        <v>0</v>
      </c>
      <c r="Y854" s="586">
        <f>+'NF-KSF-TRIAL-BAL-2021'!R854+'RA-TRIAL-BAL-2021'!R854+'DES-TRIAL-BAL-2021'!R854+'DMP-TRIAL-BAL-2021'!R854</f>
        <v>0</v>
      </c>
      <c r="Z854" s="587">
        <f>+'NF-KSF-TRIAL-BAL-2021'!S854+'RA-TRIAL-BAL-2021'!S854+'DES-TRIAL-BAL-2021'!S854+'DMP-TRIAL-BAL-2021'!S854</f>
        <v>0</v>
      </c>
      <c r="AA854" s="588">
        <f>+'NF-KSF-TRIAL-BAL-2021'!T854+'RA-TRIAL-BAL-2021'!T854+'DES-TRIAL-BAL-2021'!T854+'DMP-TRIAL-BAL-2021'!T854</f>
        <v>0</v>
      </c>
      <c r="AB854" s="51"/>
      <c r="AC854" s="575">
        <v>0</v>
      </c>
      <c r="AD854" s="582">
        <v>0</v>
      </c>
      <c r="AE854" s="589"/>
      <c r="AF854" s="576"/>
      <c r="AG854" s="583">
        <f t="shared" si="434"/>
        <v>0</v>
      </c>
      <c r="AH854" s="580">
        <f t="shared" si="432"/>
        <v>0</v>
      </c>
      <c r="AI854" s="51"/>
      <c r="AJ854" s="1497">
        <f>+N854</f>
        <v>9806</v>
      </c>
      <c r="AK854" s="8">
        <v>0</v>
      </c>
      <c r="AL854" s="9">
        <v>0</v>
      </c>
      <c r="AM854" s="326">
        <f t="shared" si="436"/>
        <v>0</v>
      </c>
      <c r="AN854" s="970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58">
        <f>+ROUND(+SUM(AK854-AL854)-SUM(O854-P854)-SUM(V854-W854)-SUM(AC854-AD854),2)</f>
        <v>0</v>
      </c>
      <c r="AS854" s="359">
        <f>+ROUND(+SUM(AM854-AN854)-SUM(Q854-R854)-SUM(X854-Y854)-SUM(AE854-AF854),2)</f>
        <v>0</v>
      </c>
      <c r="AT854" s="360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 t="s">
        <v>265</v>
      </c>
      <c r="N855" s="113">
        <f t="shared" si="424"/>
        <v>9808</v>
      </c>
      <c r="O855" s="575">
        <v>0</v>
      </c>
      <c r="P855" s="582">
        <v>0</v>
      </c>
      <c r="Q855" s="589">
        <v>921.24</v>
      </c>
      <c r="R855" s="576"/>
      <c r="S855" s="583">
        <f t="shared" si="433"/>
        <v>921.24</v>
      </c>
      <c r="T855" s="580">
        <f t="shared" si="430"/>
        <v>0</v>
      </c>
      <c r="U855" s="51"/>
      <c r="V855" s="541">
        <f>+'NF-KSF-TRIAL-BAL-2021'!O855+'RA-TRIAL-BAL-2021'!O855+'DES-TRIAL-BAL-2021'!O855+'DMP-TRIAL-BAL-2021'!O855</f>
        <v>0</v>
      </c>
      <c r="W855" s="529">
        <f>+'NF-KSF-TRIAL-BAL-2021'!P855+'RA-TRIAL-BAL-2021'!P855+'DES-TRIAL-BAL-2021'!P855+'DMP-TRIAL-BAL-2021'!P855</f>
        <v>0</v>
      </c>
      <c r="X855" s="587">
        <f>+'NF-KSF-TRIAL-BAL-2021'!Q855+'RA-TRIAL-BAL-2021'!Q855+'DES-TRIAL-BAL-2021'!Q855+'DMP-TRIAL-BAL-2021'!Q855</f>
        <v>0</v>
      </c>
      <c r="Y855" s="586">
        <f>+'NF-KSF-TRIAL-BAL-2021'!R855+'RA-TRIAL-BAL-2021'!R855+'DES-TRIAL-BAL-2021'!R855+'DMP-TRIAL-BAL-2021'!R855</f>
        <v>690</v>
      </c>
      <c r="Z855" s="587">
        <f>+'NF-KSF-TRIAL-BAL-2021'!S855+'RA-TRIAL-BAL-2021'!S855+'DES-TRIAL-BAL-2021'!S855+'DMP-TRIAL-BAL-2021'!S855</f>
        <v>0</v>
      </c>
      <c r="AA855" s="588">
        <f>+'NF-KSF-TRIAL-BAL-2021'!T855+'RA-TRIAL-BAL-2021'!T855+'DES-TRIAL-BAL-2021'!T855+'DMP-TRIAL-BAL-2021'!T855</f>
        <v>690</v>
      </c>
      <c r="AB855" s="51"/>
      <c r="AC855" s="575">
        <v>0</v>
      </c>
      <c r="AD855" s="582">
        <v>0</v>
      </c>
      <c r="AE855" s="589"/>
      <c r="AF855" s="576"/>
      <c r="AG855" s="583">
        <f t="shared" si="434"/>
        <v>0</v>
      </c>
      <c r="AH855" s="580">
        <f t="shared" si="432"/>
        <v>0</v>
      </c>
      <c r="AI855" s="51"/>
      <c r="AJ855" s="1497">
        <f>+N855</f>
        <v>9808</v>
      </c>
      <c r="AK855" s="8">
        <v>0</v>
      </c>
      <c r="AL855" s="9">
        <v>0</v>
      </c>
      <c r="AM855" s="326">
        <f t="shared" si="436"/>
        <v>921.24</v>
      </c>
      <c r="AN855" s="970">
        <f t="shared" si="436"/>
        <v>690</v>
      </c>
      <c r="AO855" s="27">
        <f t="shared" si="435"/>
        <v>921.24</v>
      </c>
      <c r="AP855" s="28">
        <f t="shared" si="431"/>
        <v>690</v>
      </c>
      <c r="AQ855" s="43"/>
      <c r="AR855" s="358">
        <f>+ROUND(+SUM(AK855-AL855)-SUM(O855-P855)-SUM(V855-W855)-SUM(AC855-AD855),2)</f>
        <v>0</v>
      </c>
      <c r="AS855" s="359">
        <f>+ROUND(+SUM(AM855-AN855)-SUM(Q855-R855)-SUM(X855-Y855)-SUM(AE855-AF855),2)</f>
        <v>0</v>
      </c>
      <c r="AT855" s="360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 t="s">
        <v>265</v>
      </c>
      <c r="N856" s="113">
        <f t="shared" si="424"/>
        <v>9809</v>
      </c>
      <c r="O856" s="575">
        <v>0</v>
      </c>
      <c r="P856" s="582">
        <v>0</v>
      </c>
      <c r="Q856" s="589"/>
      <c r="R856" s="576">
        <v>6600</v>
      </c>
      <c r="S856" s="583">
        <f t="shared" si="433"/>
        <v>0</v>
      </c>
      <c r="T856" s="580">
        <f t="shared" si="430"/>
        <v>6600</v>
      </c>
      <c r="U856" s="51"/>
      <c r="V856" s="541">
        <f>+'NF-KSF-TRIAL-BAL-2021'!O856+'RA-TRIAL-BAL-2021'!O856+'DES-TRIAL-BAL-2021'!O856+'DMP-TRIAL-BAL-2021'!O856</f>
        <v>0</v>
      </c>
      <c r="W856" s="529">
        <f>+'NF-KSF-TRIAL-BAL-2021'!P856+'RA-TRIAL-BAL-2021'!P856+'DES-TRIAL-BAL-2021'!P856+'DMP-TRIAL-BAL-2021'!P856</f>
        <v>0</v>
      </c>
      <c r="X856" s="587">
        <f>+'NF-KSF-TRIAL-BAL-2021'!Q856+'RA-TRIAL-BAL-2021'!Q856+'DES-TRIAL-BAL-2021'!Q856+'DMP-TRIAL-BAL-2021'!Q856</f>
        <v>0</v>
      </c>
      <c r="Y856" s="586">
        <f>+'NF-KSF-TRIAL-BAL-2021'!R856+'RA-TRIAL-BAL-2021'!R856+'DES-TRIAL-BAL-2021'!R856+'DMP-TRIAL-BAL-2021'!R856</f>
        <v>0</v>
      </c>
      <c r="Z856" s="587">
        <f>+'NF-KSF-TRIAL-BAL-2021'!S856+'RA-TRIAL-BAL-2021'!S856+'DES-TRIAL-BAL-2021'!S856+'DMP-TRIAL-BAL-2021'!S856</f>
        <v>0</v>
      </c>
      <c r="AA856" s="588">
        <f>+'NF-KSF-TRIAL-BAL-2021'!T856+'RA-TRIAL-BAL-2021'!T856+'DES-TRIAL-BAL-2021'!T856+'DMP-TRIAL-BAL-2021'!T856</f>
        <v>0</v>
      </c>
      <c r="AB856" s="51"/>
      <c r="AC856" s="575">
        <v>0</v>
      </c>
      <c r="AD856" s="582">
        <v>0</v>
      </c>
      <c r="AE856" s="589"/>
      <c r="AF856" s="576"/>
      <c r="AG856" s="583">
        <f t="shared" si="434"/>
        <v>0</v>
      </c>
      <c r="AH856" s="580">
        <f t="shared" si="432"/>
        <v>0</v>
      </c>
      <c r="AI856" s="51"/>
      <c r="AJ856" s="1497">
        <f>+N856</f>
        <v>9809</v>
      </c>
      <c r="AK856" s="8">
        <v>0</v>
      </c>
      <c r="AL856" s="9">
        <v>0</v>
      </c>
      <c r="AM856" s="326">
        <f t="shared" si="436"/>
        <v>0</v>
      </c>
      <c r="AN856" s="970">
        <f t="shared" si="436"/>
        <v>6600</v>
      </c>
      <c r="AO856" s="27">
        <f t="shared" si="435"/>
        <v>0</v>
      </c>
      <c r="AP856" s="28">
        <f t="shared" si="431"/>
        <v>6600</v>
      </c>
      <c r="AQ856" s="43"/>
      <c r="AR856" s="358">
        <f>+ROUND(+SUM(AK856-AL856)-SUM(O856-P856)-SUM(V856-W856)-SUM(AC856-AD856),2)</f>
        <v>0</v>
      </c>
      <c r="AS856" s="359">
        <f>+ROUND(+SUM(AM856-AN856)-SUM(Q856-R856)-SUM(X856-Y856)-SUM(AE856-AF856),2)</f>
        <v>0</v>
      </c>
      <c r="AT856" s="360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 t="s">
        <v>265</v>
      </c>
      <c r="N857" s="113">
        <f t="shared" si="424"/>
        <v>9860</v>
      </c>
      <c r="O857" s="575">
        <v>0</v>
      </c>
      <c r="P857" s="582">
        <v>0</v>
      </c>
      <c r="Q857" s="589"/>
      <c r="R857" s="576">
        <v>2914903.32</v>
      </c>
      <c r="S857" s="583">
        <f t="shared" si="433"/>
        <v>0</v>
      </c>
      <c r="T857" s="580">
        <f t="shared" si="430"/>
        <v>2914903.32</v>
      </c>
      <c r="U857" s="51"/>
      <c r="V857" s="541">
        <f>+'NF-KSF-TRIAL-BAL-2021'!O857+'RA-TRIAL-BAL-2021'!O857+'DES-TRIAL-BAL-2021'!O857+'DMP-TRIAL-BAL-2021'!O857</f>
        <v>0</v>
      </c>
      <c r="W857" s="529">
        <f>+'NF-KSF-TRIAL-BAL-2021'!P857+'RA-TRIAL-BAL-2021'!P857+'DES-TRIAL-BAL-2021'!P857+'DMP-TRIAL-BAL-2021'!P857</f>
        <v>0</v>
      </c>
      <c r="X857" s="587">
        <f>+'NF-KSF-TRIAL-BAL-2021'!Q857+'RA-TRIAL-BAL-2021'!Q857+'DES-TRIAL-BAL-2021'!Q857+'DMP-TRIAL-BAL-2021'!Q857</f>
        <v>0</v>
      </c>
      <c r="Y857" s="586">
        <f>+'NF-KSF-TRIAL-BAL-2021'!R857+'RA-TRIAL-BAL-2021'!R857+'DES-TRIAL-BAL-2021'!R857+'DMP-TRIAL-BAL-2021'!R857</f>
        <v>1357497.97</v>
      </c>
      <c r="Z857" s="587">
        <f>+'NF-KSF-TRIAL-BAL-2021'!S857+'RA-TRIAL-BAL-2021'!S857+'DES-TRIAL-BAL-2021'!S857+'DMP-TRIAL-BAL-2021'!S857</f>
        <v>0</v>
      </c>
      <c r="AA857" s="588">
        <f>+'NF-KSF-TRIAL-BAL-2021'!T857+'RA-TRIAL-BAL-2021'!T857+'DES-TRIAL-BAL-2021'!T857+'DMP-TRIAL-BAL-2021'!T857</f>
        <v>1357497.97</v>
      </c>
      <c r="AB857" s="51"/>
      <c r="AC857" s="575">
        <v>0</v>
      </c>
      <c r="AD857" s="582">
        <v>0</v>
      </c>
      <c r="AE857" s="589"/>
      <c r="AF857" s="576"/>
      <c r="AG857" s="583">
        <f t="shared" si="434"/>
        <v>0</v>
      </c>
      <c r="AH857" s="580">
        <f t="shared" si="432"/>
        <v>0</v>
      </c>
      <c r="AI857" s="51"/>
      <c r="AJ857" s="1497">
        <f>+N857</f>
        <v>9860</v>
      </c>
      <c r="AK857" s="8">
        <v>0</v>
      </c>
      <c r="AL857" s="9">
        <v>0</v>
      </c>
      <c r="AM857" s="326">
        <f t="shared" si="436"/>
        <v>0</v>
      </c>
      <c r="AN857" s="970">
        <f t="shared" si="436"/>
        <v>4272401.29</v>
      </c>
      <c r="AO857" s="27">
        <f t="shared" si="435"/>
        <v>0</v>
      </c>
      <c r="AP857" s="28">
        <f t="shared" si="431"/>
        <v>4272401.29</v>
      </c>
      <c r="AQ857" s="43"/>
      <c r="AR857" s="358">
        <f>+ROUND(+SUM(AK857-AL857)-SUM(O857-P857)-SUM(V857-W857)-SUM(AC857-AD857),2)</f>
        <v>0</v>
      </c>
      <c r="AS857" s="359">
        <f>+ROUND(+SUM(AM857-AN857)-SUM(Q857-R857)-SUM(X857-Y857)-SUM(AE857-AF857),2)</f>
        <v>0</v>
      </c>
      <c r="AT857" s="360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 t="s">
        <v>265</v>
      </c>
      <c r="N858" s="113">
        <f t="shared" si="424"/>
        <v>9909</v>
      </c>
      <c r="O858" s="120">
        <v>1623779.94</v>
      </c>
      <c r="P858" s="9">
        <v>0</v>
      </c>
      <c r="Q858" s="122">
        <v>124904.63</v>
      </c>
      <c r="R858" s="324">
        <v>1365.43</v>
      </c>
      <c r="S858" s="27">
        <f t="shared" si="433"/>
        <v>1747319.14</v>
      </c>
      <c r="T858" s="30">
        <v>0</v>
      </c>
      <c r="U858" s="51"/>
      <c r="V858" s="541">
        <f>+'NF-KSF-TRIAL-BAL-2021'!O858+'RA-TRIAL-BAL-2021'!O858+'DES-TRIAL-BAL-2021'!O858+'DMP-TRIAL-BAL-2021'!O858</f>
        <v>0</v>
      </c>
      <c r="W858" s="529">
        <f>+'NF-KSF-TRIAL-BAL-2021'!P858+'RA-TRIAL-BAL-2021'!P858+'DES-TRIAL-BAL-2021'!P858+'DMP-TRIAL-BAL-2021'!P858</f>
        <v>0</v>
      </c>
      <c r="X858" s="528">
        <f>+'NF-KSF-TRIAL-BAL-2021'!Q858+'RA-TRIAL-BAL-2021'!Q858+'DES-TRIAL-BAL-2021'!Q858+'DMP-TRIAL-BAL-2021'!Q858</f>
        <v>0</v>
      </c>
      <c r="Y858" s="529">
        <f>+'NF-KSF-TRIAL-BAL-2021'!R858+'RA-TRIAL-BAL-2021'!R858+'DES-TRIAL-BAL-2021'!R858+'DMP-TRIAL-BAL-2021'!R858</f>
        <v>0</v>
      </c>
      <c r="Z858" s="528">
        <f>+'NF-KSF-TRIAL-BAL-2021'!S858+'RA-TRIAL-BAL-2021'!S858+'DES-TRIAL-BAL-2021'!S858+'DMP-TRIAL-BAL-2021'!S858</f>
        <v>0</v>
      </c>
      <c r="AA858" s="347">
        <f>+'NF-KSF-TRIAL-BAL-2021'!T858+'RA-TRIAL-BAL-2021'!T858+'DES-TRIAL-BAL-2021'!T858+'DMP-TRIAL-BAL-2021'!T858</f>
        <v>0</v>
      </c>
      <c r="AB858" s="51"/>
      <c r="AC858" s="120"/>
      <c r="AD858" s="9">
        <v>0</v>
      </c>
      <c r="AE858" s="122"/>
      <c r="AF858" s="324"/>
      <c r="AG858" s="27">
        <f t="shared" si="434"/>
        <v>0</v>
      </c>
      <c r="AH858" s="30">
        <v>0</v>
      </c>
      <c r="AI858" s="51"/>
      <c r="AJ858" s="1497">
        <f t="shared" si="423"/>
        <v>9909</v>
      </c>
      <c r="AK858" s="951">
        <f t="shared" ref="AK858:AK867" si="437">+ROUND(+O858+V858+AC858,2)</f>
        <v>1623779.94</v>
      </c>
      <c r="AL858" s="9">
        <v>0</v>
      </c>
      <c r="AM858" s="326">
        <f t="shared" si="429"/>
        <v>124904.63</v>
      </c>
      <c r="AN858" s="970">
        <f t="shared" si="429"/>
        <v>1365.43</v>
      </c>
      <c r="AO858" s="27">
        <f t="shared" si="435"/>
        <v>1747319.14</v>
      </c>
      <c r="AP858" s="331">
        <v>0</v>
      </c>
      <c r="AQ858" s="43"/>
      <c r="AR858" s="358">
        <f t="shared" si="426"/>
        <v>0</v>
      </c>
      <c r="AS858" s="359">
        <f t="shared" si="427"/>
        <v>0</v>
      </c>
      <c r="AT858" s="360">
        <f t="shared" si="428"/>
        <v>0</v>
      </c>
      <c r="AU858" s="43"/>
      <c r="AV858" s="2120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120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24"/>
      <c r="S859" s="27">
        <f t="shared" si="433"/>
        <v>0</v>
      </c>
      <c r="T859" s="30">
        <v>0</v>
      </c>
      <c r="U859" s="51"/>
      <c r="V859" s="541">
        <f>+'NF-KSF-TRIAL-BAL-2021'!O859+'RA-TRIAL-BAL-2021'!O859+'DES-TRIAL-BAL-2021'!O859+'DMP-TRIAL-BAL-2021'!O859</f>
        <v>0</v>
      </c>
      <c r="W859" s="529">
        <f>+'NF-KSF-TRIAL-BAL-2021'!P859+'RA-TRIAL-BAL-2021'!P859+'DES-TRIAL-BAL-2021'!P859+'DMP-TRIAL-BAL-2021'!P859</f>
        <v>0</v>
      </c>
      <c r="X859" s="528">
        <f>+'NF-KSF-TRIAL-BAL-2021'!Q859+'RA-TRIAL-BAL-2021'!Q859+'DES-TRIAL-BAL-2021'!Q859+'DMP-TRIAL-BAL-2021'!Q859</f>
        <v>0</v>
      </c>
      <c r="Y859" s="529">
        <f>+'NF-KSF-TRIAL-BAL-2021'!R859+'RA-TRIAL-BAL-2021'!R859+'DES-TRIAL-BAL-2021'!R859+'DMP-TRIAL-BAL-2021'!R859</f>
        <v>0</v>
      </c>
      <c r="Z859" s="528">
        <f>+'NF-KSF-TRIAL-BAL-2021'!S859+'RA-TRIAL-BAL-2021'!S859+'DES-TRIAL-BAL-2021'!S859+'DMP-TRIAL-BAL-2021'!S859</f>
        <v>0</v>
      </c>
      <c r="AA859" s="347">
        <f>+'NF-KSF-TRIAL-BAL-2021'!T859+'RA-TRIAL-BAL-2021'!T859+'DES-TRIAL-BAL-2021'!T859+'DMP-TRIAL-BAL-2021'!T859</f>
        <v>0</v>
      </c>
      <c r="AB859" s="51"/>
      <c r="AC859" s="120"/>
      <c r="AD859" s="9">
        <v>0</v>
      </c>
      <c r="AE859" s="122"/>
      <c r="AF859" s="324"/>
      <c r="AG859" s="27">
        <f t="shared" si="434"/>
        <v>0</v>
      </c>
      <c r="AH859" s="30">
        <v>0</v>
      </c>
      <c r="AI859" s="51"/>
      <c r="AJ859" s="1497">
        <f t="shared" si="423"/>
        <v>9911</v>
      </c>
      <c r="AK859" s="951">
        <f t="shared" si="437"/>
        <v>0</v>
      </c>
      <c r="AL859" s="9">
        <v>0</v>
      </c>
      <c r="AM859" s="326">
        <f t="shared" si="429"/>
        <v>0</v>
      </c>
      <c r="AN859" s="970">
        <f t="shared" si="429"/>
        <v>0</v>
      </c>
      <c r="AO859" s="27">
        <f t="shared" si="435"/>
        <v>0</v>
      </c>
      <c r="AP859" s="331">
        <v>0</v>
      </c>
      <c r="AQ859" s="43"/>
      <c r="AR859" s="358">
        <f t="shared" si="426"/>
        <v>0</v>
      </c>
      <c r="AS859" s="359">
        <f t="shared" si="427"/>
        <v>0</v>
      </c>
      <c r="AT859" s="360">
        <f t="shared" si="428"/>
        <v>0</v>
      </c>
      <c r="AU859" s="43"/>
      <c r="AV859" s="2120">
        <f t="shared" si="438"/>
        <v>0</v>
      </c>
      <c r="AW859" s="119"/>
      <c r="AX859" s="2120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 t="s">
        <v>265</v>
      </c>
      <c r="N860" s="113">
        <f t="shared" si="424"/>
        <v>9912</v>
      </c>
      <c r="O860" s="120">
        <v>2021</v>
      </c>
      <c r="P860" s="9">
        <v>0</v>
      </c>
      <c r="Q860" s="122"/>
      <c r="R860" s="324"/>
      <c r="S860" s="27">
        <f t="shared" si="433"/>
        <v>2021</v>
      </c>
      <c r="T860" s="30">
        <v>0</v>
      </c>
      <c r="U860" s="51"/>
      <c r="V860" s="541">
        <f>+'NF-KSF-TRIAL-BAL-2021'!O860+'RA-TRIAL-BAL-2021'!O860+'DES-TRIAL-BAL-2021'!O860+'DMP-TRIAL-BAL-2021'!O860</f>
        <v>0</v>
      </c>
      <c r="W860" s="529">
        <f>+'NF-KSF-TRIAL-BAL-2021'!P860+'RA-TRIAL-BAL-2021'!P860+'DES-TRIAL-BAL-2021'!P860+'DMP-TRIAL-BAL-2021'!P860</f>
        <v>0</v>
      </c>
      <c r="X860" s="528">
        <f>+'NF-KSF-TRIAL-BAL-2021'!Q860+'RA-TRIAL-BAL-2021'!Q860+'DES-TRIAL-BAL-2021'!Q860+'DMP-TRIAL-BAL-2021'!Q860</f>
        <v>0</v>
      </c>
      <c r="Y860" s="529">
        <f>+'NF-KSF-TRIAL-BAL-2021'!R860+'RA-TRIAL-BAL-2021'!R860+'DES-TRIAL-BAL-2021'!R860+'DMP-TRIAL-BAL-2021'!R860</f>
        <v>0</v>
      </c>
      <c r="Z860" s="528">
        <f>+'NF-KSF-TRIAL-BAL-2021'!S860+'RA-TRIAL-BAL-2021'!S860+'DES-TRIAL-BAL-2021'!S860+'DMP-TRIAL-BAL-2021'!S860</f>
        <v>0</v>
      </c>
      <c r="AA860" s="347">
        <f>+'NF-KSF-TRIAL-BAL-2021'!T860+'RA-TRIAL-BAL-2021'!T860+'DES-TRIAL-BAL-2021'!T860+'DMP-TRIAL-BAL-2021'!T860</f>
        <v>0</v>
      </c>
      <c r="AB860" s="51"/>
      <c r="AC860" s="120"/>
      <c r="AD860" s="9">
        <v>0</v>
      </c>
      <c r="AE860" s="122"/>
      <c r="AF860" s="324"/>
      <c r="AG860" s="27">
        <f t="shared" si="434"/>
        <v>0</v>
      </c>
      <c r="AH860" s="30">
        <v>0</v>
      </c>
      <c r="AI860" s="51"/>
      <c r="AJ860" s="1497">
        <f t="shared" si="423"/>
        <v>9912</v>
      </c>
      <c r="AK860" s="951">
        <f t="shared" si="437"/>
        <v>2021</v>
      </c>
      <c r="AL860" s="9">
        <v>0</v>
      </c>
      <c r="AM860" s="326">
        <f t="shared" si="429"/>
        <v>0</v>
      </c>
      <c r="AN860" s="970">
        <f t="shared" si="429"/>
        <v>0</v>
      </c>
      <c r="AO860" s="27">
        <f t="shared" si="435"/>
        <v>2021</v>
      </c>
      <c r="AP860" s="331">
        <v>0</v>
      </c>
      <c r="AQ860" s="43"/>
      <c r="AR860" s="358">
        <f t="shared" si="426"/>
        <v>0</v>
      </c>
      <c r="AS860" s="359">
        <f t="shared" si="427"/>
        <v>0</v>
      </c>
      <c r="AT860" s="360">
        <f t="shared" si="428"/>
        <v>0</v>
      </c>
      <c r="AU860" s="43"/>
      <c r="AV860" s="2120">
        <f t="shared" si="438"/>
        <v>0</v>
      </c>
      <c r="AW860" s="119"/>
      <c r="AX860" s="2120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 t="s">
        <v>265</v>
      </c>
      <c r="N861" s="113">
        <f t="shared" si="424"/>
        <v>9913</v>
      </c>
      <c r="O861" s="120">
        <v>29433</v>
      </c>
      <c r="P861" s="9">
        <v>0</v>
      </c>
      <c r="Q861" s="122"/>
      <c r="R861" s="324"/>
      <c r="S861" s="27">
        <f t="shared" si="433"/>
        <v>29433</v>
      </c>
      <c r="T861" s="30">
        <v>0</v>
      </c>
      <c r="U861" s="51"/>
      <c r="V861" s="541">
        <f>+'NF-KSF-TRIAL-BAL-2021'!O861+'RA-TRIAL-BAL-2021'!O861+'DES-TRIAL-BAL-2021'!O861+'DMP-TRIAL-BAL-2021'!O861</f>
        <v>0</v>
      </c>
      <c r="W861" s="529">
        <f>+'NF-KSF-TRIAL-BAL-2021'!P861+'RA-TRIAL-BAL-2021'!P861+'DES-TRIAL-BAL-2021'!P861+'DMP-TRIAL-BAL-2021'!P861</f>
        <v>0</v>
      </c>
      <c r="X861" s="528">
        <f>+'NF-KSF-TRIAL-BAL-2021'!Q861+'RA-TRIAL-BAL-2021'!Q861+'DES-TRIAL-BAL-2021'!Q861+'DMP-TRIAL-BAL-2021'!Q861</f>
        <v>0</v>
      </c>
      <c r="Y861" s="529">
        <f>+'NF-KSF-TRIAL-BAL-2021'!R861+'RA-TRIAL-BAL-2021'!R861+'DES-TRIAL-BAL-2021'!R861+'DMP-TRIAL-BAL-2021'!R861</f>
        <v>0</v>
      </c>
      <c r="Z861" s="528">
        <f>+'NF-KSF-TRIAL-BAL-2021'!S861+'RA-TRIAL-BAL-2021'!S861+'DES-TRIAL-BAL-2021'!S861+'DMP-TRIAL-BAL-2021'!S861</f>
        <v>0</v>
      </c>
      <c r="AA861" s="347">
        <f>+'NF-KSF-TRIAL-BAL-2021'!T861+'RA-TRIAL-BAL-2021'!T861+'DES-TRIAL-BAL-2021'!T861+'DMP-TRIAL-BAL-2021'!T861</f>
        <v>0</v>
      </c>
      <c r="AB861" s="51"/>
      <c r="AC861" s="120"/>
      <c r="AD861" s="9">
        <v>0</v>
      </c>
      <c r="AE861" s="122"/>
      <c r="AF861" s="324"/>
      <c r="AG861" s="27">
        <f t="shared" si="434"/>
        <v>0</v>
      </c>
      <c r="AH861" s="30">
        <v>0</v>
      </c>
      <c r="AI861" s="51"/>
      <c r="AJ861" s="1497">
        <f t="shared" si="423"/>
        <v>9913</v>
      </c>
      <c r="AK861" s="951">
        <f t="shared" si="437"/>
        <v>29433</v>
      </c>
      <c r="AL861" s="9">
        <v>0</v>
      </c>
      <c r="AM861" s="326">
        <f t="shared" si="429"/>
        <v>0</v>
      </c>
      <c r="AN861" s="970">
        <f t="shared" si="429"/>
        <v>0</v>
      </c>
      <c r="AO861" s="27">
        <f t="shared" si="435"/>
        <v>29433</v>
      </c>
      <c r="AP861" s="331">
        <v>0</v>
      </c>
      <c r="AQ861" s="43"/>
      <c r="AR861" s="358">
        <f t="shared" si="426"/>
        <v>0</v>
      </c>
      <c r="AS861" s="359">
        <f t="shared" si="427"/>
        <v>0</v>
      </c>
      <c r="AT861" s="360">
        <f t="shared" si="428"/>
        <v>0</v>
      </c>
      <c r="AU861" s="43"/>
      <c r="AV861" s="2120">
        <f t="shared" si="438"/>
        <v>0</v>
      </c>
      <c r="AW861" s="119"/>
      <c r="AX861" s="2120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24"/>
      <c r="S862" s="27">
        <f t="shared" si="433"/>
        <v>0</v>
      </c>
      <c r="T862" s="30">
        <v>0</v>
      </c>
      <c r="U862" s="51"/>
      <c r="V862" s="541">
        <f>+'NF-KSF-TRIAL-BAL-2021'!O862+'RA-TRIAL-BAL-2021'!O862+'DES-TRIAL-BAL-2021'!O862+'DMP-TRIAL-BAL-2021'!O862</f>
        <v>0</v>
      </c>
      <c r="W862" s="529">
        <f>+'NF-KSF-TRIAL-BAL-2021'!P862+'RA-TRIAL-BAL-2021'!P862+'DES-TRIAL-BAL-2021'!P862+'DMP-TRIAL-BAL-2021'!P862</f>
        <v>0</v>
      </c>
      <c r="X862" s="528">
        <f>+'NF-KSF-TRIAL-BAL-2021'!Q862+'RA-TRIAL-BAL-2021'!Q862+'DES-TRIAL-BAL-2021'!Q862+'DMP-TRIAL-BAL-2021'!Q862</f>
        <v>0</v>
      </c>
      <c r="Y862" s="529">
        <f>+'NF-KSF-TRIAL-BAL-2021'!R862+'RA-TRIAL-BAL-2021'!R862+'DES-TRIAL-BAL-2021'!R862+'DMP-TRIAL-BAL-2021'!R862</f>
        <v>0</v>
      </c>
      <c r="Z862" s="528">
        <f>+'NF-KSF-TRIAL-BAL-2021'!S862+'RA-TRIAL-BAL-2021'!S862+'DES-TRIAL-BAL-2021'!S862+'DMP-TRIAL-BAL-2021'!S862</f>
        <v>0</v>
      </c>
      <c r="AA862" s="347">
        <f>+'NF-KSF-TRIAL-BAL-2021'!T862+'RA-TRIAL-BAL-2021'!T862+'DES-TRIAL-BAL-2021'!T862+'DMP-TRIAL-BAL-2021'!T862</f>
        <v>0</v>
      </c>
      <c r="AB862" s="51"/>
      <c r="AC862" s="120"/>
      <c r="AD862" s="9">
        <v>0</v>
      </c>
      <c r="AE862" s="122"/>
      <c r="AF862" s="324"/>
      <c r="AG862" s="27">
        <f t="shared" si="434"/>
        <v>0</v>
      </c>
      <c r="AH862" s="30">
        <v>0</v>
      </c>
      <c r="AI862" s="51"/>
      <c r="AJ862" s="1497">
        <f t="shared" si="423"/>
        <v>9914</v>
      </c>
      <c r="AK862" s="951">
        <f t="shared" si="437"/>
        <v>0</v>
      </c>
      <c r="AL862" s="9">
        <v>0</v>
      </c>
      <c r="AM862" s="326">
        <f t="shared" si="429"/>
        <v>0</v>
      </c>
      <c r="AN862" s="970">
        <f t="shared" si="429"/>
        <v>0</v>
      </c>
      <c r="AO862" s="27">
        <f t="shared" si="435"/>
        <v>0</v>
      </c>
      <c r="AP862" s="331">
        <v>0</v>
      </c>
      <c r="AQ862" s="43"/>
      <c r="AR862" s="358">
        <f t="shared" si="426"/>
        <v>0</v>
      </c>
      <c r="AS862" s="359">
        <f t="shared" si="427"/>
        <v>0</v>
      </c>
      <c r="AT862" s="360">
        <f t="shared" si="428"/>
        <v>0</v>
      </c>
      <c r="AU862" s="43"/>
      <c r="AV862" s="2120">
        <f t="shared" si="438"/>
        <v>0</v>
      </c>
      <c r="AW862" s="119"/>
      <c r="AX862" s="2120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 t="s">
        <v>265</v>
      </c>
      <c r="N863" s="113">
        <f t="shared" si="424"/>
        <v>9915</v>
      </c>
      <c r="O863" s="120">
        <v>510221</v>
      </c>
      <c r="P863" s="9">
        <v>0</v>
      </c>
      <c r="Q863" s="122">
        <v>-54461</v>
      </c>
      <c r="R863" s="324"/>
      <c r="S863" s="27">
        <f t="shared" si="433"/>
        <v>455760</v>
      </c>
      <c r="T863" s="30">
        <v>0</v>
      </c>
      <c r="U863" s="51"/>
      <c r="V863" s="541">
        <f>+'NF-KSF-TRIAL-BAL-2021'!O863+'RA-TRIAL-BAL-2021'!O863+'DES-TRIAL-BAL-2021'!O863+'DMP-TRIAL-BAL-2021'!O863</f>
        <v>0</v>
      </c>
      <c r="W863" s="529">
        <f>+'NF-KSF-TRIAL-BAL-2021'!P863+'RA-TRIAL-BAL-2021'!P863+'DES-TRIAL-BAL-2021'!P863+'DMP-TRIAL-BAL-2021'!P863</f>
        <v>0</v>
      </c>
      <c r="X863" s="528">
        <f>+'NF-KSF-TRIAL-BAL-2021'!Q863+'RA-TRIAL-BAL-2021'!Q863+'DES-TRIAL-BAL-2021'!Q863+'DMP-TRIAL-BAL-2021'!Q863</f>
        <v>0</v>
      </c>
      <c r="Y863" s="529">
        <f>+'NF-KSF-TRIAL-BAL-2021'!R863+'RA-TRIAL-BAL-2021'!R863+'DES-TRIAL-BAL-2021'!R863+'DMP-TRIAL-BAL-2021'!R863</f>
        <v>0</v>
      </c>
      <c r="Z863" s="528">
        <f>+'NF-KSF-TRIAL-BAL-2021'!S863+'RA-TRIAL-BAL-2021'!S863+'DES-TRIAL-BAL-2021'!S863+'DMP-TRIAL-BAL-2021'!S863</f>
        <v>0</v>
      </c>
      <c r="AA863" s="347">
        <f>+'NF-KSF-TRIAL-BAL-2021'!T863+'RA-TRIAL-BAL-2021'!T863+'DES-TRIAL-BAL-2021'!T863+'DMP-TRIAL-BAL-2021'!T863</f>
        <v>0</v>
      </c>
      <c r="AB863" s="51"/>
      <c r="AC863" s="120"/>
      <c r="AD863" s="9">
        <v>0</v>
      </c>
      <c r="AE863" s="122"/>
      <c r="AF863" s="324"/>
      <c r="AG863" s="27">
        <f t="shared" si="434"/>
        <v>0</v>
      </c>
      <c r="AH863" s="30">
        <v>0</v>
      </c>
      <c r="AI863" s="51"/>
      <c r="AJ863" s="1497">
        <f t="shared" si="423"/>
        <v>9915</v>
      </c>
      <c r="AK863" s="951">
        <f t="shared" si="437"/>
        <v>510221</v>
      </c>
      <c r="AL863" s="9">
        <v>0</v>
      </c>
      <c r="AM863" s="326">
        <f t="shared" si="429"/>
        <v>-54461</v>
      </c>
      <c r="AN863" s="970">
        <f t="shared" si="429"/>
        <v>0</v>
      </c>
      <c r="AO863" s="27">
        <f t="shared" si="435"/>
        <v>455760</v>
      </c>
      <c r="AP863" s="331">
        <v>0</v>
      </c>
      <c r="AQ863" s="43"/>
      <c r="AR863" s="358">
        <f t="shared" si="426"/>
        <v>0</v>
      </c>
      <c r="AS863" s="359">
        <f t="shared" si="427"/>
        <v>0</v>
      </c>
      <c r="AT863" s="360">
        <f t="shared" si="428"/>
        <v>0</v>
      </c>
      <c r="AU863" s="43"/>
      <c r="AV863" s="2120">
        <f t="shared" si="438"/>
        <v>0</v>
      </c>
      <c r="AW863" s="119"/>
      <c r="AX863" s="2120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 t="s">
        <v>265</v>
      </c>
      <c r="N864" s="113">
        <f t="shared" si="424"/>
        <v>9916</v>
      </c>
      <c r="O864" s="581"/>
      <c r="P864" s="582">
        <v>0</v>
      </c>
      <c r="Q864" s="589"/>
      <c r="R864" s="324"/>
      <c r="S864" s="583">
        <f t="shared" si="433"/>
        <v>0</v>
      </c>
      <c r="T864" s="584">
        <v>0</v>
      </c>
      <c r="U864" s="51"/>
      <c r="V864" s="541">
        <f>+'NF-KSF-TRIAL-BAL-2021'!O864+'RA-TRIAL-BAL-2021'!O864+'DES-TRIAL-BAL-2021'!O864+'DMP-TRIAL-BAL-2021'!O864</f>
        <v>0</v>
      </c>
      <c r="W864" s="529">
        <f>+'NF-KSF-TRIAL-BAL-2021'!P864+'RA-TRIAL-BAL-2021'!P864+'DES-TRIAL-BAL-2021'!P864+'DMP-TRIAL-BAL-2021'!P864</f>
        <v>0</v>
      </c>
      <c r="X864" s="587">
        <f>+'NF-KSF-TRIAL-BAL-2021'!Q864+'RA-TRIAL-BAL-2021'!Q864+'DES-TRIAL-BAL-2021'!Q864+'DMP-TRIAL-BAL-2021'!Q864</f>
        <v>0</v>
      </c>
      <c r="Y864" s="586">
        <f>+'NF-KSF-TRIAL-BAL-2021'!R864+'RA-TRIAL-BAL-2021'!R864+'DES-TRIAL-BAL-2021'!R864+'DMP-TRIAL-BAL-2021'!R864</f>
        <v>0</v>
      </c>
      <c r="Z864" s="587">
        <f>+'NF-KSF-TRIAL-BAL-2021'!S864+'RA-TRIAL-BAL-2021'!S864+'DES-TRIAL-BAL-2021'!S864+'DMP-TRIAL-BAL-2021'!S864</f>
        <v>0</v>
      </c>
      <c r="AA864" s="588">
        <f>+'NF-KSF-TRIAL-BAL-2021'!T864+'RA-TRIAL-BAL-2021'!T864+'DES-TRIAL-BAL-2021'!T864+'DMP-TRIAL-BAL-2021'!T864</f>
        <v>0</v>
      </c>
      <c r="AB864" s="51"/>
      <c r="AC864" s="581"/>
      <c r="AD864" s="582">
        <v>0</v>
      </c>
      <c r="AE864" s="589"/>
      <c r="AF864" s="324"/>
      <c r="AG864" s="583">
        <f t="shared" si="434"/>
        <v>0</v>
      </c>
      <c r="AH864" s="584">
        <v>0</v>
      </c>
      <c r="AI864" s="51"/>
      <c r="AJ864" s="1497">
        <f>+N864</f>
        <v>9916</v>
      </c>
      <c r="AK864" s="951">
        <f>+ROUND(+O864+V864+AC864,2)</f>
        <v>0</v>
      </c>
      <c r="AL864" s="9">
        <v>0</v>
      </c>
      <c r="AM864" s="326">
        <f t="shared" si="429"/>
        <v>0</v>
      </c>
      <c r="AN864" s="970">
        <f t="shared" si="429"/>
        <v>0</v>
      </c>
      <c r="AO864" s="27">
        <f t="shared" si="435"/>
        <v>0</v>
      </c>
      <c r="AP864" s="30">
        <v>0</v>
      </c>
      <c r="AQ864" s="43"/>
      <c r="AR864" s="358">
        <f>+ROUND(+SUM(AK864-AL864)-SUM(O864-P864)-SUM(V864-W864)-SUM(AC864-AD864),2)</f>
        <v>0</v>
      </c>
      <c r="AS864" s="359">
        <f>+ROUND(+SUM(AM864-AN864)-SUM(Q864-R864)-SUM(X864-Y864)-SUM(AE864-AF864),2)</f>
        <v>0</v>
      </c>
      <c r="AT864" s="360">
        <f>+ROUND(+SUM(AO864-AP864)-SUM(S864-T864)-SUM(Z864-AA864)-SUM(AG864-AH864),2)</f>
        <v>0</v>
      </c>
      <c r="AU864" s="43"/>
      <c r="AV864" s="2120">
        <f t="shared" si="438"/>
        <v>0</v>
      </c>
      <c r="AW864" s="119"/>
      <c r="AX864" s="2120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 t="s">
        <v>265</v>
      </c>
      <c r="N865" s="113">
        <f t="shared" si="424"/>
        <v>9917</v>
      </c>
      <c r="O865" s="581"/>
      <c r="P865" s="582">
        <v>0</v>
      </c>
      <c r="Q865" s="589"/>
      <c r="R865" s="324"/>
      <c r="S865" s="583">
        <f t="shared" si="433"/>
        <v>0</v>
      </c>
      <c r="T865" s="584">
        <v>0</v>
      </c>
      <c r="U865" s="51"/>
      <c r="V865" s="541">
        <f>+'NF-KSF-TRIAL-BAL-2021'!O865+'RA-TRIAL-BAL-2021'!O865+'DES-TRIAL-BAL-2021'!O865+'DMP-TRIAL-BAL-2021'!O865</f>
        <v>0</v>
      </c>
      <c r="W865" s="529">
        <f>+'NF-KSF-TRIAL-BAL-2021'!P865+'RA-TRIAL-BAL-2021'!P865+'DES-TRIAL-BAL-2021'!P865+'DMP-TRIAL-BAL-2021'!P865</f>
        <v>0</v>
      </c>
      <c r="X865" s="587">
        <f>+'NF-KSF-TRIAL-BAL-2021'!Q865+'RA-TRIAL-BAL-2021'!Q865+'DES-TRIAL-BAL-2021'!Q865+'DMP-TRIAL-BAL-2021'!Q865</f>
        <v>0</v>
      </c>
      <c r="Y865" s="586">
        <f>+'NF-KSF-TRIAL-BAL-2021'!R865+'RA-TRIAL-BAL-2021'!R865+'DES-TRIAL-BAL-2021'!R865+'DMP-TRIAL-BAL-2021'!R865</f>
        <v>0</v>
      </c>
      <c r="Z865" s="587">
        <f>+'NF-KSF-TRIAL-BAL-2021'!S865+'RA-TRIAL-BAL-2021'!S865+'DES-TRIAL-BAL-2021'!S865+'DMP-TRIAL-BAL-2021'!S865</f>
        <v>0</v>
      </c>
      <c r="AA865" s="588">
        <f>+'NF-KSF-TRIAL-BAL-2021'!T865+'RA-TRIAL-BAL-2021'!T865+'DES-TRIAL-BAL-2021'!T865+'DMP-TRIAL-BAL-2021'!T865</f>
        <v>0</v>
      </c>
      <c r="AB865" s="51"/>
      <c r="AC865" s="581"/>
      <c r="AD865" s="582">
        <v>0</v>
      </c>
      <c r="AE865" s="589"/>
      <c r="AF865" s="324"/>
      <c r="AG865" s="583">
        <f t="shared" si="434"/>
        <v>0</v>
      </c>
      <c r="AH865" s="584">
        <v>0</v>
      </c>
      <c r="AI865" s="51"/>
      <c r="AJ865" s="1497">
        <f>+N865</f>
        <v>9917</v>
      </c>
      <c r="AK865" s="951">
        <f>+ROUND(+O865+V865+AC865,2)</f>
        <v>0</v>
      </c>
      <c r="AL865" s="9">
        <v>0</v>
      </c>
      <c r="AM865" s="326">
        <f>+ROUND(+Q865+X865+AE865,2)</f>
        <v>0</v>
      </c>
      <c r="AN865" s="970">
        <f>+ROUND(+R865+Y865+AF865,2)</f>
        <v>0</v>
      </c>
      <c r="AO865" s="27">
        <f t="shared" si="435"/>
        <v>0</v>
      </c>
      <c r="AP865" s="30">
        <v>0</v>
      </c>
      <c r="AQ865" s="43"/>
      <c r="AR865" s="358">
        <f>+ROUND(+SUM(AK865-AL865)-SUM(O865-P865)-SUM(V865-W865)-SUM(AC865-AD865),2)</f>
        <v>0</v>
      </c>
      <c r="AS865" s="359">
        <f>+ROUND(+SUM(AM865-AN865)-SUM(Q865-R865)-SUM(X865-Y865)-SUM(AE865-AF865),2)</f>
        <v>0</v>
      </c>
      <c r="AT865" s="360">
        <f>+ROUND(+SUM(AO865-AP865)-SUM(S865-T865)-SUM(Z865-AA865)-SUM(AG865-AH865),2)</f>
        <v>0</v>
      </c>
      <c r="AU865" s="43"/>
      <c r="AV865" s="2120">
        <f t="shared" si="438"/>
        <v>0</v>
      </c>
      <c r="AW865" s="119"/>
      <c r="AX865" s="2120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24"/>
      <c r="S866" s="27">
        <f t="shared" si="433"/>
        <v>0</v>
      </c>
      <c r="T866" s="30">
        <v>0</v>
      </c>
      <c r="U866" s="51"/>
      <c r="V866" s="541">
        <f>+'NF-KSF-TRIAL-BAL-2021'!O866+'RA-TRIAL-BAL-2021'!O866+'DES-TRIAL-BAL-2021'!O866+'DMP-TRIAL-BAL-2021'!O866</f>
        <v>0</v>
      </c>
      <c r="W866" s="529">
        <f>+'NF-KSF-TRIAL-BAL-2021'!P866+'RA-TRIAL-BAL-2021'!P866+'DES-TRIAL-BAL-2021'!P866+'DMP-TRIAL-BAL-2021'!P866</f>
        <v>0</v>
      </c>
      <c r="X866" s="528">
        <f>+'NF-KSF-TRIAL-BAL-2021'!Q866+'RA-TRIAL-BAL-2021'!Q866+'DES-TRIAL-BAL-2021'!Q866+'DMP-TRIAL-BAL-2021'!Q866</f>
        <v>0</v>
      </c>
      <c r="Y866" s="529">
        <f>+'NF-KSF-TRIAL-BAL-2021'!R866+'RA-TRIAL-BAL-2021'!R866+'DES-TRIAL-BAL-2021'!R866+'DMP-TRIAL-BAL-2021'!R866</f>
        <v>0</v>
      </c>
      <c r="Z866" s="528">
        <f>+'NF-KSF-TRIAL-BAL-2021'!S866+'RA-TRIAL-BAL-2021'!S866+'DES-TRIAL-BAL-2021'!S866+'DMP-TRIAL-BAL-2021'!S866</f>
        <v>0</v>
      </c>
      <c r="AA866" s="347">
        <f>+'NF-KSF-TRIAL-BAL-2021'!T866+'RA-TRIAL-BAL-2021'!T866+'DES-TRIAL-BAL-2021'!T866+'DMP-TRIAL-BAL-2021'!T866</f>
        <v>0</v>
      </c>
      <c r="AB866" s="51"/>
      <c r="AC866" s="120"/>
      <c r="AD866" s="9">
        <v>0</v>
      </c>
      <c r="AE866" s="122"/>
      <c r="AF866" s="324"/>
      <c r="AG866" s="27">
        <f t="shared" si="434"/>
        <v>0</v>
      </c>
      <c r="AH866" s="30">
        <v>0</v>
      </c>
      <c r="AI866" s="51"/>
      <c r="AJ866" s="1497">
        <f t="shared" si="423"/>
        <v>9918</v>
      </c>
      <c r="AK866" s="951">
        <f t="shared" si="437"/>
        <v>0</v>
      </c>
      <c r="AL866" s="9">
        <v>0</v>
      </c>
      <c r="AM866" s="326">
        <f t="shared" si="429"/>
        <v>0</v>
      </c>
      <c r="AN866" s="970">
        <f t="shared" si="429"/>
        <v>0</v>
      </c>
      <c r="AO866" s="27">
        <f t="shared" si="435"/>
        <v>0</v>
      </c>
      <c r="AP866" s="331">
        <v>0</v>
      </c>
      <c r="AQ866" s="43"/>
      <c r="AR866" s="358">
        <f t="shared" si="426"/>
        <v>0</v>
      </c>
      <c r="AS866" s="359">
        <f t="shared" si="427"/>
        <v>0</v>
      </c>
      <c r="AT866" s="360">
        <f t="shared" si="428"/>
        <v>0</v>
      </c>
      <c r="AU866" s="43"/>
      <c r="AV866" s="2120">
        <f t="shared" si="438"/>
        <v>0</v>
      </c>
      <c r="AW866" s="119"/>
      <c r="AX866" s="2120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 t="s">
        <v>265</v>
      </c>
      <c r="N867" s="113">
        <f t="shared" si="424"/>
        <v>9919</v>
      </c>
      <c r="O867" s="120"/>
      <c r="P867" s="9">
        <v>0</v>
      </c>
      <c r="Q867" s="122"/>
      <c r="R867" s="324"/>
      <c r="S867" s="27">
        <f t="shared" si="433"/>
        <v>0</v>
      </c>
      <c r="T867" s="30">
        <v>0</v>
      </c>
      <c r="U867" s="51"/>
      <c r="V867" s="541">
        <f>+'NF-KSF-TRIAL-BAL-2021'!O867+'RA-TRIAL-BAL-2021'!O867+'DES-TRIAL-BAL-2021'!O867+'DMP-TRIAL-BAL-2021'!O867</f>
        <v>0</v>
      </c>
      <c r="W867" s="529">
        <f>+'NF-KSF-TRIAL-BAL-2021'!P867+'RA-TRIAL-BAL-2021'!P867+'DES-TRIAL-BAL-2021'!P867+'DMP-TRIAL-BAL-2021'!P867</f>
        <v>0</v>
      </c>
      <c r="X867" s="528">
        <f>+'NF-KSF-TRIAL-BAL-2021'!Q867+'RA-TRIAL-BAL-2021'!Q867+'DES-TRIAL-BAL-2021'!Q867+'DMP-TRIAL-BAL-2021'!Q867</f>
        <v>0</v>
      </c>
      <c r="Y867" s="529">
        <f>+'NF-KSF-TRIAL-BAL-2021'!R867+'RA-TRIAL-BAL-2021'!R867+'DES-TRIAL-BAL-2021'!R867+'DMP-TRIAL-BAL-2021'!R867</f>
        <v>0</v>
      </c>
      <c r="Z867" s="528">
        <f>+'NF-KSF-TRIAL-BAL-2021'!S867+'RA-TRIAL-BAL-2021'!S867+'DES-TRIAL-BAL-2021'!S867+'DMP-TRIAL-BAL-2021'!S867</f>
        <v>0</v>
      </c>
      <c r="AA867" s="347">
        <f>+'NF-KSF-TRIAL-BAL-2021'!T867+'RA-TRIAL-BAL-2021'!T867+'DES-TRIAL-BAL-2021'!T867+'DMP-TRIAL-BAL-2021'!T867</f>
        <v>0</v>
      </c>
      <c r="AB867" s="51"/>
      <c r="AC867" s="120"/>
      <c r="AD867" s="9">
        <v>0</v>
      </c>
      <c r="AE867" s="122"/>
      <c r="AF867" s="324"/>
      <c r="AG867" s="27">
        <f t="shared" si="434"/>
        <v>0</v>
      </c>
      <c r="AH867" s="30">
        <v>0</v>
      </c>
      <c r="AI867" s="51"/>
      <c r="AJ867" s="1497">
        <f t="shared" si="423"/>
        <v>9919</v>
      </c>
      <c r="AK867" s="951">
        <f t="shared" si="437"/>
        <v>0</v>
      </c>
      <c r="AL867" s="9">
        <v>0</v>
      </c>
      <c r="AM867" s="326">
        <f t="shared" si="429"/>
        <v>0</v>
      </c>
      <c r="AN867" s="970">
        <f t="shared" si="429"/>
        <v>0</v>
      </c>
      <c r="AO867" s="27">
        <f t="shared" si="435"/>
        <v>0</v>
      </c>
      <c r="AP867" s="331">
        <v>0</v>
      </c>
      <c r="AQ867" s="43"/>
      <c r="AR867" s="358">
        <f t="shared" si="426"/>
        <v>0</v>
      </c>
      <c r="AS867" s="359">
        <f t="shared" si="427"/>
        <v>0</v>
      </c>
      <c r="AT867" s="360">
        <f t="shared" si="428"/>
        <v>0</v>
      </c>
      <c r="AU867" s="43"/>
      <c r="AV867" s="2120">
        <f t="shared" si="438"/>
        <v>0</v>
      </c>
      <c r="AW867" s="119"/>
      <c r="AX867" s="2120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24"/>
      <c r="S868" s="29">
        <v>0</v>
      </c>
      <c r="T868" s="28">
        <f t="shared" ref="T868:T879" si="440">+IF(ABS(+O868+Q868)&lt;=ABS(P868+R868),-O868+P868-Q868+R868,0)</f>
        <v>0</v>
      </c>
      <c r="U868" s="51"/>
      <c r="V868" s="541">
        <f>+'NF-KSF-TRIAL-BAL-2021'!O868+'RA-TRIAL-BAL-2021'!O868+'DES-TRIAL-BAL-2021'!O868+'DMP-TRIAL-BAL-2021'!O868</f>
        <v>0</v>
      </c>
      <c r="W868" s="529">
        <f>+'NF-KSF-TRIAL-BAL-2021'!P868+'RA-TRIAL-BAL-2021'!P868+'DES-TRIAL-BAL-2021'!P868+'DMP-TRIAL-BAL-2021'!P868</f>
        <v>0</v>
      </c>
      <c r="X868" s="528">
        <f>+'NF-KSF-TRIAL-BAL-2021'!Q868+'RA-TRIAL-BAL-2021'!Q868+'DES-TRIAL-BAL-2021'!Q868+'DMP-TRIAL-BAL-2021'!Q868</f>
        <v>0</v>
      </c>
      <c r="Y868" s="529">
        <f>+'NF-KSF-TRIAL-BAL-2021'!R868+'RA-TRIAL-BAL-2021'!R868+'DES-TRIAL-BAL-2021'!R868+'DMP-TRIAL-BAL-2021'!R868</f>
        <v>0</v>
      </c>
      <c r="Z868" s="528">
        <f>+'NF-KSF-TRIAL-BAL-2021'!S868+'RA-TRIAL-BAL-2021'!S868+'DES-TRIAL-BAL-2021'!S868+'DMP-TRIAL-BAL-2021'!S868</f>
        <v>0</v>
      </c>
      <c r="AA868" s="347">
        <f>+'NF-KSF-TRIAL-BAL-2021'!T868+'RA-TRIAL-BAL-2021'!T868+'DES-TRIAL-BAL-2021'!T868+'DMP-TRIAL-BAL-2021'!T868</f>
        <v>0</v>
      </c>
      <c r="AB868" s="51"/>
      <c r="AC868" s="8">
        <v>0</v>
      </c>
      <c r="AD868" s="121"/>
      <c r="AE868" s="122"/>
      <c r="AF868" s="324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97">
        <f t="shared" si="423"/>
        <v>9921</v>
      </c>
      <c r="AK868" s="328">
        <v>0</v>
      </c>
      <c r="AL868" s="970">
        <f t="shared" ref="AL868:AL875" si="442">+ROUND(+P868+W868+AD868,2)</f>
        <v>0</v>
      </c>
      <c r="AM868" s="326">
        <f t="shared" si="429"/>
        <v>0</v>
      </c>
      <c r="AN868" s="970">
        <f t="shared" si="429"/>
        <v>0</v>
      </c>
      <c r="AO868" s="330">
        <v>0</v>
      </c>
      <c r="AP868" s="28">
        <f t="shared" ref="AP868:AP883" si="443">+T868+AA868+AH868</f>
        <v>0</v>
      </c>
      <c r="AQ868" s="43"/>
      <c r="AR868" s="358">
        <f t="shared" si="426"/>
        <v>0</v>
      </c>
      <c r="AS868" s="359">
        <f t="shared" si="427"/>
        <v>0</v>
      </c>
      <c r="AT868" s="360">
        <f t="shared" si="428"/>
        <v>0</v>
      </c>
      <c r="AU868" s="43"/>
      <c r="AV868" s="2119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119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24"/>
      <c r="S869" s="29">
        <v>0</v>
      </c>
      <c r="T869" s="28">
        <f t="shared" si="440"/>
        <v>0</v>
      </c>
      <c r="U869" s="51"/>
      <c r="V869" s="541">
        <f>+'NF-KSF-TRIAL-BAL-2021'!O869+'RA-TRIAL-BAL-2021'!O869+'DES-TRIAL-BAL-2021'!O869+'DMP-TRIAL-BAL-2021'!O869</f>
        <v>0</v>
      </c>
      <c r="W869" s="529">
        <f>+'NF-KSF-TRIAL-BAL-2021'!P869+'RA-TRIAL-BAL-2021'!P869+'DES-TRIAL-BAL-2021'!P869+'DMP-TRIAL-BAL-2021'!P869</f>
        <v>0</v>
      </c>
      <c r="X869" s="528">
        <f>+'NF-KSF-TRIAL-BAL-2021'!Q869+'RA-TRIAL-BAL-2021'!Q869+'DES-TRIAL-BAL-2021'!Q869+'DMP-TRIAL-BAL-2021'!Q869</f>
        <v>0</v>
      </c>
      <c r="Y869" s="529">
        <f>+'NF-KSF-TRIAL-BAL-2021'!R869+'RA-TRIAL-BAL-2021'!R869+'DES-TRIAL-BAL-2021'!R869+'DMP-TRIAL-BAL-2021'!R869</f>
        <v>0</v>
      </c>
      <c r="Z869" s="528">
        <f>+'NF-KSF-TRIAL-BAL-2021'!S869+'RA-TRIAL-BAL-2021'!S869+'DES-TRIAL-BAL-2021'!S869+'DMP-TRIAL-BAL-2021'!S869</f>
        <v>0</v>
      </c>
      <c r="AA869" s="347">
        <f>+'NF-KSF-TRIAL-BAL-2021'!T869+'RA-TRIAL-BAL-2021'!T869+'DES-TRIAL-BAL-2021'!T869+'DMP-TRIAL-BAL-2021'!T869</f>
        <v>0</v>
      </c>
      <c r="AB869" s="51"/>
      <c r="AC869" s="8">
        <v>0</v>
      </c>
      <c r="AD869" s="121"/>
      <c r="AE869" s="122"/>
      <c r="AF869" s="324"/>
      <c r="AG869" s="29">
        <v>0</v>
      </c>
      <c r="AH869" s="28">
        <f t="shared" si="441"/>
        <v>0</v>
      </c>
      <c r="AI869" s="51"/>
      <c r="AJ869" s="1497">
        <f t="shared" si="423"/>
        <v>9922</v>
      </c>
      <c r="AK869" s="328">
        <v>0</v>
      </c>
      <c r="AL869" s="970">
        <f t="shared" si="442"/>
        <v>0</v>
      </c>
      <c r="AM869" s="326">
        <f t="shared" si="429"/>
        <v>0</v>
      </c>
      <c r="AN869" s="970">
        <f t="shared" si="429"/>
        <v>0</v>
      </c>
      <c r="AO869" s="330">
        <v>0</v>
      </c>
      <c r="AP869" s="28">
        <f t="shared" si="443"/>
        <v>0</v>
      </c>
      <c r="AQ869" s="43"/>
      <c r="AR869" s="358">
        <f t="shared" si="426"/>
        <v>0</v>
      </c>
      <c r="AS869" s="359">
        <f t="shared" si="427"/>
        <v>0</v>
      </c>
      <c r="AT869" s="360">
        <f t="shared" si="428"/>
        <v>0</v>
      </c>
      <c r="AU869" s="43"/>
      <c r="AV869" s="2119">
        <f t="shared" si="444"/>
        <v>0</v>
      </c>
      <c r="AW869" s="119"/>
      <c r="AX869" s="2119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 t="s">
        <v>265</v>
      </c>
      <c r="N870" s="113">
        <f t="shared" si="424"/>
        <v>9923</v>
      </c>
      <c r="O870" s="8">
        <v>0</v>
      </c>
      <c r="P870" s="121"/>
      <c r="Q870" s="122"/>
      <c r="R870" s="324"/>
      <c r="S870" s="29">
        <v>0</v>
      </c>
      <c r="T870" s="28">
        <f t="shared" si="440"/>
        <v>0</v>
      </c>
      <c r="U870" s="51"/>
      <c r="V870" s="541">
        <f>+'NF-KSF-TRIAL-BAL-2021'!O870+'RA-TRIAL-BAL-2021'!O870+'DES-TRIAL-BAL-2021'!O870+'DMP-TRIAL-BAL-2021'!O870</f>
        <v>0</v>
      </c>
      <c r="W870" s="529">
        <f>+'NF-KSF-TRIAL-BAL-2021'!P870+'RA-TRIAL-BAL-2021'!P870+'DES-TRIAL-BAL-2021'!P870+'DMP-TRIAL-BAL-2021'!P870</f>
        <v>0</v>
      </c>
      <c r="X870" s="528">
        <f>+'NF-KSF-TRIAL-BAL-2021'!Q870+'RA-TRIAL-BAL-2021'!Q870+'DES-TRIAL-BAL-2021'!Q870+'DMP-TRIAL-BAL-2021'!Q870</f>
        <v>0</v>
      </c>
      <c r="Y870" s="529">
        <f>+'NF-KSF-TRIAL-BAL-2021'!R870+'RA-TRIAL-BAL-2021'!R870+'DES-TRIAL-BAL-2021'!R870+'DMP-TRIAL-BAL-2021'!R870</f>
        <v>0</v>
      </c>
      <c r="Z870" s="528">
        <f>+'NF-KSF-TRIAL-BAL-2021'!S870+'RA-TRIAL-BAL-2021'!S870+'DES-TRIAL-BAL-2021'!S870+'DMP-TRIAL-BAL-2021'!S870</f>
        <v>0</v>
      </c>
      <c r="AA870" s="347">
        <f>+'NF-KSF-TRIAL-BAL-2021'!T870+'RA-TRIAL-BAL-2021'!T870+'DES-TRIAL-BAL-2021'!T870+'DMP-TRIAL-BAL-2021'!T870</f>
        <v>0</v>
      </c>
      <c r="AB870" s="51"/>
      <c r="AC870" s="8">
        <v>0</v>
      </c>
      <c r="AD870" s="121"/>
      <c r="AE870" s="122"/>
      <c r="AF870" s="324"/>
      <c r="AG870" s="29">
        <v>0</v>
      </c>
      <c r="AH870" s="28">
        <f t="shared" si="441"/>
        <v>0</v>
      </c>
      <c r="AI870" s="51"/>
      <c r="AJ870" s="1497">
        <f t="shared" si="423"/>
        <v>9923</v>
      </c>
      <c r="AK870" s="328">
        <v>0</v>
      </c>
      <c r="AL870" s="970">
        <f t="shared" si="442"/>
        <v>0</v>
      </c>
      <c r="AM870" s="326">
        <f t="shared" si="429"/>
        <v>0</v>
      </c>
      <c r="AN870" s="970">
        <f t="shared" si="429"/>
        <v>0</v>
      </c>
      <c r="AO870" s="330">
        <v>0</v>
      </c>
      <c r="AP870" s="28">
        <f t="shared" si="443"/>
        <v>0</v>
      </c>
      <c r="AQ870" s="43"/>
      <c r="AR870" s="358">
        <f t="shared" si="426"/>
        <v>0</v>
      </c>
      <c r="AS870" s="359">
        <f t="shared" si="427"/>
        <v>0</v>
      </c>
      <c r="AT870" s="360">
        <f t="shared" si="428"/>
        <v>0</v>
      </c>
      <c r="AU870" s="43"/>
      <c r="AV870" s="2119">
        <f t="shared" si="444"/>
        <v>0</v>
      </c>
      <c r="AW870" s="119"/>
      <c r="AX870" s="2119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24"/>
      <c r="S871" s="29">
        <v>0</v>
      </c>
      <c r="T871" s="28">
        <f t="shared" si="440"/>
        <v>0</v>
      </c>
      <c r="U871" s="51"/>
      <c r="V871" s="541">
        <f>+'NF-KSF-TRIAL-BAL-2021'!O871+'RA-TRIAL-BAL-2021'!O871+'DES-TRIAL-BAL-2021'!O871+'DMP-TRIAL-BAL-2021'!O871</f>
        <v>0</v>
      </c>
      <c r="W871" s="529">
        <f>+'NF-KSF-TRIAL-BAL-2021'!P871+'RA-TRIAL-BAL-2021'!P871+'DES-TRIAL-BAL-2021'!P871+'DMP-TRIAL-BAL-2021'!P871</f>
        <v>0</v>
      </c>
      <c r="X871" s="528">
        <f>+'NF-KSF-TRIAL-BAL-2021'!Q871+'RA-TRIAL-BAL-2021'!Q871+'DES-TRIAL-BAL-2021'!Q871+'DMP-TRIAL-BAL-2021'!Q871</f>
        <v>0</v>
      </c>
      <c r="Y871" s="529">
        <f>+'NF-KSF-TRIAL-BAL-2021'!R871+'RA-TRIAL-BAL-2021'!R871+'DES-TRIAL-BAL-2021'!R871+'DMP-TRIAL-BAL-2021'!R871</f>
        <v>0</v>
      </c>
      <c r="Z871" s="528">
        <f>+'NF-KSF-TRIAL-BAL-2021'!S871+'RA-TRIAL-BAL-2021'!S871+'DES-TRIAL-BAL-2021'!S871+'DMP-TRIAL-BAL-2021'!S871</f>
        <v>0</v>
      </c>
      <c r="AA871" s="347">
        <f>+'NF-KSF-TRIAL-BAL-2021'!T871+'RA-TRIAL-BAL-2021'!T871+'DES-TRIAL-BAL-2021'!T871+'DMP-TRIAL-BAL-2021'!T871</f>
        <v>0</v>
      </c>
      <c r="AB871" s="51"/>
      <c r="AC871" s="8">
        <v>0</v>
      </c>
      <c r="AD871" s="121"/>
      <c r="AE871" s="122"/>
      <c r="AF871" s="324"/>
      <c r="AG871" s="29">
        <v>0</v>
      </c>
      <c r="AH871" s="28">
        <f t="shared" si="441"/>
        <v>0</v>
      </c>
      <c r="AI871" s="51"/>
      <c r="AJ871" s="1497">
        <f t="shared" si="423"/>
        <v>9924</v>
      </c>
      <c r="AK871" s="328">
        <v>0</v>
      </c>
      <c r="AL871" s="970">
        <f t="shared" si="442"/>
        <v>0</v>
      </c>
      <c r="AM871" s="326">
        <f t="shared" si="429"/>
        <v>0</v>
      </c>
      <c r="AN871" s="970">
        <f t="shared" si="429"/>
        <v>0</v>
      </c>
      <c r="AO871" s="330">
        <v>0</v>
      </c>
      <c r="AP871" s="28">
        <f t="shared" si="443"/>
        <v>0</v>
      </c>
      <c r="AQ871" s="43"/>
      <c r="AR871" s="358">
        <f t="shared" si="426"/>
        <v>0</v>
      </c>
      <c r="AS871" s="359">
        <f t="shared" si="427"/>
        <v>0</v>
      </c>
      <c r="AT871" s="360">
        <f t="shared" si="428"/>
        <v>0</v>
      </c>
      <c r="AU871" s="43"/>
      <c r="AV871" s="2119">
        <f t="shared" si="444"/>
        <v>0</v>
      </c>
      <c r="AW871" s="119"/>
      <c r="AX871" s="2119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24"/>
      <c r="S872" s="29">
        <v>0</v>
      </c>
      <c r="T872" s="28">
        <f t="shared" si="440"/>
        <v>0</v>
      </c>
      <c r="U872" s="51"/>
      <c r="V872" s="541">
        <f>+'NF-KSF-TRIAL-BAL-2021'!O872+'RA-TRIAL-BAL-2021'!O872+'DES-TRIAL-BAL-2021'!O872+'DMP-TRIAL-BAL-2021'!O872</f>
        <v>0</v>
      </c>
      <c r="W872" s="529">
        <f>+'NF-KSF-TRIAL-BAL-2021'!P872+'RA-TRIAL-BAL-2021'!P872+'DES-TRIAL-BAL-2021'!P872+'DMP-TRIAL-BAL-2021'!P872</f>
        <v>0</v>
      </c>
      <c r="X872" s="528">
        <f>+'NF-KSF-TRIAL-BAL-2021'!Q872+'RA-TRIAL-BAL-2021'!Q872+'DES-TRIAL-BAL-2021'!Q872+'DMP-TRIAL-BAL-2021'!Q872</f>
        <v>0</v>
      </c>
      <c r="Y872" s="529">
        <f>+'NF-KSF-TRIAL-BAL-2021'!R872+'RA-TRIAL-BAL-2021'!R872+'DES-TRIAL-BAL-2021'!R872+'DMP-TRIAL-BAL-2021'!R872</f>
        <v>0</v>
      </c>
      <c r="Z872" s="528">
        <f>+'NF-KSF-TRIAL-BAL-2021'!S872+'RA-TRIAL-BAL-2021'!S872+'DES-TRIAL-BAL-2021'!S872+'DMP-TRIAL-BAL-2021'!S872</f>
        <v>0</v>
      </c>
      <c r="AA872" s="347">
        <f>+'NF-KSF-TRIAL-BAL-2021'!T872+'RA-TRIAL-BAL-2021'!T872+'DES-TRIAL-BAL-2021'!T872+'DMP-TRIAL-BAL-2021'!T872</f>
        <v>0</v>
      </c>
      <c r="AB872" s="51"/>
      <c r="AC872" s="8">
        <v>0</v>
      </c>
      <c r="AD872" s="121"/>
      <c r="AE872" s="122"/>
      <c r="AF872" s="324"/>
      <c r="AG872" s="29">
        <v>0</v>
      </c>
      <c r="AH872" s="28">
        <f t="shared" si="441"/>
        <v>0</v>
      </c>
      <c r="AI872" s="51"/>
      <c r="AJ872" s="1497">
        <f t="shared" si="423"/>
        <v>9925</v>
      </c>
      <c r="AK872" s="328">
        <v>0</v>
      </c>
      <c r="AL872" s="970">
        <f t="shared" si="442"/>
        <v>0</v>
      </c>
      <c r="AM872" s="326">
        <f t="shared" si="429"/>
        <v>0</v>
      </c>
      <c r="AN872" s="970">
        <f t="shared" si="429"/>
        <v>0</v>
      </c>
      <c r="AO872" s="330">
        <v>0</v>
      </c>
      <c r="AP872" s="28">
        <f t="shared" si="443"/>
        <v>0</v>
      </c>
      <c r="AQ872" s="43"/>
      <c r="AR872" s="358">
        <f t="shared" si="426"/>
        <v>0</v>
      </c>
      <c r="AS872" s="359">
        <f t="shared" si="427"/>
        <v>0</v>
      </c>
      <c r="AT872" s="360">
        <f t="shared" si="428"/>
        <v>0</v>
      </c>
      <c r="AU872" s="43"/>
      <c r="AV872" s="2119">
        <f t="shared" si="444"/>
        <v>0</v>
      </c>
      <c r="AW872" s="119"/>
      <c r="AX872" s="2119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 t="s">
        <v>265</v>
      </c>
      <c r="N873" s="113">
        <f t="shared" si="424"/>
        <v>9926</v>
      </c>
      <c r="O873" s="575">
        <v>0</v>
      </c>
      <c r="P873" s="576"/>
      <c r="Q873" s="589"/>
      <c r="R873" s="324"/>
      <c r="S873" s="579">
        <v>0</v>
      </c>
      <c r="T873" s="580">
        <f t="shared" si="440"/>
        <v>0</v>
      </c>
      <c r="U873" s="51"/>
      <c r="V873" s="541">
        <f>+'NF-KSF-TRIAL-BAL-2021'!O873+'RA-TRIAL-BAL-2021'!O873+'DES-TRIAL-BAL-2021'!O873+'DMP-TRIAL-BAL-2021'!O873</f>
        <v>0</v>
      </c>
      <c r="W873" s="529">
        <f>+'NF-KSF-TRIAL-BAL-2021'!P873+'RA-TRIAL-BAL-2021'!P873+'DES-TRIAL-BAL-2021'!P873+'DMP-TRIAL-BAL-2021'!P873</f>
        <v>0</v>
      </c>
      <c r="X873" s="587">
        <f>+'NF-KSF-TRIAL-BAL-2021'!Q873+'RA-TRIAL-BAL-2021'!Q873+'DES-TRIAL-BAL-2021'!Q873+'DMP-TRIAL-BAL-2021'!Q873</f>
        <v>0</v>
      </c>
      <c r="Y873" s="586">
        <f>+'NF-KSF-TRIAL-BAL-2021'!R873+'RA-TRIAL-BAL-2021'!R873+'DES-TRIAL-BAL-2021'!R873+'DMP-TRIAL-BAL-2021'!R873</f>
        <v>0</v>
      </c>
      <c r="Z873" s="587">
        <f>+'NF-KSF-TRIAL-BAL-2021'!S873+'RA-TRIAL-BAL-2021'!S873+'DES-TRIAL-BAL-2021'!S873+'DMP-TRIAL-BAL-2021'!S873</f>
        <v>0</v>
      </c>
      <c r="AA873" s="588">
        <f>+'NF-KSF-TRIAL-BAL-2021'!T873+'RA-TRIAL-BAL-2021'!T873+'DES-TRIAL-BAL-2021'!T873+'DMP-TRIAL-BAL-2021'!T873</f>
        <v>0</v>
      </c>
      <c r="AB873" s="51"/>
      <c r="AC873" s="8">
        <v>0</v>
      </c>
      <c r="AD873" s="121"/>
      <c r="AE873" s="122"/>
      <c r="AF873" s="324"/>
      <c r="AG873" s="29">
        <v>0</v>
      </c>
      <c r="AH873" s="28">
        <f>+IF(ABS(+AC873+AE873)&lt;=ABS(AD873+AF873),-AC873+AD873-AE873+AF873,0)</f>
        <v>0</v>
      </c>
      <c r="AI873" s="51"/>
      <c r="AJ873" s="1497">
        <f>+N873</f>
        <v>9926</v>
      </c>
      <c r="AK873" s="8">
        <v>0</v>
      </c>
      <c r="AL873" s="970">
        <f t="shared" si="442"/>
        <v>0</v>
      </c>
      <c r="AM873" s="326">
        <f>+ROUND(+Q873+X873+AE873,2)</f>
        <v>0</v>
      </c>
      <c r="AN873" s="970">
        <f>+ROUND(+R873+Y873+AF873,2)</f>
        <v>0</v>
      </c>
      <c r="AO873" s="29">
        <v>0</v>
      </c>
      <c r="AP873" s="28">
        <f t="shared" si="443"/>
        <v>0</v>
      </c>
      <c r="AQ873" s="43"/>
      <c r="AR873" s="358">
        <f>+ROUND(+SUM(AK873-AL873)-SUM(O873-P873)-SUM(V873-W873)-SUM(AC873-AD873),2)</f>
        <v>0</v>
      </c>
      <c r="AS873" s="359">
        <f>+ROUND(+SUM(AM873-AN873)-SUM(Q873-R873)-SUM(X873-Y873)-SUM(AE873-AF873),2)</f>
        <v>0</v>
      </c>
      <c r="AT873" s="360">
        <f>+ROUND(+SUM(AO873-AP873)-SUM(S873-T873)-SUM(Z873-AA873)-SUM(AG873-AH873),2)</f>
        <v>0</v>
      </c>
      <c r="AU873" s="43"/>
      <c r="AV873" s="2119">
        <f t="shared" si="444"/>
        <v>0</v>
      </c>
      <c r="AW873" s="119"/>
      <c r="AX873" s="2119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24"/>
      <c r="S874" s="29">
        <v>0</v>
      </c>
      <c r="T874" s="28">
        <f t="shared" si="440"/>
        <v>0</v>
      </c>
      <c r="U874" s="51"/>
      <c r="V874" s="541">
        <f>+'NF-KSF-TRIAL-BAL-2021'!O874+'RA-TRIAL-BAL-2021'!O874+'DES-TRIAL-BAL-2021'!O874+'DMP-TRIAL-BAL-2021'!O874</f>
        <v>0</v>
      </c>
      <c r="W874" s="529">
        <f>+'NF-KSF-TRIAL-BAL-2021'!P874+'RA-TRIAL-BAL-2021'!P874+'DES-TRIAL-BAL-2021'!P874+'DMP-TRIAL-BAL-2021'!P874</f>
        <v>0</v>
      </c>
      <c r="X874" s="528">
        <f>+'NF-KSF-TRIAL-BAL-2021'!Q874+'RA-TRIAL-BAL-2021'!Q874+'DES-TRIAL-BAL-2021'!Q874+'DMP-TRIAL-BAL-2021'!Q874</f>
        <v>0</v>
      </c>
      <c r="Y874" s="529">
        <f>+'NF-KSF-TRIAL-BAL-2021'!R874+'RA-TRIAL-BAL-2021'!R874+'DES-TRIAL-BAL-2021'!R874+'DMP-TRIAL-BAL-2021'!R874</f>
        <v>0</v>
      </c>
      <c r="Z874" s="528">
        <f>+'NF-KSF-TRIAL-BAL-2021'!S874+'RA-TRIAL-BAL-2021'!S874+'DES-TRIAL-BAL-2021'!S874+'DMP-TRIAL-BAL-2021'!S874</f>
        <v>0</v>
      </c>
      <c r="AA874" s="347">
        <f>+'NF-KSF-TRIAL-BAL-2021'!T874+'RA-TRIAL-BAL-2021'!T874+'DES-TRIAL-BAL-2021'!T874+'DMP-TRIAL-BAL-2021'!T874</f>
        <v>0</v>
      </c>
      <c r="AB874" s="51"/>
      <c r="AC874" s="8">
        <v>0</v>
      </c>
      <c r="AD874" s="121"/>
      <c r="AE874" s="122"/>
      <c r="AF874" s="324"/>
      <c r="AG874" s="29">
        <v>0</v>
      </c>
      <c r="AH874" s="28">
        <f t="shared" si="441"/>
        <v>0</v>
      </c>
      <c r="AI874" s="51"/>
      <c r="AJ874" s="1497">
        <f t="shared" si="423"/>
        <v>9928</v>
      </c>
      <c r="AK874" s="328">
        <v>0</v>
      </c>
      <c r="AL874" s="970">
        <f t="shared" si="442"/>
        <v>0</v>
      </c>
      <c r="AM874" s="326">
        <f t="shared" si="429"/>
        <v>0</v>
      </c>
      <c r="AN874" s="970">
        <f t="shared" si="429"/>
        <v>0</v>
      </c>
      <c r="AO874" s="330">
        <v>0</v>
      </c>
      <c r="AP874" s="28">
        <f t="shared" si="443"/>
        <v>0</v>
      </c>
      <c r="AQ874" s="43"/>
      <c r="AR874" s="358">
        <f t="shared" si="426"/>
        <v>0</v>
      </c>
      <c r="AS874" s="359">
        <f t="shared" si="427"/>
        <v>0</v>
      </c>
      <c r="AT874" s="360">
        <f t="shared" si="428"/>
        <v>0</v>
      </c>
      <c r="AU874" s="43"/>
      <c r="AV874" s="2119">
        <f t="shared" si="444"/>
        <v>0</v>
      </c>
      <c r="AW874" s="119"/>
      <c r="AX874" s="2119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24"/>
      <c r="S875" s="29">
        <v>0</v>
      </c>
      <c r="T875" s="28">
        <f t="shared" si="440"/>
        <v>0</v>
      </c>
      <c r="U875" s="51"/>
      <c r="V875" s="541">
        <f>+'NF-KSF-TRIAL-BAL-2021'!O875+'RA-TRIAL-BAL-2021'!O875+'DES-TRIAL-BAL-2021'!O875+'DMP-TRIAL-BAL-2021'!O875</f>
        <v>0</v>
      </c>
      <c r="W875" s="529">
        <f>+'NF-KSF-TRIAL-BAL-2021'!P875+'RA-TRIAL-BAL-2021'!P875+'DES-TRIAL-BAL-2021'!P875+'DMP-TRIAL-BAL-2021'!P875</f>
        <v>0</v>
      </c>
      <c r="X875" s="528">
        <f>+'NF-KSF-TRIAL-BAL-2021'!Q875+'RA-TRIAL-BAL-2021'!Q875+'DES-TRIAL-BAL-2021'!Q875+'DMP-TRIAL-BAL-2021'!Q875</f>
        <v>0</v>
      </c>
      <c r="Y875" s="529">
        <f>+'NF-KSF-TRIAL-BAL-2021'!R875+'RA-TRIAL-BAL-2021'!R875+'DES-TRIAL-BAL-2021'!R875+'DMP-TRIAL-BAL-2021'!R875</f>
        <v>0</v>
      </c>
      <c r="Z875" s="528">
        <f>+'NF-KSF-TRIAL-BAL-2021'!S875+'RA-TRIAL-BAL-2021'!S875+'DES-TRIAL-BAL-2021'!S875+'DMP-TRIAL-BAL-2021'!S875</f>
        <v>0</v>
      </c>
      <c r="AA875" s="347">
        <f>+'NF-KSF-TRIAL-BAL-2021'!T875+'RA-TRIAL-BAL-2021'!T875+'DES-TRIAL-BAL-2021'!T875+'DMP-TRIAL-BAL-2021'!T875</f>
        <v>0</v>
      </c>
      <c r="AB875" s="51"/>
      <c r="AC875" s="8">
        <v>0</v>
      </c>
      <c r="AD875" s="121"/>
      <c r="AE875" s="122"/>
      <c r="AF875" s="324"/>
      <c r="AG875" s="29">
        <v>0</v>
      </c>
      <c r="AH875" s="28">
        <f t="shared" si="441"/>
        <v>0</v>
      </c>
      <c r="AI875" s="51"/>
      <c r="AJ875" s="1497">
        <f t="shared" si="423"/>
        <v>9929</v>
      </c>
      <c r="AK875" s="328">
        <v>0</v>
      </c>
      <c r="AL875" s="970">
        <f t="shared" si="442"/>
        <v>0</v>
      </c>
      <c r="AM875" s="326">
        <f t="shared" si="429"/>
        <v>0</v>
      </c>
      <c r="AN875" s="970">
        <f t="shared" si="429"/>
        <v>0</v>
      </c>
      <c r="AO875" s="330">
        <v>0</v>
      </c>
      <c r="AP875" s="28">
        <f t="shared" si="443"/>
        <v>0</v>
      </c>
      <c r="AQ875" s="43"/>
      <c r="AR875" s="358">
        <f t="shared" si="426"/>
        <v>0</v>
      </c>
      <c r="AS875" s="359">
        <f t="shared" si="427"/>
        <v>0</v>
      </c>
      <c r="AT875" s="360">
        <f t="shared" si="428"/>
        <v>0</v>
      </c>
      <c r="AU875" s="43"/>
      <c r="AV875" s="2119">
        <f t="shared" si="444"/>
        <v>0</v>
      </c>
      <c r="AW875" s="119"/>
      <c r="AX875" s="2119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 t="s">
        <v>265</v>
      </c>
      <c r="N876" s="113">
        <f t="shared" si="424"/>
        <v>9940</v>
      </c>
      <c r="O876" s="575">
        <v>0</v>
      </c>
      <c r="P876" s="582">
        <v>0</v>
      </c>
      <c r="Q876" s="589"/>
      <c r="R876" s="576"/>
      <c r="S876" s="583">
        <f t="shared" ref="S876:S884" si="446">+IF(ABS(+O876+Q876)&gt;=ABS(P876+R876),+O876-P876+Q876-R876,0)</f>
        <v>0</v>
      </c>
      <c r="T876" s="580">
        <f t="shared" si="440"/>
        <v>0</v>
      </c>
      <c r="U876" s="51"/>
      <c r="V876" s="541">
        <f>+'NF-KSF-TRIAL-BAL-2021'!O876+'RA-TRIAL-BAL-2021'!O876+'DES-TRIAL-BAL-2021'!O876+'DMP-TRIAL-BAL-2021'!O876</f>
        <v>0</v>
      </c>
      <c r="W876" s="529">
        <f>+'NF-KSF-TRIAL-BAL-2021'!P876+'RA-TRIAL-BAL-2021'!P876+'DES-TRIAL-BAL-2021'!P876+'DMP-TRIAL-BAL-2021'!P876</f>
        <v>0</v>
      </c>
      <c r="X876" s="587">
        <f>+'NF-KSF-TRIAL-BAL-2021'!Q876+'RA-TRIAL-BAL-2021'!Q876+'DES-TRIAL-BAL-2021'!Q876+'DMP-TRIAL-BAL-2021'!Q876</f>
        <v>0</v>
      </c>
      <c r="Y876" s="586">
        <f>+'NF-KSF-TRIAL-BAL-2021'!R876+'RA-TRIAL-BAL-2021'!R876+'DES-TRIAL-BAL-2021'!R876+'DMP-TRIAL-BAL-2021'!R876</f>
        <v>0</v>
      </c>
      <c r="Z876" s="587">
        <f>+'NF-KSF-TRIAL-BAL-2021'!S876+'RA-TRIAL-BAL-2021'!S876+'DES-TRIAL-BAL-2021'!S876+'DMP-TRIAL-BAL-2021'!S876</f>
        <v>0</v>
      </c>
      <c r="AA876" s="588">
        <f>+'NF-KSF-TRIAL-BAL-2021'!T876+'RA-TRIAL-BAL-2021'!T876+'DES-TRIAL-BAL-2021'!T876+'DMP-TRIAL-BAL-2021'!T876</f>
        <v>0</v>
      </c>
      <c r="AB876" s="51"/>
      <c r="AC876" s="575">
        <v>0</v>
      </c>
      <c r="AD876" s="582">
        <v>0</v>
      </c>
      <c r="AE876" s="589"/>
      <c r="AF876" s="576"/>
      <c r="AG876" s="583">
        <f t="shared" ref="AG876:AG884" si="447">+IF(ABS(+AC876+AE876)&gt;=ABS(AD876+AF876),+AC876-AD876+AE876-AF876,0)</f>
        <v>0</v>
      </c>
      <c r="AH876" s="580">
        <f t="shared" si="441"/>
        <v>0</v>
      </c>
      <c r="AI876" s="51"/>
      <c r="AJ876" s="1497">
        <f t="shared" ref="AJ876:AJ883" si="448">+N876</f>
        <v>9940</v>
      </c>
      <c r="AK876" s="8">
        <v>0</v>
      </c>
      <c r="AL876" s="9">
        <v>0</v>
      </c>
      <c r="AM876" s="326">
        <f t="shared" ref="AM876:AN880" si="449">+ROUND(+Q876+X876+AE876,2)</f>
        <v>0</v>
      </c>
      <c r="AN876" s="970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58">
        <f t="shared" ref="AR876:AR883" si="451">+ROUND(+SUM(AK876-AL876)-SUM(O876-P876)-SUM(V876-W876)-SUM(AC876-AD876),2)</f>
        <v>0</v>
      </c>
      <c r="AS876" s="359">
        <f t="shared" ref="AS876:AS883" si="452">+ROUND(+SUM(AM876-AN876)-SUM(Q876-R876)-SUM(X876-Y876)-SUM(AE876-AF876),2)</f>
        <v>0</v>
      </c>
      <c r="AT876" s="360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 t="s">
        <v>265</v>
      </c>
      <c r="N877" s="113">
        <f t="shared" si="424"/>
        <v>9941</v>
      </c>
      <c r="O877" s="575">
        <v>0</v>
      </c>
      <c r="P877" s="582">
        <v>0</v>
      </c>
      <c r="Q877" s="589"/>
      <c r="R877" s="576"/>
      <c r="S877" s="583">
        <f t="shared" si="446"/>
        <v>0</v>
      </c>
      <c r="T877" s="580">
        <f t="shared" si="440"/>
        <v>0</v>
      </c>
      <c r="U877" s="51"/>
      <c r="V877" s="541">
        <f>+'NF-KSF-TRIAL-BAL-2021'!O877+'RA-TRIAL-BAL-2021'!O877+'DES-TRIAL-BAL-2021'!O877+'DMP-TRIAL-BAL-2021'!O877</f>
        <v>0</v>
      </c>
      <c r="W877" s="529">
        <f>+'NF-KSF-TRIAL-BAL-2021'!P877+'RA-TRIAL-BAL-2021'!P877+'DES-TRIAL-BAL-2021'!P877+'DMP-TRIAL-BAL-2021'!P877</f>
        <v>0</v>
      </c>
      <c r="X877" s="587">
        <f>+'NF-KSF-TRIAL-BAL-2021'!Q877+'RA-TRIAL-BAL-2021'!Q877+'DES-TRIAL-BAL-2021'!Q877+'DMP-TRIAL-BAL-2021'!Q877</f>
        <v>0</v>
      </c>
      <c r="Y877" s="586">
        <f>+'NF-KSF-TRIAL-BAL-2021'!R877+'RA-TRIAL-BAL-2021'!R877+'DES-TRIAL-BAL-2021'!R877+'DMP-TRIAL-BAL-2021'!R877</f>
        <v>0</v>
      </c>
      <c r="Z877" s="587">
        <f>+'NF-KSF-TRIAL-BAL-2021'!S877+'RA-TRIAL-BAL-2021'!S877+'DES-TRIAL-BAL-2021'!S877+'DMP-TRIAL-BAL-2021'!S877</f>
        <v>0</v>
      </c>
      <c r="AA877" s="588">
        <f>+'NF-KSF-TRIAL-BAL-2021'!T877+'RA-TRIAL-BAL-2021'!T877+'DES-TRIAL-BAL-2021'!T877+'DMP-TRIAL-BAL-2021'!T877</f>
        <v>0</v>
      </c>
      <c r="AB877" s="51"/>
      <c r="AC877" s="575">
        <v>0</v>
      </c>
      <c r="AD877" s="582">
        <v>0</v>
      </c>
      <c r="AE877" s="589"/>
      <c r="AF877" s="576"/>
      <c r="AG877" s="583">
        <f t="shared" si="447"/>
        <v>0</v>
      </c>
      <c r="AH877" s="580">
        <f t="shared" si="441"/>
        <v>0</v>
      </c>
      <c r="AI877" s="51"/>
      <c r="AJ877" s="1497">
        <f t="shared" si="448"/>
        <v>9941</v>
      </c>
      <c r="AK877" s="8">
        <v>0</v>
      </c>
      <c r="AL877" s="9">
        <v>0</v>
      </c>
      <c r="AM877" s="326">
        <f t="shared" si="449"/>
        <v>0</v>
      </c>
      <c r="AN877" s="970">
        <f t="shared" si="449"/>
        <v>0</v>
      </c>
      <c r="AO877" s="27">
        <f t="shared" si="450"/>
        <v>0</v>
      </c>
      <c r="AP877" s="28">
        <f t="shared" si="443"/>
        <v>0</v>
      </c>
      <c r="AQ877" s="43"/>
      <c r="AR877" s="358">
        <f t="shared" si="451"/>
        <v>0</v>
      </c>
      <c r="AS877" s="359">
        <f t="shared" si="452"/>
        <v>0</v>
      </c>
      <c r="AT877" s="360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 t="s">
        <v>265</v>
      </c>
      <c r="N878" s="113">
        <f t="shared" si="424"/>
        <v>9944</v>
      </c>
      <c r="O878" s="575">
        <v>0</v>
      </c>
      <c r="P878" s="582">
        <v>0</v>
      </c>
      <c r="Q878" s="589"/>
      <c r="R878" s="576"/>
      <c r="S878" s="583">
        <f t="shared" si="446"/>
        <v>0</v>
      </c>
      <c r="T878" s="580">
        <f t="shared" si="440"/>
        <v>0</v>
      </c>
      <c r="U878" s="51"/>
      <c r="V878" s="541">
        <f>+'NF-KSF-TRIAL-BAL-2021'!O878+'RA-TRIAL-BAL-2021'!O878+'DES-TRIAL-BAL-2021'!O878+'DMP-TRIAL-BAL-2021'!O878</f>
        <v>0</v>
      </c>
      <c r="W878" s="529">
        <f>+'NF-KSF-TRIAL-BAL-2021'!P878+'RA-TRIAL-BAL-2021'!P878+'DES-TRIAL-BAL-2021'!P878+'DMP-TRIAL-BAL-2021'!P878</f>
        <v>0</v>
      </c>
      <c r="X878" s="587">
        <f>+'NF-KSF-TRIAL-BAL-2021'!Q878+'RA-TRIAL-BAL-2021'!Q878+'DES-TRIAL-BAL-2021'!Q878+'DMP-TRIAL-BAL-2021'!Q878</f>
        <v>0</v>
      </c>
      <c r="Y878" s="586">
        <f>+'NF-KSF-TRIAL-BAL-2021'!R878+'RA-TRIAL-BAL-2021'!R878+'DES-TRIAL-BAL-2021'!R878+'DMP-TRIAL-BAL-2021'!R878</f>
        <v>4115319.23</v>
      </c>
      <c r="Z878" s="587">
        <f>+'NF-KSF-TRIAL-BAL-2021'!S878+'RA-TRIAL-BAL-2021'!S878+'DES-TRIAL-BAL-2021'!S878+'DMP-TRIAL-BAL-2021'!S878</f>
        <v>0</v>
      </c>
      <c r="AA878" s="588">
        <f>+'NF-KSF-TRIAL-BAL-2021'!T878+'RA-TRIAL-BAL-2021'!T878+'DES-TRIAL-BAL-2021'!T878+'DMP-TRIAL-BAL-2021'!T878</f>
        <v>4115319.23</v>
      </c>
      <c r="AB878" s="51"/>
      <c r="AC878" s="575">
        <v>0</v>
      </c>
      <c r="AD878" s="582">
        <v>0</v>
      </c>
      <c r="AE878" s="589"/>
      <c r="AF878" s="576"/>
      <c r="AG878" s="583">
        <f t="shared" si="447"/>
        <v>0</v>
      </c>
      <c r="AH878" s="580">
        <f t="shared" si="441"/>
        <v>0</v>
      </c>
      <c r="AI878" s="51"/>
      <c r="AJ878" s="1497">
        <f t="shared" si="448"/>
        <v>9944</v>
      </c>
      <c r="AK878" s="8">
        <v>0</v>
      </c>
      <c r="AL878" s="9">
        <v>0</v>
      </c>
      <c r="AM878" s="326">
        <f t="shared" si="449"/>
        <v>0</v>
      </c>
      <c r="AN878" s="970">
        <f t="shared" si="449"/>
        <v>4115319.23</v>
      </c>
      <c r="AO878" s="27">
        <f t="shared" si="450"/>
        <v>0</v>
      </c>
      <c r="AP878" s="28">
        <f t="shared" si="443"/>
        <v>4115319.23</v>
      </c>
      <c r="AQ878" s="43"/>
      <c r="AR878" s="358">
        <f t="shared" si="451"/>
        <v>0</v>
      </c>
      <c r="AS878" s="359">
        <f t="shared" si="452"/>
        <v>0</v>
      </c>
      <c r="AT878" s="360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 t="s">
        <v>265</v>
      </c>
      <c r="N879" s="113">
        <f t="shared" si="424"/>
        <v>9945</v>
      </c>
      <c r="O879" s="575">
        <v>0</v>
      </c>
      <c r="P879" s="582">
        <v>0</v>
      </c>
      <c r="Q879" s="589"/>
      <c r="R879" s="576"/>
      <c r="S879" s="583">
        <f t="shared" si="446"/>
        <v>0</v>
      </c>
      <c r="T879" s="580">
        <f t="shared" si="440"/>
        <v>0</v>
      </c>
      <c r="U879" s="51"/>
      <c r="V879" s="541">
        <f>+'NF-KSF-TRIAL-BAL-2021'!O879+'RA-TRIAL-BAL-2021'!O879+'DES-TRIAL-BAL-2021'!O879+'DMP-TRIAL-BAL-2021'!O879</f>
        <v>0</v>
      </c>
      <c r="W879" s="529">
        <f>+'NF-KSF-TRIAL-BAL-2021'!P879+'RA-TRIAL-BAL-2021'!P879+'DES-TRIAL-BAL-2021'!P879+'DMP-TRIAL-BAL-2021'!P879</f>
        <v>0</v>
      </c>
      <c r="X879" s="587">
        <f>+'NF-KSF-TRIAL-BAL-2021'!Q879+'RA-TRIAL-BAL-2021'!Q879+'DES-TRIAL-BAL-2021'!Q879+'DMP-TRIAL-BAL-2021'!Q879</f>
        <v>0</v>
      </c>
      <c r="Y879" s="586">
        <f>+'NF-KSF-TRIAL-BAL-2021'!R879+'RA-TRIAL-BAL-2021'!R879+'DES-TRIAL-BAL-2021'!R879+'DMP-TRIAL-BAL-2021'!R879</f>
        <v>0</v>
      </c>
      <c r="Z879" s="587">
        <f>+'NF-KSF-TRIAL-BAL-2021'!S879+'RA-TRIAL-BAL-2021'!S879+'DES-TRIAL-BAL-2021'!S879+'DMP-TRIAL-BAL-2021'!S879</f>
        <v>0</v>
      </c>
      <c r="AA879" s="588">
        <f>+'NF-KSF-TRIAL-BAL-2021'!T879+'RA-TRIAL-BAL-2021'!T879+'DES-TRIAL-BAL-2021'!T879+'DMP-TRIAL-BAL-2021'!T879</f>
        <v>0</v>
      </c>
      <c r="AB879" s="51"/>
      <c r="AC879" s="575">
        <v>0</v>
      </c>
      <c r="AD879" s="582">
        <v>0</v>
      </c>
      <c r="AE879" s="589"/>
      <c r="AF879" s="576"/>
      <c r="AG879" s="583">
        <f t="shared" si="447"/>
        <v>0</v>
      </c>
      <c r="AH879" s="580">
        <f t="shared" si="441"/>
        <v>0</v>
      </c>
      <c r="AI879" s="51"/>
      <c r="AJ879" s="1497">
        <f t="shared" si="448"/>
        <v>9945</v>
      </c>
      <c r="AK879" s="8">
        <v>0</v>
      </c>
      <c r="AL879" s="9">
        <v>0</v>
      </c>
      <c r="AM879" s="326">
        <f t="shared" si="449"/>
        <v>0</v>
      </c>
      <c r="AN879" s="970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58">
        <f t="shared" si="451"/>
        <v>0</v>
      </c>
      <c r="AS879" s="359">
        <f t="shared" si="452"/>
        <v>0</v>
      </c>
      <c r="AT879" s="360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 t="s">
        <v>265</v>
      </c>
      <c r="N880" s="113">
        <f t="shared" si="424"/>
        <v>9946</v>
      </c>
      <c r="O880" s="575">
        <v>0</v>
      </c>
      <c r="P880" s="582">
        <v>0</v>
      </c>
      <c r="Q880" s="589"/>
      <c r="R880" s="576"/>
      <c r="S880" s="583">
        <f t="shared" si="446"/>
        <v>0</v>
      </c>
      <c r="T880" s="580">
        <f>+IF(ABS(+O880+Q880)&lt;=ABS(P880+R880),-O880+P880-Q880+R880,0)</f>
        <v>0</v>
      </c>
      <c r="U880" s="51"/>
      <c r="V880" s="541">
        <f>+'NF-KSF-TRIAL-BAL-2021'!O880+'RA-TRIAL-BAL-2021'!O880+'DES-TRIAL-BAL-2021'!O880+'DMP-TRIAL-BAL-2021'!O880</f>
        <v>0</v>
      </c>
      <c r="W880" s="529">
        <f>+'NF-KSF-TRIAL-BAL-2021'!P880+'RA-TRIAL-BAL-2021'!P880+'DES-TRIAL-BAL-2021'!P880+'DMP-TRIAL-BAL-2021'!P880</f>
        <v>0</v>
      </c>
      <c r="X880" s="587">
        <f>+'NF-KSF-TRIAL-BAL-2021'!Q880+'RA-TRIAL-BAL-2021'!Q880+'DES-TRIAL-BAL-2021'!Q880+'DMP-TRIAL-BAL-2021'!Q880</f>
        <v>0</v>
      </c>
      <c r="Y880" s="586">
        <f>+'NF-KSF-TRIAL-BAL-2021'!R880+'RA-TRIAL-BAL-2021'!R880+'DES-TRIAL-BAL-2021'!R880+'DMP-TRIAL-BAL-2021'!R880</f>
        <v>0</v>
      </c>
      <c r="Z880" s="587">
        <f>+'NF-KSF-TRIAL-BAL-2021'!S880+'RA-TRIAL-BAL-2021'!S880+'DES-TRIAL-BAL-2021'!S880+'DMP-TRIAL-BAL-2021'!S880</f>
        <v>0</v>
      </c>
      <c r="AA880" s="588">
        <f>+'NF-KSF-TRIAL-BAL-2021'!T880+'RA-TRIAL-BAL-2021'!T880+'DES-TRIAL-BAL-2021'!T880+'DMP-TRIAL-BAL-2021'!T880</f>
        <v>0</v>
      </c>
      <c r="AB880" s="51"/>
      <c r="AC880" s="575">
        <v>0</v>
      </c>
      <c r="AD880" s="582">
        <v>0</v>
      </c>
      <c r="AE880" s="589"/>
      <c r="AF880" s="576"/>
      <c r="AG880" s="583">
        <f t="shared" si="447"/>
        <v>0</v>
      </c>
      <c r="AH880" s="580">
        <f>+IF(ABS(+AC880+AE880)&lt;=ABS(AD880+AF880),-AC880+AD880-AE880+AF880,0)</f>
        <v>0</v>
      </c>
      <c r="AI880" s="51"/>
      <c r="AJ880" s="1497">
        <f t="shared" si="448"/>
        <v>9946</v>
      </c>
      <c r="AK880" s="8">
        <v>0</v>
      </c>
      <c r="AL880" s="9">
        <v>0</v>
      </c>
      <c r="AM880" s="326">
        <f t="shared" si="449"/>
        <v>0</v>
      </c>
      <c r="AN880" s="970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58">
        <f t="shared" si="451"/>
        <v>0</v>
      </c>
      <c r="AS880" s="359">
        <f t="shared" si="452"/>
        <v>0</v>
      </c>
      <c r="AT880" s="360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 t="s">
        <v>265</v>
      </c>
      <c r="N881" s="113">
        <f t="shared" si="424"/>
        <v>9947</v>
      </c>
      <c r="O881" s="575">
        <v>0</v>
      </c>
      <c r="P881" s="582">
        <v>0</v>
      </c>
      <c r="Q881" s="589"/>
      <c r="R881" s="576"/>
      <c r="S881" s="583">
        <f t="shared" si="446"/>
        <v>0</v>
      </c>
      <c r="T881" s="580">
        <f>+IF(ABS(+O881+Q881)&lt;=ABS(P881+R881),-O881+P881-Q881+R881,0)</f>
        <v>0</v>
      </c>
      <c r="U881" s="51"/>
      <c r="V881" s="541">
        <f>+'NF-KSF-TRIAL-BAL-2021'!O881+'RA-TRIAL-BAL-2021'!O881+'DES-TRIAL-BAL-2021'!O881+'DMP-TRIAL-BAL-2021'!O881</f>
        <v>0</v>
      </c>
      <c r="W881" s="529">
        <f>+'NF-KSF-TRIAL-BAL-2021'!P881+'RA-TRIAL-BAL-2021'!P881+'DES-TRIAL-BAL-2021'!P881+'DMP-TRIAL-BAL-2021'!P881</f>
        <v>0</v>
      </c>
      <c r="X881" s="587">
        <f>+'NF-KSF-TRIAL-BAL-2021'!Q881+'RA-TRIAL-BAL-2021'!Q881+'DES-TRIAL-BAL-2021'!Q881+'DMP-TRIAL-BAL-2021'!Q881</f>
        <v>0</v>
      </c>
      <c r="Y881" s="586">
        <f>+'NF-KSF-TRIAL-BAL-2021'!R881+'RA-TRIAL-BAL-2021'!R881+'DES-TRIAL-BAL-2021'!R881+'DMP-TRIAL-BAL-2021'!R881</f>
        <v>0</v>
      </c>
      <c r="Z881" s="587">
        <f>+'NF-KSF-TRIAL-BAL-2021'!S881+'RA-TRIAL-BAL-2021'!S881+'DES-TRIAL-BAL-2021'!S881+'DMP-TRIAL-BAL-2021'!S881</f>
        <v>0</v>
      </c>
      <c r="AA881" s="588">
        <f>+'NF-KSF-TRIAL-BAL-2021'!T881+'RA-TRIAL-BAL-2021'!T881+'DES-TRIAL-BAL-2021'!T881+'DMP-TRIAL-BAL-2021'!T881</f>
        <v>0</v>
      </c>
      <c r="AB881" s="51"/>
      <c r="AC881" s="575">
        <v>0</v>
      </c>
      <c r="AD881" s="582">
        <v>0</v>
      </c>
      <c r="AE881" s="589"/>
      <c r="AF881" s="576"/>
      <c r="AG881" s="583">
        <f t="shared" si="447"/>
        <v>0</v>
      </c>
      <c r="AH881" s="580">
        <f>+IF(ABS(+AC881+AE881)&lt;=ABS(AD881+AF881),-AC881+AD881-AE881+AF881,0)</f>
        <v>0</v>
      </c>
      <c r="AI881" s="51"/>
      <c r="AJ881" s="1497">
        <f t="shared" si="448"/>
        <v>9947</v>
      </c>
      <c r="AK881" s="8">
        <v>0</v>
      </c>
      <c r="AL881" s="9">
        <v>0</v>
      </c>
      <c r="AM881" s="326">
        <f t="shared" ref="AM881:AN883" si="454">+ROUND(+Q881+X881+AE881,2)</f>
        <v>0</v>
      </c>
      <c r="AN881" s="970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58">
        <f t="shared" si="451"/>
        <v>0</v>
      </c>
      <c r="AS881" s="359">
        <f t="shared" si="452"/>
        <v>0</v>
      </c>
      <c r="AT881" s="360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 t="s">
        <v>265</v>
      </c>
      <c r="N882" s="113">
        <f t="shared" si="424"/>
        <v>9948</v>
      </c>
      <c r="O882" s="575">
        <v>0</v>
      </c>
      <c r="P882" s="582">
        <v>0</v>
      </c>
      <c r="Q882" s="589"/>
      <c r="R882" s="576"/>
      <c r="S882" s="583">
        <f t="shared" si="446"/>
        <v>0</v>
      </c>
      <c r="T882" s="580">
        <f>+IF(ABS(+O882+Q882)&lt;=ABS(P882+R882),-O882+P882-Q882+R882,0)</f>
        <v>0</v>
      </c>
      <c r="U882" s="51"/>
      <c r="V882" s="541">
        <f>+'NF-KSF-TRIAL-BAL-2021'!O882+'RA-TRIAL-BAL-2021'!O882+'DES-TRIAL-BAL-2021'!O882+'DMP-TRIAL-BAL-2021'!O882</f>
        <v>0</v>
      </c>
      <c r="W882" s="529">
        <f>+'NF-KSF-TRIAL-BAL-2021'!P882+'RA-TRIAL-BAL-2021'!P882+'DES-TRIAL-BAL-2021'!P882+'DMP-TRIAL-BAL-2021'!P882</f>
        <v>0</v>
      </c>
      <c r="X882" s="587">
        <f>+'NF-KSF-TRIAL-BAL-2021'!Q882+'RA-TRIAL-BAL-2021'!Q882+'DES-TRIAL-BAL-2021'!Q882+'DMP-TRIAL-BAL-2021'!Q882</f>
        <v>0</v>
      </c>
      <c r="Y882" s="586">
        <f>+'NF-KSF-TRIAL-BAL-2021'!R882+'RA-TRIAL-BAL-2021'!R882+'DES-TRIAL-BAL-2021'!R882+'DMP-TRIAL-BAL-2021'!R882</f>
        <v>0</v>
      </c>
      <c r="Z882" s="587">
        <f>+'NF-KSF-TRIAL-BAL-2021'!S882+'RA-TRIAL-BAL-2021'!S882+'DES-TRIAL-BAL-2021'!S882+'DMP-TRIAL-BAL-2021'!S882</f>
        <v>0</v>
      </c>
      <c r="AA882" s="588">
        <f>+'NF-KSF-TRIAL-BAL-2021'!T882+'RA-TRIAL-BAL-2021'!T882+'DES-TRIAL-BAL-2021'!T882+'DMP-TRIAL-BAL-2021'!T882</f>
        <v>0</v>
      </c>
      <c r="AB882" s="51"/>
      <c r="AC882" s="575">
        <v>0</v>
      </c>
      <c r="AD882" s="582">
        <v>0</v>
      </c>
      <c r="AE882" s="589"/>
      <c r="AF882" s="576"/>
      <c r="AG882" s="583">
        <f t="shared" si="447"/>
        <v>0</v>
      </c>
      <c r="AH882" s="580">
        <f>+IF(ABS(+AC882+AE882)&lt;=ABS(AD882+AF882),-AC882+AD882-AE882+AF882,0)</f>
        <v>0</v>
      </c>
      <c r="AI882" s="51"/>
      <c r="AJ882" s="1497">
        <f t="shared" si="448"/>
        <v>9948</v>
      </c>
      <c r="AK882" s="8">
        <v>0</v>
      </c>
      <c r="AL882" s="9">
        <v>0</v>
      </c>
      <c r="AM882" s="326">
        <f t="shared" si="454"/>
        <v>0</v>
      </c>
      <c r="AN882" s="970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58">
        <f t="shared" si="451"/>
        <v>0</v>
      </c>
      <c r="AS882" s="359">
        <f t="shared" si="452"/>
        <v>0</v>
      </c>
      <c r="AT882" s="360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 t="s">
        <v>265</v>
      </c>
      <c r="N883" s="113">
        <f t="shared" si="424"/>
        <v>9949</v>
      </c>
      <c r="O883" s="575">
        <v>0</v>
      </c>
      <c r="P883" s="582">
        <v>0</v>
      </c>
      <c r="Q883" s="589"/>
      <c r="R883" s="576"/>
      <c r="S883" s="583">
        <f t="shared" si="446"/>
        <v>0</v>
      </c>
      <c r="T883" s="580">
        <f>+IF(ABS(+O883+Q883)&lt;=ABS(P883+R883),-O883+P883-Q883+R883,0)</f>
        <v>0</v>
      </c>
      <c r="U883" s="51"/>
      <c r="V883" s="541">
        <f>+'NF-KSF-TRIAL-BAL-2021'!O883+'RA-TRIAL-BAL-2021'!O883+'DES-TRIAL-BAL-2021'!O883+'DMP-TRIAL-BAL-2021'!O883</f>
        <v>0</v>
      </c>
      <c r="W883" s="529">
        <f>+'NF-KSF-TRIAL-BAL-2021'!P883+'RA-TRIAL-BAL-2021'!P883+'DES-TRIAL-BAL-2021'!P883+'DMP-TRIAL-BAL-2021'!P883</f>
        <v>0</v>
      </c>
      <c r="X883" s="587">
        <f>+'NF-KSF-TRIAL-BAL-2021'!Q883+'RA-TRIAL-BAL-2021'!Q883+'DES-TRIAL-BAL-2021'!Q883+'DMP-TRIAL-BAL-2021'!Q883</f>
        <v>0</v>
      </c>
      <c r="Y883" s="586">
        <f>+'NF-KSF-TRIAL-BAL-2021'!R883+'RA-TRIAL-BAL-2021'!R883+'DES-TRIAL-BAL-2021'!R883+'DMP-TRIAL-BAL-2021'!R883</f>
        <v>0</v>
      </c>
      <c r="Z883" s="587">
        <f>+'NF-KSF-TRIAL-BAL-2021'!S883+'RA-TRIAL-BAL-2021'!S883+'DES-TRIAL-BAL-2021'!S883+'DMP-TRIAL-BAL-2021'!S883</f>
        <v>0</v>
      </c>
      <c r="AA883" s="588">
        <f>+'NF-KSF-TRIAL-BAL-2021'!T883+'RA-TRIAL-BAL-2021'!T883+'DES-TRIAL-BAL-2021'!T883+'DMP-TRIAL-BAL-2021'!T883</f>
        <v>0</v>
      </c>
      <c r="AB883" s="51"/>
      <c r="AC883" s="575">
        <v>0</v>
      </c>
      <c r="AD883" s="582">
        <v>0</v>
      </c>
      <c r="AE883" s="589"/>
      <c r="AF883" s="576"/>
      <c r="AG883" s="583">
        <f t="shared" si="447"/>
        <v>0</v>
      </c>
      <c r="AH883" s="580">
        <f>+IF(ABS(+AC883+AE883)&lt;=ABS(AD883+AF883),-AC883+AD883-AE883+AF883,0)</f>
        <v>0</v>
      </c>
      <c r="AI883" s="51"/>
      <c r="AJ883" s="1497">
        <f t="shared" si="448"/>
        <v>9949</v>
      </c>
      <c r="AK883" s="8">
        <v>0</v>
      </c>
      <c r="AL883" s="9">
        <v>0</v>
      </c>
      <c r="AM883" s="326">
        <f t="shared" si="454"/>
        <v>0</v>
      </c>
      <c r="AN883" s="970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58">
        <f t="shared" si="451"/>
        <v>0</v>
      </c>
      <c r="AS883" s="359">
        <f t="shared" si="452"/>
        <v>0</v>
      </c>
      <c r="AT883" s="360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 t="s">
        <v>265</v>
      </c>
      <c r="N884" s="113">
        <f t="shared" si="424"/>
        <v>9978</v>
      </c>
      <c r="O884" s="120"/>
      <c r="P884" s="9">
        <v>0</v>
      </c>
      <c r="Q884" s="122"/>
      <c r="R884" s="324"/>
      <c r="S884" s="27">
        <f t="shared" si="446"/>
        <v>0</v>
      </c>
      <c r="T884" s="30">
        <v>0</v>
      </c>
      <c r="U884" s="51"/>
      <c r="V884" s="541">
        <f>+'NF-KSF-TRIAL-BAL-2021'!O884+'RA-TRIAL-BAL-2021'!O884+'DES-TRIAL-BAL-2021'!O884+'DMP-TRIAL-BAL-2021'!O884</f>
        <v>0</v>
      </c>
      <c r="W884" s="529">
        <f>+'NF-KSF-TRIAL-BAL-2021'!P884+'RA-TRIAL-BAL-2021'!P884+'DES-TRIAL-BAL-2021'!P884+'DMP-TRIAL-BAL-2021'!P884</f>
        <v>0</v>
      </c>
      <c r="X884" s="528">
        <f>+'NF-KSF-TRIAL-BAL-2021'!Q884+'RA-TRIAL-BAL-2021'!Q884+'DES-TRIAL-BAL-2021'!Q884+'DMP-TRIAL-BAL-2021'!Q884</f>
        <v>0</v>
      </c>
      <c r="Y884" s="529">
        <f>+'NF-KSF-TRIAL-BAL-2021'!R884+'RA-TRIAL-BAL-2021'!R884+'DES-TRIAL-BAL-2021'!R884+'DMP-TRIAL-BAL-2021'!R884</f>
        <v>0</v>
      </c>
      <c r="Z884" s="587">
        <f>+'NF-KSF-TRIAL-BAL-2021'!S884+'RA-TRIAL-BAL-2021'!S884+'DES-TRIAL-BAL-2021'!S884+'DMP-TRIAL-BAL-2021'!S884</f>
        <v>0</v>
      </c>
      <c r="AA884" s="588">
        <f>+'NF-KSF-TRIAL-BAL-2021'!T884+'RA-TRIAL-BAL-2021'!T884+'DES-TRIAL-BAL-2021'!T884+'DMP-TRIAL-BAL-2021'!T884</f>
        <v>0</v>
      </c>
      <c r="AB884" s="51"/>
      <c r="AC884" s="120"/>
      <c r="AD884" s="9">
        <v>0</v>
      </c>
      <c r="AE884" s="122"/>
      <c r="AF884" s="324"/>
      <c r="AG884" s="27">
        <f t="shared" si="447"/>
        <v>0</v>
      </c>
      <c r="AH884" s="30">
        <v>0</v>
      </c>
      <c r="AI884" s="51"/>
      <c r="AJ884" s="1497">
        <f t="shared" si="423"/>
        <v>9978</v>
      </c>
      <c r="AK884" s="951">
        <f>+ROUND(+O884+V884+AC884,2)</f>
        <v>0</v>
      </c>
      <c r="AL884" s="9">
        <v>0</v>
      </c>
      <c r="AM884" s="326">
        <f t="shared" si="429"/>
        <v>0</v>
      </c>
      <c r="AN884" s="970">
        <f t="shared" si="429"/>
        <v>0</v>
      </c>
      <c r="AO884" s="27">
        <f t="shared" si="450"/>
        <v>0</v>
      </c>
      <c r="AP884" s="331">
        <v>0</v>
      </c>
      <c r="AQ884" s="43"/>
      <c r="AR884" s="358">
        <f t="shared" si="426"/>
        <v>0</v>
      </c>
      <c r="AS884" s="359">
        <f t="shared" si="427"/>
        <v>0</v>
      </c>
      <c r="AT884" s="360">
        <f t="shared" si="428"/>
        <v>0</v>
      </c>
      <c r="AU884" s="43"/>
      <c r="AV884" s="2120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120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24"/>
      <c r="S885" s="29">
        <v>0</v>
      </c>
      <c r="T885" s="28">
        <f>+IF(ABS(+O885+Q885)&lt;=ABS(P885+R885),-O885+P885-Q885+R885,0)</f>
        <v>0</v>
      </c>
      <c r="U885" s="51"/>
      <c r="V885" s="541">
        <f>+'NF-KSF-TRIAL-BAL-2021'!O885+'RA-TRIAL-BAL-2021'!O885+'DES-TRIAL-BAL-2021'!O885+'DMP-TRIAL-BAL-2021'!O885</f>
        <v>0</v>
      </c>
      <c r="W885" s="529">
        <f>+'NF-KSF-TRIAL-BAL-2021'!P885+'RA-TRIAL-BAL-2021'!P885+'DES-TRIAL-BAL-2021'!P885+'DMP-TRIAL-BAL-2021'!P885</f>
        <v>0</v>
      </c>
      <c r="X885" s="528">
        <f>+'NF-KSF-TRIAL-BAL-2021'!Q885+'RA-TRIAL-BAL-2021'!Q885+'DES-TRIAL-BAL-2021'!Q885+'DMP-TRIAL-BAL-2021'!Q885</f>
        <v>0</v>
      </c>
      <c r="Y885" s="529">
        <f>+'NF-KSF-TRIAL-BAL-2021'!R885+'RA-TRIAL-BAL-2021'!R885+'DES-TRIAL-BAL-2021'!R885+'DMP-TRIAL-BAL-2021'!R885</f>
        <v>0</v>
      </c>
      <c r="Z885" s="528">
        <f>+'NF-KSF-TRIAL-BAL-2021'!S885+'RA-TRIAL-BAL-2021'!S885+'DES-TRIAL-BAL-2021'!S885+'DMP-TRIAL-BAL-2021'!S885</f>
        <v>0</v>
      </c>
      <c r="AA885" s="347">
        <f>+'NF-KSF-TRIAL-BAL-2021'!T885+'RA-TRIAL-BAL-2021'!T885+'DES-TRIAL-BAL-2021'!T885+'DMP-TRIAL-BAL-2021'!T885</f>
        <v>0</v>
      </c>
      <c r="AB885" s="51"/>
      <c r="AC885" s="8">
        <v>0</v>
      </c>
      <c r="AD885" s="121"/>
      <c r="AE885" s="122"/>
      <c r="AF885" s="324"/>
      <c r="AG885" s="29">
        <v>0</v>
      </c>
      <c r="AH885" s="28">
        <f>+IF(ABS(+AC885+AE885)&lt;=ABS(AD885+AF885),-AC885+AD885-AE885+AF885,0)</f>
        <v>0</v>
      </c>
      <c r="AI885" s="51"/>
      <c r="AJ885" s="1497">
        <f t="shared" si="423"/>
        <v>9979</v>
      </c>
      <c r="AK885" s="328">
        <v>0</v>
      </c>
      <c r="AL885" s="970">
        <f>+ROUND(+P885+W885+AD885,2)</f>
        <v>0</v>
      </c>
      <c r="AM885" s="326">
        <f t="shared" si="429"/>
        <v>0</v>
      </c>
      <c r="AN885" s="970">
        <f t="shared" si="429"/>
        <v>0</v>
      </c>
      <c r="AO885" s="330">
        <v>0</v>
      </c>
      <c r="AP885" s="28">
        <f>+T885+AA885+AH885</f>
        <v>0</v>
      </c>
      <c r="AQ885" s="43"/>
      <c r="AR885" s="358">
        <f t="shared" si="426"/>
        <v>0</v>
      </c>
      <c r="AS885" s="359">
        <f t="shared" si="427"/>
        <v>0</v>
      </c>
      <c r="AT885" s="360">
        <f t="shared" si="428"/>
        <v>0</v>
      </c>
      <c r="AU885" s="43"/>
      <c r="AV885" s="2119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119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 t="s">
        <v>265</v>
      </c>
      <c r="N886" s="113">
        <f t="shared" si="424"/>
        <v>9981</v>
      </c>
      <c r="O886" s="8">
        <v>0</v>
      </c>
      <c r="P886" s="121">
        <v>3006801.47</v>
      </c>
      <c r="Q886" s="122">
        <v>193984.43</v>
      </c>
      <c r="R886" s="324">
        <v>70443.63</v>
      </c>
      <c r="S886" s="29">
        <v>0</v>
      </c>
      <c r="T886" s="28">
        <f>+IF(ABS(+O886+Q886)&lt;=ABS(P886+R886),-O886+P886-Q886+R886,0)</f>
        <v>2883260.67</v>
      </c>
      <c r="U886" s="51"/>
      <c r="V886" s="541">
        <f>+'NF-KSF-TRIAL-BAL-2021'!O886+'RA-TRIAL-BAL-2021'!O886+'DES-TRIAL-BAL-2021'!O886+'DMP-TRIAL-BAL-2021'!O886</f>
        <v>0</v>
      </c>
      <c r="W886" s="529">
        <f>+'NF-KSF-TRIAL-BAL-2021'!P886+'RA-TRIAL-BAL-2021'!P886+'DES-TRIAL-BAL-2021'!P886+'DMP-TRIAL-BAL-2021'!P886</f>
        <v>477220.38</v>
      </c>
      <c r="X886" s="528">
        <f>+'NF-KSF-TRIAL-BAL-2021'!Q886+'RA-TRIAL-BAL-2021'!Q886+'DES-TRIAL-BAL-2021'!Q886+'DMP-TRIAL-BAL-2021'!Q886</f>
        <v>56021.7</v>
      </c>
      <c r="Y886" s="529">
        <f>+'NF-KSF-TRIAL-BAL-2021'!R886+'RA-TRIAL-BAL-2021'!R886+'DES-TRIAL-BAL-2021'!R886+'DMP-TRIAL-BAL-2021'!R886</f>
        <v>59767.869999999995</v>
      </c>
      <c r="Z886" s="528">
        <f>+'NF-KSF-TRIAL-BAL-2021'!S886+'RA-TRIAL-BAL-2021'!S886+'DES-TRIAL-BAL-2021'!S886+'DMP-TRIAL-BAL-2021'!S886</f>
        <v>0</v>
      </c>
      <c r="AA886" s="347">
        <f>+'NF-KSF-TRIAL-BAL-2021'!T886+'RA-TRIAL-BAL-2021'!T886+'DES-TRIAL-BAL-2021'!T886+'DMP-TRIAL-BAL-2021'!T886</f>
        <v>480966.55</v>
      </c>
      <c r="AB886" s="51"/>
      <c r="AC886" s="8">
        <v>0</v>
      </c>
      <c r="AD886" s="121"/>
      <c r="AE886" s="122"/>
      <c r="AF886" s="324"/>
      <c r="AG886" s="29">
        <v>0</v>
      </c>
      <c r="AH886" s="28">
        <f>+IF(ABS(+AC886+AE886)&lt;=ABS(AD886+AF886),-AC886+AD886-AE886+AF886,0)</f>
        <v>0</v>
      </c>
      <c r="AI886" s="51"/>
      <c r="AJ886" s="1497">
        <f t="shared" si="423"/>
        <v>9981</v>
      </c>
      <c r="AK886" s="328">
        <v>0</v>
      </c>
      <c r="AL886" s="970">
        <f>+ROUND(+P886+W886+AD886,2)</f>
        <v>3484021.85</v>
      </c>
      <c r="AM886" s="326">
        <f t="shared" si="429"/>
        <v>250006.13</v>
      </c>
      <c r="AN886" s="970">
        <f t="shared" si="429"/>
        <v>130211.5</v>
      </c>
      <c r="AO886" s="330">
        <v>0</v>
      </c>
      <c r="AP886" s="28">
        <f>+T886+AA886+AH886</f>
        <v>3364227.2199999997</v>
      </c>
      <c r="AQ886" s="43"/>
      <c r="AR886" s="358">
        <f t="shared" si="426"/>
        <v>0</v>
      </c>
      <c r="AS886" s="359">
        <f t="shared" si="427"/>
        <v>0</v>
      </c>
      <c r="AT886" s="360">
        <f t="shared" si="428"/>
        <v>0</v>
      </c>
      <c r="AU886" s="43"/>
      <c r="AV886" s="2119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119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1691238.3999999999</v>
      </c>
      <c r="P887" s="37">
        <v>0</v>
      </c>
      <c r="Q887" s="124">
        <v>2914903.32</v>
      </c>
      <c r="R887" s="125">
        <v>909425.54</v>
      </c>
      <c r="S887" s="27">
        <f>+IF(ABS(+O887+Q887)&gt;=ABS(P887+R887),+O887-P887+Q887-R887,0)</f>
        <v>3696716.1799999997</v>
      </c>
      <c r="T887" s="30">
        <v>0</v>
      </c>
      <c r="U887" s="51"/>
      <c r="V887" s="544">
        <f>+'NF-KSF-TRIAL-BAL-2021'!O887+'RA-TRIAL-BAL-2021'!O887+'DES-TRIAL-BAL-2021'!O887+'DMP-TRIAL-BAL-2021'!O887</f>
        <v>5456930.8200000003</v>
      </c>
      <c r="W887" s="542">
        <f>+'NF-KSF-TRIAL-BAL-2021'!P887+'RA-TRIAL-BAL-2021'!P887+'DES-TRIAL-BAL-2021'!P887+'DMP-TRIAL-BAL-2021'!P887</f>
        <v>0</v>
      </c>
      <c r="X887" s="530">
        <f>+'NF-KSF-TRIAL-BAL-2021'!Q887+'RA-TRIAL-BAL-2021'!Q887+'DES-TRIAL-BAL-2021'!Q887+'DMP-TRIAL-BAL-2021'!Q887</f>
        <v>5715483.8499999996</v>
      </c>
      <c r="Y887" s="542">
        <f>+'NF-KSF-TRIAL-BAL-2021'!R887+'RA-TRIAL-BAL-2021'!R887+'DES-TRIAL-BAL-2021'!R887+'DMP-TRIAL-BAL-2021'!R887</f>
        <v>3477503.88</v>
      </c>
      <c r="Z887" s="530">
        <f>+'NF-KSF-TRIAL-BAL-2021'!S887+'RA-TRIAL-BAL-2021'!S887+'DES-TRIAL-BAL-2021'!S887+'DMP-TRIAL-BAL-2021'!S887</f>
        <v>7694910.79</v>
      </c>
      <c r="AA887" s="531">
        <f>+'NF-KSF-TRIAL-BAL-2021'!T887+'RA-TRIAL-BAL-2021'!T887+'DES-TRIAL-BAL-2021'!T887+'DMP-TRIAL-BAL-2021'!T887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98">
        <f t="shared" si="423"/>
        <v>9989</v>
      </c>
      <c r="AK887" s="1500">
        <f>+ROUND(+O887+V887+AC887,2)</f>
        <v>7148169.2199999997</v>
      </c>
      <c r="AL887" s="37">
        <v>0</v>
      </c>
      <c r="AM887" s="1057">
        <f t="shared" si="429"/>
        <v>8630387.1699999999</v>
      </c>
      <c r="AN887" s="1499">
        <f t="shared" si="429"/>
        <v>4386929.42</v>
      </c>
      <c r="AO887" s="1057">
        <f>+S887+Z887+AG887</f>
        <v>11391626.969999999</v>
      </c>
      <c r="AP887" s="1542">
        <v>0</v>
      </c>
      <c r="AQ887" s="43"/>
      <c r="AR887" s="358">
        <f t="shared" si="426"/>
        <v>0</v>
      </c>
      <c r="AS887" s="359">
        <f t="shared" si="427"/>
        <v>0</v>
      </c>
      <c r="AT887" s="360">
        <f t="shared" si="428"/>
        <v>0</v>
      </c>
      <c r="AU887" s="43"/>
      <c r="AV887" s="2120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120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4684023.1500000004</v>
      </c>
      <c r="P888" s="13">
        <f t="shared" si="455"/>
        <v>4684023.1500000004</v>
      </c>
      <c r="Q888" s="32">
        <f t="shared" si="455"/>
        <v>12724390.109999999</v>
      </c>
      <c r="R888" s="33">
        <f t="shared" si="455"/>
        <v>12724390.109999999</v>
      </c>
      <c r="S888" s="32">
        <f t="shared" si="455"/>
        <v>13060857.140000001</v>
      </c>
      <c r="T888" s="34">
        <f t="shared" si="455"/>
        <v>13060857.140000001</v>
      </c>
      <c r="U888" s="51"/>
      <c r="V888" s="840">
        <f t="shared" ref="V888:AA888" si="456">+ROUND(SUM(V831:V887),2)</f>
        <v>5934151.2000000002</v>
      </c>
      <c r="W888" s="843">
        <f t="shared" si="456"/>
        <v>5934151.2000000002</v>
      </c>
      <c r="X888" s="842">
        <f t="shared" si="456"/>
        <v>11255372.32</v>
      </c>
      <c r="Y888" s="843">
        <f t="shared" si="456"/>
        <v>11255372.32</v>
      </c>
      <c r="Z888" s="844">
        <f t="shared" si="456"/>
        <v>8837949.0299999993</v>
      </c>
      <c r="AA888" s="845">
        <f t="shared" si="456"/>
        <v>8837949.0299999993</v>
      </c>
      <c r="AB888" s="51"/>
      <c r="AC888" s="882">
        <f t="shared" ref="AC888:AH888" si="457">+ROUND(SUM(AC831:AC887),2)</f>
        <v>0</v>
      </c>
      <c r="AD888" s="883">
        <f t="shared" si="457"/>
        <v>0</v>
      </c>
      <c r="AE888" s="884">
        <f t="shared" si="457"/>
        <v>0</v>
      </c>
      <c r="AF888" s="885">
        <f t="shared" si="457"/>
        <v>0</v>
      </c>
      <c r="AG888" s="886">
        <f t="shared" si="457"/>
        <v>0</v>
      </c>
      <c r="AH888" s="887">
        <f t="shared" si="457"/>
        <v>0</v>
      </c>
      <c r="AI888" s="51"/>
      <c r="AJ888" s="1543">
        <f t="shared" si="423"/>
        <v>9</v>
      </c>
      <c r="AK888" s="1547">
        <f t="shared" ref="AK888:AP888" si="458">+ROUND(SUM(AK831:AK887),2)</f>
        <v>10618174.35</v>
      </c>
      <c r="AL888" s="1548">
        <f t="shared" si="458"/>
        <v>10618174.35</v>
      </c>
      <c r="AM888" s="1544">
        <f t="shared" si="458"/>
        <v>23979762.43</v>
      </c>
      <c r="AN888" s="1546">
        <f t="shared" si="458"/>
        <v>23979762.43</v>
      </c>
      <c r="AO888" s="1544">
        <f t="shared" si="458"/>
        <v>21898806.170000002</v>
      </c>
      <c r="AP888" s="1545">
        <f t="shared" si="458"/>
        <v>21898806.170000002</v>
      </c>
      <c r="AQ888" s="43"/>
      <c r="AR888" s="364">
        <f>+ROUND(SUM(AR831:AR887),2)</f>
        <v>0</v>
      </c>
      <c r="AS888" s="365">
        <f>+ROUND(SUM(AS831:AS887),2)</f>
        <v>0</v>
      </c>
      <c r="AT888" s="366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86"/>
      <c r="J890" s="286"/>
      <c r="K890" s="286"/>
      <c r="L890" s="287"/>
      <c r="M890" s="51"/>
      <c r="N890" s="288" t="s">
        <v>665</v>
      </c>
      <c r="O890" s="289">
        <f t="shared" ref="O890:T890" si="459">+ROUND(+O829+O888,2)</f>
        <v>24204512.77</v>
      </c>
      <c r="P890" s="290">
        <f t="shared" si="459"/>
        <v>24204512.77</v>
      </c>
      <c r="Q890" s="291">
        <f t="shared" si="459"/>
        <v>65245503.359999999</v>
      </c>
      <c r="R890" s="292">
        <f t="shared" si="459"/>
        <v>65245503.359999999</v>
      </c>
      <c r="S890" s="291">
        <f t="shared" si="459"/>
        <v>43532547.619999997</v>
      </c>
      <c r="T890" s="293">
        <f t="shared" si="459"/>
        <v>43532547.619999997</v>
      </c>
      <c r="U890" s="51"/>
      <c r="V890" s="430">
        <f t="shared" ref="V890:AA890" si="460">+ROUND(+V829+V888,2)</f>
        <v>11827067.689999999</v>
      </c>
      <c r="W890" s="431">
        <f t="shared" si="460"/>
        <v>11827067.689999999</v>
      </c>
      <c r="X890" s="432">
        <f t="shared" si="460"/>
        <v>34099633.82</v>
      </c>
      <c r="Y890" s="431">
        <f t="shared" si="460"/>
        <v>34099633.82</v>
      </c>
      <c r="Z890" s="432">
        <f t="shared" si="460"/>
        <v>16588500.810000001</v>
      </c>
      <c r="AA890" s="433">
        <f t="shared" si="460"/>
        <v>16588500.810000001</v>
      </c>
      <c r="AB890" s="51"/>
      <c r="AC890" s="294">
        <f t="shared" ref="AC890:AH890" si="461">+ROUND(+AC829+AC888,2)</f>
        <v>65153601.780000001</v>
      </c>
      <c r="AD890" s="295">
        <f t="shared" si="461"/>
        <v>65153601.780000001</v>
      </c>
      <c r="AE890" s="296">
        <f t="shared" si="461"/>
        <v>2850562.06</v>
      </c>
      <c r="AF890" s="297">
        <f t="shared" si="461"/>
        <v>2850562.06</v>
      </c>
      <c r="AG890" s="298">
        <f t="shared" si="461"/>
        <v>67707531.260000005</v>
      </c>
      <c r="AH890" s="299">
        <f t="shared" si="461"/>
        <v>67707531.260000005</v>
      </c>
      <c r="AI890" s="51"/>
      <c r="AJ890" s="1549" t="str">
        <f t="shared" si="423"/>
        <v>Общо</v>
      </c>
      <c r="AK890" s="1550">
        <f t="shared" ref="AK890:AP890" si="462">+ROUND(+AK829+AK888,2)</f>
        <v>101185182.23999999</v>
      </c>
      <c r="AL890" s="1551">
        <f t="shared" si="462"/>
        <v>101185182.23999999</v>
      </c>
      <c r="AM890" s="1552">
        <f t="shared" si="462"/>
        <v>102195699.23999999</v>
      </c>
      <c r="AN890" s="1551">
        <f t="shared" si="462"/>
        <v>102195699.23999999</v>
      </c>
      <c r="AO890" s="1552">
        <f t="shared" si="462"/>
        <v>127828579.69</v>
      </c>
      <c r="AP890" s="1553">
        <f t="shared" si="462"/>
        <v>127828579.69</v>
      </c>
      <c r="AQ890" s="43"/>
      <c r="AR890" s="367">
        <f>+ROUND(+AR829+AR888,2)</f>
        <v>0</v>
      </c>
      <c r="AS890" s="367">
        <f>+ROUND(+AS829+AS888,2)</f>
        <v>0</v>
      </c>
      <c r="AT890" s="368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14" t="s">
        <v>595</v>
      </c>
      <c r="P892" s="15">
        <f>+ROUND(+O829-P829,2)</f>
        <v>0</v>
      </c>
      <c r="Q892" s="35" t="s">
        <v>596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595</v>
      </c>
      <c r="W892" s="78">
        <f>+ROUND(+V829-W829,2)</f>
        <v>0</v>
      </c>
      <c r="X892" s="62" t="s">
        <v>596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595</v>
      </c>
      <c r="AD892" s="74">
        <f>+ROUND(+AC829-AD829,2)</f>
        <v>0</v>
      </c>
      <c r="AE892" s="76" t="s">
        <v>596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666</v>
      </c>
      <c r="AK892" s="14" t="s">
        <v>595</v>
      </c>
      <c r="AL892" s="15">
        <f>+ROUND(+AK829-AL829,2)</f>
        <v>0</v>
      </c>
      <c r="AM892" s="35" t="s">
        <v>596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595</v>
      </c>
      <c r="P894" s="15">
        <f>+ROUND(+O888-P888,2)</f>
        <v>0</v>
      </c>
      <c r="Q894" s="35" t="s">
        <v>596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595</v>
      </c>
      <c r="W894" s="61">
        <f>+ROUND(+V888-W888,2)</f>
        <v>0</v>
      </c>
      <c r="X894" s="62" t="s">
        <v>596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595</v>
      </c>
      <c r="AD894" s="74">
        <f>+ROUND(+AC888-AD888,2)</f>
        <v>0</v>
      </c>
      <c r="AE894" s="76" t="s">
        <v>596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595</v>
      </c>
      <c r="AL894" s="15">
        <f>+ROUND(+AK888-AL888,2)</f>
        <v>0</v>
      </c>
      <c r="AM894" s="35" t="s">
        <v>596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39" t="s">
        <v>595</v>
      </c>
      <c r="P896" s="40">
        <f>+ROUND(+O890-P890,2)</f>
        <v>0</v>
      </c>
      <c r="Q896" s="41" t="s">
        <v>596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595</v>
      </c>
      <c r="W896" s="65">
        <f>+ROUND(+V890-W890,2)</f>
        <v>0</v>
      </c>
      <c r="X896" s="64" t="s">
        <v>596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595</v>
      </c>
      <c r="AD896" s="81">
        <f>+ROUND(+AC890-AD890,2)</f>
        <v>0</v>
      </c>
      <c r="AE896" s="83" t="s">
        <v>596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665</v>
      </c>
      <c r="AK896" s="39" t="s">
        <v>595</v>
      </c>
      <c r="AL896" s="40">
        <f>+ROUND(+AK890-AL890,2)</f>
        <v>0</v>
      </c>
      <c r="AM896" s="41" t="s">
        <v>596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61"/>
      <c r="W897" s="261"/>
      <c r="X897" s="261"/>
      <c r="Y897" s="261"/>
      <c r="Z897" s="261"/>
      <c r="AA897" s="261"/>
      <c r="AB897" s="259"/>
      <c r="AC897" s="261"/>
      <c r="AD897" s="261"/>
      <c r="AE897" s="261"/>
      <c r="AF897" s="261"/>
      <c r="AG897" s="261"/>
      <c r="AH897" s="261"/>
      <c r="AI897" s="259"/>
      <c r="AJ897" s="260"/>
      <c r="AK897" s="261"/>
      <c r="AL897" s="261"/>
      <c r="AM897" s="261"/>
      <c r="AN897" s="261"/>
      <c r="AO897" s="261"/>
      <c r="AP897" s="261"/>
      <c r="AQ897" s="258"/>
      <c r="AR897" s="261"/>
      <c r="AS897" s="261"/>
      <c r="AT897" s="261"/>
      <c r="AU897" s="258"/>
      <c r="AV897" s="258"/>
      <c r="AW897" s="119"/>
      <c r="AX897" s="119"/>
      <c r="AY897" s="258"/>
      <c r="AZ897" s="258"/>
      <c r="BA897" s="258"/>
      <c r="BB897" s="258"/>
      <c r="BC897" s="258"/>
      <c r="BD897" s="258"/>
    </row>
    <row r="898" spans="1:56" s="1399" customFormat="1" ht="15.75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259"/>
      <c r="N898" s="260"/>
      <c r="O898" s="277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1</v>
      </c>
      <c r="Q898" s="263">
        <v>0</v>
      </c>
      <c r="R898" s="264">
        <v>0</v>
      </c>
      <c r="S898" s="279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434" t="s">
        <v>696</v>
      </c>
      <c r="W898" s="548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9">
        <v>0</v>
      </c>
      <c r="Y898" s="550">
        <v>0</v>
      </c>
      <c r="Z898" s="436" t="s">
        <v>698</v>
      </c>
      <c r="AA898" s="551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83" t="s">
        <v>696</v>
      </c>
      <c r="AD898" s="274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63">
        <v>0</v>
      </c>
      <c r="AF898" s="264">
        <v>0</v>
      </c>
      <c r="AG898" s="281" t="s">
        <v>698</v>
      </c>
      <c r="AH898" s="275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9"/>
      <c r="AJ898" s="260"/>
      <c r="AK898" s="277" t="s">
        <v>696</v>
      </c>
      <c r="AL898" s="274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1</v>
      </c>
      <c r="AM898" s="263">
        <v>0</v>
      </c>
      <c r="AN898" s="264">
        <v>0</v>
      </c>
      <c r="AO898" s="279" t="s">
        <v>698</v>
      </c>
      <c r="AP898" s="275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0</v>
      </c>
      <c r="AQ898" s="258"/>
      <c r="AR898" s="261"/>
      <c r="AS898" s="261"/>
      <c r="AT898" s="261"/>
      <c r="AU898" s="258"/>
      <c r="AV898" s="258"/>
      <c r="AW898" s="119"/>
      <c r="AX898" s="119"/>
      <c r="AY898" s="258"/>
      <c r="AZ898" s="258"/>
      <c r="BA898" s="258"/>
      <c r="BB898" s="258"/>
      <c r="BC898" s="258"/>
      <c r="BD898" s="258"/>
    </row>
    <row r="899" spans="1:5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259"/>
      <c r="N899" s="260"/>
      <c r="O899" s="278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280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435" t="s">
        <v>697</v>
      </c>
      <c r="W899" s="552">
        <f>+IF((+SUM(V348:V350)+SUM(V354:V356)+V358+SUM(V368:V369)+SUM(V372:V374)+V376+SUM(V351:V353)+SUM(V370:V371)+SUM(V375))&gt;0,1-W898,0)</f>
        <v>0</v>
      </c>
      <c r="X899" s="553">
        <v>0</v>
      </c>
      <c r="Y899" s="554">
        <v>0</v>
      </c>
      <c r="Z899" s="437" t="s">
        <v>699</v>
      </c>
      <c r="AA899" s="555">
        <f>+IF((+SUM(Z348:Z350)+SUM(Z354:Z356)+Z358+SUM(Z368:Z369)+SUM(Z372:Z374)+Z376+SUM(Z351:Z353)+SUM(Z370:Z371)+SUM(Z375))&gt;0,1-AA898,0)</f>
        <v>0</v>
      </c>
      <c r="AB899" s="51"/>
      <c r="AC899" s="284" t="s">
        <v>697</v>
      </c>
      <c r="AD899" s="273">
        <f>+IF((+SUM(AC348:AC350)+SUM(AC354:AC356)+AC358+SUM(AC368:AC369)+SUM(AC372:AC374)+AC376+SUM(AC351:AC353)+SUM(AC370:AC371)+SUM(AC375))&gt;0,1-AD898,0)</f>
        <v>0</v>
      </c>
      <c r="AE899" s="265">
        <v>0</v>
      </c>
      <c r="AF899" s="266">
        <v>0</v>
      </c>
      <c r="AG899" s="282" t="s">
        <v>699</v>
      </c>
      <c r="AH899" s="276">
        <f>+IF((+SUM(AG348:AG350)+SUM(AG354:AG356)+AG358+SUM(AG368:AG369)+SUM(AG372:AG374)+AG376+SUM(AG351:AG353)+SUM(AG370:AG371)+SUM(AG375))&gt;0,1-AH898,0)</f>
        <v>0</v>
      </c>
      <c r="AI899" s="259"/>
      <c r="AJ899" s="260"/>
      <c r="AK899" s="278" t="s">
        <v>697</v>
      </c>
      <c r="AL899" s="273">
        <f>+IF((+SUM(AK348:AK350)+SUM(AK354:AK356)+AK358+SUM(AK368:AK369)+SUM(AK372:AK374)+AK376+SUM(AK351:AK353)+SUM(AK370:AK371)+SUM(AK375))&gt;0,1-AL898,0)</f>
        <v>0</v>
      </c>
      <c r="AM899" s="265">
        <v>0</v>
      </c>
      <c r="AN899" s="266">
        <v>0</v>
      </c>
      <c r="AO899" s="280" t="s">
        <v>699</v>
      </c>
      <c r="AP899" s="276">
        <f>+IF((+SUM(AO348:AO350)+SUM(AO354:AO356)+AO358+SUM(AO368:AO369)+SUM(AO372:AO374)+AO376+SUM(AO351:AO353)+SUM(AO370:AO371)+SUM(AO375))&gt;0,1-AP898,0)</f>
        <v>0</v>
      </c>
      <c r="AQ899" s="258"/>
      <c r="AR899" s="261"/>
      <c r="AS899" s="261"/>
      <c r="AT899" s="261"/>
      <c r="AU899" s="258"/>
      <c r="AV899" s="258"/>
      <c r="AW899" s="119"/>
      <c r="AX899" s="119"/>
      <c r="AY899" s="258"/>
      <c r="AZ899" s="258"/>
      <c r="BA899" s="258"/>
      <c r="BB899" s="258"/>
      <c r="BC899" s="258"/>
      <c r="BD899" s="258"/>
    </row>
    <row r="900" spans="1:5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58"/>
      <c r="Q900" s="261"/>
      <c r="R900" s="261"/>
      <c r="S900" s="261"/>
      <c r="T900" s="261"/>
      <c r="U900" s="259"/>
      <c r="V900" s="261"/>
      <c r="W900" s="261"/>
      <c r="X900" s="261"/>
      <c r="Y900" s="261"/>
      <c r="Z900" s="261"/>
      <c r="AA900" s="261"/>
      <c r="AB900" s="259"/>
      <c r="AC900" s="261"/>
      <c r="AD900" s="261"/>
      <c r="AE900" s="261"/>
      <c r="AF900" s="261"/>
      <c r="AG900" s="261"/>
      <c r="AH900" s="261"/>
      <c r="AI900" s="259"/>
      <c r="AJ900" s="260"/>
      <c r="AK900" s="261"/>
      <c r="AL900" s="258"/>
      <c r="AM900" s="261"/>
      <c r="AN900" s="261"/>
      <c r="AO900" s="261"/>
      <c r="AP900" s="261"/>
      <c r="AQ900" s="258"/>
      <c r="AR900" s="261"/>
      <c r="AS900" s="261"/>
      <c r="AT900" s="261"/>
      <c r="AU900" s="258"/>
      <c r="AV900" s="258"/>
      <c r="AW900" s="119"/>
      <c r="AX900" s="119"/>
      <c r="AY900" s="258"/>
      <c r="AZ900" s="258"/>
      <c r="BA900" s="258"/>
      <c r="BB900" s="258"/>
      <c r="BC900" s="258"/>
      <c r="BD900" s="258"/>
    </row>
    <row r="901" spans="1:56" s="1399" customFormat="1" ht="15.75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259"/>
      <c r="N901" s="260"/>
      <c r="O901" s="277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279" t="s">
        <v>703</v>
      </c>
      <c r="T901" s="275">
        <f>+IF((+T19+T20)&gt;0,(+T19)/(+T19+T20),0)</f>
        <v>0</v>
      </c>
      <c r="U901" s="51"/>
      <c r="V901" s="434" t="str">
        <f>+O901</f>
        <v>дълг. ЦК.-дял в нач.салдо</v>
      </c>
      <c r="W901" s="548">
        <f>+IF((+W19+W20)&gt;0,(+W19)/(+W19+W20),0)</f>
        <v>0</v>
      </c>
      <c r="X901" s="549">
        <v>0</v>
      </c>
      <c r="Y901" s="550">
        <v>0</v>
      </c>
      <c r="Z901" s="436" t="str">
        <f>+S901</f>
        <v>дълг. ЦК.-дял в кр.салдо</v>
      </c>
      <c r="AA901" s="551">
        <f>+IF((+AA19+AA20)&gt;0,(+AA19)/(+AA19+AA20),0)</f>
        <v>0</v>
      </c>
      <c r="AB901" s="51"/>
      <c r="AC901" s="283" t="str">
        <f>+V901</f>
        <v>дълг. ЦК.-дял в нач.салдо</v>
      </c>
      <c r="AD901" s="274">
        <f>+IF((+AD19+AD20)&gt;0,(+AD19)/(+AD19+AD20),0)</f>
        <v>0</v>
      </c>
      <c r="AE901" s="263">
        <v>0</v>
      </c>
      <c r="AF901" s="264">
        <v>0</v>
      </c>
      <c r="AG901" s="281" t="str">
        <f>+Z901</f>
        <v>дълг. ЦК.-дял в кр.салдо</v>
      </c>
      <c r="AH901" s="275">
        <f>+IF((+AH19+AH20)&gt;0,(+AH19)/(+AH19+AH20),0)</f>
        <v>0</v>
      </c>
      <c r="AI901" s="259"/>
      <c r="AJ901" s="260"/>
      <c r="AK901" s="277" t="str">
        <f>+AC901</f>
        <v>дълг. ЦК.-дял в нач.салдо</v>
      </c>
      <c r="AL901" s="274">
        <f>+IF((+AL19+AL20)&gt;0,(+AL19)/(+AL19+AL20),0)</f>
        <v>0</v>
      </c>
      <c r="AM901" s="263">
        <v>0</v>
      </c>
      <c r="AN901" s="264">
        <v>0</v>
      </c>
      <c r="AO901" s="279" t="str">
        <f>+AG901</f>
        <v>дълг. ЦК.-дял в кр.салдо</v>
      </c>
      <c r="AP901" s="275">
        <f>+IF((+AP19+AP20)&gt;0,(+AP19)/(+AP19+AP20),0)</f>
        <v>0</v>
      </c>
      <c r="AQ901" s="258"/>
      <c r="AR901" s="261"/>
      <c r="AS901" s="261"/>
      <c r="AT901" s="261"/>
      <c r="AU901" s="258"/>
      <c r="AV901" s="258"/>
      <c r="AW901" s="119"/>
      <c r="AX901" s="119"/>
      <c r="AY901" s="258"/>
      <c r="AZ901" s="258"/>
      <c r="BA901" s="258"/>
      <c r="BB901" s="258"/>
      <c r="BC901" s="258"/>
      <c r="BD901" s="258"/>
    </row>
    <row r="902" spans="1:5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259"/>
      <c r="N902" s="260"/>
      <c r="O902" s="278" t="s">
        <v>700</v>
      </c>
      <c r="P902" s="273">
        <f>+IF((+P19+P20)&gt;0,1-P901,0)</f>
        <v>0</v>
      </c>
      <c r="Q902" s="265">
        <v>0</v>
      </c>
      <c r="R902" s="266">
        <v>0</v>
      </c>
      <c r="S902" s="280" t="s">
        <v>702</v>
      </c>
      <c r="T902" s="276">
        <f>+IF((+T19+T20)&gt;0,1-T901,0)</f>
        <v>0</v>
      </c>
      <c r="U902" s="51"/>
      <c r="V902" s="435" t="str">
        <f>+O902</f>
        <v>кратк. ЦК.-дял в нач.салдо</v>
      </c>
      <c r="W902" s="552">
        <f>+IF((+W19+W20)&gt;0,1-W901,0)</f>
        <v>0</v>
      </c>
      <c r="X902" s="553">
        <v>0</v>
      </c>
      <c r="Y902" s="554">
        <v>0</v>
      </c>
      <c r="Z902" s="437" t="str">
        <f>+S902</f>
        <v>кратк. ЦК.-дял в кр.салдо</v>
      </c>
      <c r="AA902" s="555">
        <f>+IF((+AA19+AA20)&gt;0,1-AA901,0)</f>
        <v>0</v>
      </c>
      <c r="AB902" s="51"/>
      <c r="AC902" s="284" t="str">
        <f>+V902</f>
        <v>кратк. ЦК.-дял в нач.салдо</v>
      </c>
      <c r="AD902" s="273">
        <f>+IF((+AD19+AD20)&gt;0,1-AD901,0)</f>
        <v>0</v>
      </c>
      <c r="AE902" s="265">
        <v>0</v>
      </c>
      <c r="AF902" s="266">
        <v>0</v>
      </c>
      <c r="AG902" s="282" t="str">
        <f>+Z902</f>
        <v>кратк. ЦК.-дял в кр.салдо</v>
      </c>
      <c r="AH902" s="276">
        <f>+IF((+AH19+AH20)&gt;0,1-AH901,0)</f>
        <v>0</v>
      </c>
      <c r="AI902" s="259"/>
      <c r="AJ902" s="260"/>
      <c r="AK902" s="278" t="str">
        <f>+AC902</f>
        <v>кратк. ЦК.-дял в нач.салдо</v>
      </c>
      <c r="AL902" s="273">
        <f>+IF((+AL19+AL20)&gt;0,1-AL901,0)</f>
        <v>0</v>
      </c>
      <c r="AM902" s="265">
        <v>0</v>
      </c>
      <c r="AN902" s="266">
        <v>0</v>
      </c>
      <c r="AO902" s="280" t="str">
        <f>+AG902</f>
        <v>кратк. ЦК.-дял в кр.салдо</v>
      </c>
      <c r="AP902" s="276">
        <f>+IF((+AP19+AP20)&gt;0,1-AP901,0)</f>
        <v>0</v>
      </c>
      <c r="AQ902" s="258"/>
      <c r="AR902" s="261"/>
      <c r="AS902" s="261"/>
      <c r="AT902" s="261"/>
      <c r="AU902" s="258"/>
      <c r="AV902" s="258"/>
      <c r="AW902" s="119"/>
      <c r="AX902" s="119"/>
      <c r="AY902" s="258"/>
      <c r="AZ902" s="258"/>
      <c r="BA902" s="258"/>
      <c r="BB902" s="258"/>
      <c r="BC902" s="258"/>
      <c r="BD902" s="258"/>
    </row>
    <row r="903" spans="1:5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261"/>
      <c r="P903" s="261"/>
      <c r="Q903" s="261"/>
      <c r="R903" s="261"/>
      <c r="S903" s="261"/>
      <c r="T903" s="261"/>
      <c r="U903" s="259"/>
      <c r="V903" s="261"/>
      <c r="W903" s="261"/>
      <c r="X903" s="261"/>
      <c r="Y903" s="261"/>
      <c r="Z903" s="261"/>
      <c r="AA903" s="261"/>
      <c r="AB903" s="259"/>
      <c r="AC903" s="261"/>
      <c r="AD903" s="261"/>
      <c r="AE903" s="261"/>
      <c r="AF903" s="261"/>
      <c r="AG903" s="261"/>
      <c r="AH903" s="261"/>
      <c r="AI903" s="259"/>
      <c r="AJ903" s="260"/>
      <c r="AK903" s="261"/>
      <c r="AL903" s="261"/>
      <c r="AM903" s="261"/>
      <c r="AN903" s="261"/>
      <c r="AO903" s="261"/>
      <c r="AP903" s="261"/>
      <c r="AQ903" s="258"/>
      <c r="AR903" s="261"/>
      <c r="AS903" s="261"/>
      <c r="AT903" s="261"/>
      <c r="AU903" s="258"/>
      <c r="AV903" s="258"/>
      <c r="AW903" s="119"/>
      <c r="AX903" s="119"/>
      <c r="AY903" s="258"/>
      <c r="AZ903" s="258"/>
      <c r="BA903" s="258"/>
      <c r="BB903" s="258"/>
      <c r="BC903" s="258"/>
      <c r="BD903" s="258"/>
    </row>
    <row r="904" spans="1:56" s="1399" customFormat="1" ht="15.75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259"/>
      <c r="N904" s="260"/>
      <c r="O904" s="277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279" t="s">
        <v>706</v>
      </c>
      <c r="T904" s="275">
        <f>+IF((+T50+T51+T52+T53)&gt;0,(+T50+T51)/(+T50+T51+T52+T53),0)</f>
        <v>0</v>
      </c>
      <c r="U904" s="51"/>
      <c r="V904" s="434" t="str">
        <f>+O904</f>
        <v>дълг. л-г-дял в нач.салдо</v>
      </c>
      <c r="W904" s="548">
        <f>+IF((+W50+W51+W52+W53)&gt;0,(+W50+W51)/(+W50+W51+W52+W53),0)</f>
        <v>0</v>
      </c>
      <c r="X904" s="549">
        <v>0</v>
      </c>
      <c r="Y904" s="550">
        <v>0</v>
      </c>
      <c r="Z904" s="436" t="str">
        <f>+S904</f>
        <v>дълг. л-г-дял в кр.салдо</v>
      </c>
      <c r="AA904" s="551">
        <f>+IF((+AA50+AA51+AA52+AA53)&gt;0,(+AA50+AA51)/(+AA50+AA51+AA52+AA53),0)</f>
        <v>0</v>
      </c>
      <c r="AB904" s="51"/>
      <c r="AC904" s="283" t="str">
        <f>+V904</f>
        <v>дълг. л-г-дял в нач.салдо</v>
      </c>
      <c r="AD904" s="274">
        <f>+IF((+AD50+AD51+AD52+AD53)&gt;0,(+AD50+AD51)/(+AD50+AD51+AD52+AD53),0)</f>
        <v>0</v>
      </c>
      <c r="AE904" s="263">
        <v>0</v>
      </c>
      <c r="AF904" s="264">
        <v>0</v>
      </c>
      <c r="AG904" s="281" t="str">
        <f>+Z904</f>
        <v>дълг. л-г-дял в кр.салдо</v>
      </c>
      <c r="AH904" s="275">
        <f>+IF((+AH50+AH51+AH52+AH53)&gt;0,(+AH50+AH51)/(+AH50+AH51+AH52+AH53),0)</f>
        <v>0</v>
      </c>
      <c r="AI904" s="259"/>
      <c r="AJ904" s="260"/>
      <c r="AK904" s="277" t="str">
        <f>+AC904</f>
        <v>дълг. л-г-дял в нач.салдо</v>
      </c>
      <c r="AL904" s="274">
        <f>+IF((+AL50+AL51+AL52+AL53)&gt;0,(+AL50+AL51)/(+AL50+AL51+AL52+AL53),0)</f>
        <v>0</v>
      </c>
      <c r="AM904" s="263">
        <v>0</v>
      </c>
      <c r="AN904" s="264">
        <v>0</v>
      </c>
      <c r="AO904" s="279" t="str">
        <f>+AG904</f>
        <v>дълг. л-г-дял в кр.салдо</v>
      </c>
      <c r="AP904" s="275">
        <f>+IF((+AP50+AP51+AP52+AP53)&gt;0,(+AP50+AP51)/(+AP50+AP51+AP52+AP53),0)</f>
        <v>0</v>
      </c>
      <c r="AQ904" s="258"/>
      <c r="AR904" s="261"/>
      <c r="AS904" s="261"/>
      <c r="AT904" s="261"/>
      <c r="AU904" s="258"/>
      <c r="AV904" s="258"/>
      <c r="AW904" s="119"/>
      <c r="AX904" s="119"/>
      <c r="AY904" s="258"/>
      <c r="AZ904" s="258"/>
      <c r="BA904" s="258"/>
      <c r="BB904" s="258"/>
      <c r="BC904" s="258"/>
      <c r="BD904" s="258"/>
    </row>
    <row r="905" spans="1:5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259"/>
      <c r="N905" s="260"/>
      <c r="O905" s="278" t="s">
        <v>704</v>
      </c>
      <c r="P905" s="273">
        <f>+IF((+P50+P51+P52+P53)&gt;0,1-P904,0)</f>
        <v>0</v>
      </c>
      <c r="Q905" s="265">
        <v>0</v>
      </c>
      <c r="R905" s="266">
        <v>0</v>
      </c>
      <c r="S905" s="280" t="s">
        <v>707</v>
      </c>
      <c r="T905" s="276">
        <f>+IF((+T50+T51+T52+T53)&gt;0,1-T904,0)</f>
        <v>0</v>
      </c>
      <c r="U905" s="51"/>
      <c r="V905" s="435" t="str">
        <f>+O905</f>
        <v>кратк. л-г-дял в нач.салдо</v>
      </c>
      <c r="W905" s="552">
        <f>+IF((+W50+W51+W52+W53)&gt;0,1-W904,0)</f>
        <v>0</v>
      </c>
      <c r="X905" s="553">
        <v>0</v>
      </c>
      <c r="Y905" s="554">
        <v>0</v>
      </c>
      <c r="Z905" s="437" t="str">
        <f>+S905</f>
        <v>кратк. л-г-дял в кр.салдо</v>
      </c>
      <c r="AA905" s="555">
        <f>+IF((+AA50+AA51+AA52+AA53)&gt;0,1-AA904,0)</f>
        <v>0</v>
      </c>
      <c r="AB905" s="51"/>
      <c r="AC905" s="284" t="str">
        <f>+V905</f>
        <v>кратк. л-г-дял в нач.салдо</v>
      </c>
      <c r="AD905" s="273">
        <f>+IF((+AD50+AD51+AD52+AD53)&gt;0,1-AD904,0)</f>
        <v>0</v>
      </c>
      <c r="AE905" s="265">
        <v>0</v>
      </c>
      <c r="AF905" s="266">
        <v>0</v>
      </c>
      <c r="AG905" s="282" t="str">
        <f>+Z905</f>
        <v>кратк. л-г-дял в кр.салдо</v>
      </c>
      <c r="AH905" s="276">
        <f>+IF((+AH50+AH51+AH52+AH53)&gt;0,1-AH904,0)</f>
        <v>0</v>
      </c>
      <c r="AI905" s="259"/>
      <c r="AJ905" s="260"/>
      <c r="AK905" s="278" t="str">
        <f>+AC905</f>
        <v>кратк. л-г-дял в нач.салдо</v>
      </c>
      <c r="AL905" s="273">
        <f>+IF((+AL50+AL51+AL52+AL53)&gt;0,1-AL904,0)</f>
        <v>0</v>
      </c>
      <c r="AM905" s="265">
        <v>0</v>
      </c>
      <c r="AN905" s="266">
        <v>0</v>
      </c>
      <c r="AO905" s="280" t="str">
        <f>+AG905</f>
        <v>кратк. л-г-дял в кр.салдо</v>
      </c>
      <c r="AP905" s="276">
        <f>+IF((+AP50+AP51+AP52+AP53)&gt;0,1-AP904,0)</f>
        <v>0</v>
      </c>
      <c r="AQ905" s="258"/>
      <c r="AR905" s="261"/>
      <c r="AS905" s="261"/>
      <c r="AT905" s="261"/>
      <c r="AU905" s="258"/>
      <c r="AV905" s="258"/>
      <c r="AW905" s="119"/>
      <c r="AX905" s="119"/>
      <c r="AY905" s="258"/>
      <c r="AZ905" s="258"/>
      <c r="BA905" s="258"/>
      <c r="BB905" s="258"/>
      <c r="BC905" s="258"/>
      <c r="BD905" s="258"/>
    </row>
    <row r="906" spans="1:5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261"/>
      <c r="P906" s="261"/>
      <c r="Q906" s="261"/>
      <c r="R906" s="261"/>
      <c r="S906" s="261"/>
      <c r="T906" s="261"/>
      <c r="U906" s="259"/>
      <c r="V906" s="261"/>
      <c r="W906" s="261"/>
      <c r="X906" s="261"/>
      <c r="Y906" s="261"/>
      <c r="Z906" s="261"/>
      <c r="AA906" s="261"/>
      <c r="AB906" s="259"/>
      <c r="AC906" s="261"/>
      <c r="AD906" s="261"/>
      <c r="AE906" s="261"/>
      <c r="AF906" s="261"/>
      <c r="AG906" s="261"/>
      <c r="AH906" s="261"/>
      <c r="AI906" s="259"/>
      <c r="AJ906" s="260"/>
      <c r="AK906" s="261"/>
      <c r="AL906" s="261"/>
      <c r="AM906" s="261"/>
      <c r="AN906" s="261"/>
      <c r="AO906" s="261"/>
      <c r="AP906" s="261"/>
      <c r="AQ906" s="258"/>
      <c r="AR906" s="261"/>
      <c r="AS906" s="261"/>
      <c r="AT906" s="261"/>
      <c r="AU906" s="258"/>
      <c r="AV906" s="258"/>
      <c r="AW906" s="119"/>
      <c r="AX906" s="119"/>
      <c r="AY906" s="258"/>
      <c r="AZ906" s="258"/>
      <c r="BA906" s="258"/>
      <c r="BB906" s="258"/>
      <c r="BC906" s="258"/>
      <c r="BD906" s="258"/>
    </row>
    <row r="907" spans="1:56" s="1399" customFormat="1" ht="15.75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259"/>
      <c r="N907" s="260"/>
      <c r="O907" s="277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277" t="s">
        <v>181</v>
      </c>
      <c r="T907" s="275">
        <f>+IF((+T56+T57+T58+T59)&gt;0,(+T56+T57)/(+T56+T57+T58+T59),0)</f>
        <v>0</v>
      </c>
      <c r="U907" s="51"/>
      <c r="V907" s="434" t="str">
        <f>+O907</f>
        <v>дълг. т. к-т-дял в нач.салдо</v>
      </c>
      <c r="W907" s="548">
        <f>+IF((+W56+W57+W58+W59)&gt;0,(+W56+W57)/(+W56+W57+W58+W59),0)</f>
        <v>0</v>
      </c>
      <c r="X907" s="549">
        <v>0</v>
      </c>
      <c r="Y907" s="550">
        <v>0</v>
      </c>
      <c r="Z907" s="436" t="str">
        <f>+S907</f>
        <v>дълг. т. к-т-дял в кр.салдо</v>
      </c>
      <c r="AA907" s="551">
        <f>+IF((+AA56+AA57+AA58+AA59)&gt;0,(+AA56+AA57)/(+AA56+AA57+AA58+AA59),0)</f>
        <v>0</v>
      </c>
      <c r="AB907" s="51"/>
      <c r="AC907" s="283" t="str">
        <f>+V907</f>
        <v>дълг. т. к-т-дял в нач.салдо</v>
      </c>
      <c r="AD907" s="274">
        <f>+IF((+AD56+AD57+AD58+AD59)&gt;0,(+AD56+AD57)/(+AD56+AD57+AD58+AD59),0)</f>
        <v>0</v>
      </c>
      <c r="AE907" s="263">
        <v>0</v>
      </c>
      <c r="AF907" s="264">
        <v>0</v>
      </c>
      <c r="AG907" s="281" t="str">
        <f>+Z907</f>
        <v>дълг. т. к-т-дял в кр.салдо</v>
      </c>
      <c r="AH907" s="275">
        <f>+IF((+AH56+AH57+AH58+AH59)&gt;0,(+AH56+AH57)/(+AH56+AH57+AH58+AH59),0)</f>
        <v>0</v>
      </c>
      <c r="AI907" s="259"/>
      <c r="AJ907" s="260"/>
      <c r="AK907" s="277" t="str">
        <f>+AC907</f>
        <v>дълг. т. к-т-дял в нач.салдо</v>
      </c>
      <c r="AL907" s="274">
        <f>+IF((+AL56+AL57+AL58+AL59)&gt;0,(+AL56+AL57)/(+AL56+AL57+AL58+AL59),0)</f>
        <v>0</v>
      </c>
      <c r="AM907" s="263">
        <v>0</v>
      </c>
      <c r="AN907" s="264">
        <v>0</v>
      </c>
      <c r="AO907" s="279" t="str">
        <f>+AG907</f>
        <v>дълг. т. к-т-дял в кр.салдо</v>
      </c>
      <c r="AP907" s="275">
        <f>+IF((+AP56+AP57+AP58+AP59)&gt;0,(+AP56+AP57)/(+AP56+AP57+AP58+AP59),0)</f>
        <v>0</v>
      </c>
      <c r="AQ907" s="258"/>
      <c r="AR907" s="261"/>
      <c r="AS907" s="261"/>
      <c r="AT907" s="261"/>
      <c r="AU907" s="258"/>
      <c r="AV907" s="258"/>
      <c r="AW907" s="119"/>
      <c r="AX907" s="119"/>
      <c r="AY907" s="258"/>
      <c r="AZ907" s="258"/>
      <c r="BA907" s="258"/>
      <c r="BB907" s="258"/>
      <c r="BC907" s="258"/>
      <c r="BD907" s="258"/>
    </row>
    <row r="908" spans="1:5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259"/>
      <c r="N908" s="260"/>
      <c r="O908" s="420" t="s">
        <v>180</v>
      </c>
      <c r="P908" s="273">
        <f>+IF((+P56+P57+P58+P59)&gt;0,1-P907,0)</f>
        <v>0</v>
      </c>
      <c r="Q908" s="265">
        <v>0</v>
      </c>
      <c r="R908" s="266">
        <v>0</v>
      </c>
      <c r="S908" s="420" t="s">
        <v>182</v>
      </c>
      <c r="T908" s="276">
        <f>+IF((+T56+T57+T58+T59)&gt;0,1-T907,0)</f>
        <v>0</v>
      </c>
      <c r="U908" s="51"/>
      <c r="V908" s="2184" t="str">
        <f>+O908</f>
        <v>кратк. т. к/т-дял в нач.салдо</v>
      </c>
      <c r="W908" s="552">
        <f>+IF((+W56+W57+W58+W59)&gt;0,1-W907,0)</f>
        <v>0</v>
      </c>
      <c r="X908" s="553">
        <v>0</v>
      </c>
      <c r="Y908" s="554">
        <v>0</v>
      </c>
      <c r="Z908" s="437" t="str">
        <f>+S908</f>
        <v>кратк. т. к/т-дял в кр.салдо</v>
      </c>
      <c r="AA908" s="555">
        <f>+IF((+AA56+AA57+AA58+AA59)&gt;0,1-AA907,0)</f>
        <v>0</v>
      </c>
      <c r="AB908" s="51"/>
      <c r="AC908" s="2185" t="str">
        <f>+V908</f>
        <v>кратк. т. к/т-дял в нач.салдо</v>
      </c>
      <c r="AD908" s="273">
        <f>+IF((+AD56+AD57+AD58+AD59)&gt;0,1-AD907,0)</f>
        <v>0</v>
      </c>
      <c r="AE908" s="265">
        <v>0</v>
      </c>
      <c r="AF908" s="266">
        <v>0</v>
      </c>
      <c r="AG908" s="282" t="str">
        <f>+Z908</f>
        <v>кратк. т. к/т-дял в кр.салдо</v>
      </c>
      <c r="AH908" s="276">
        <f>+IF((+AH56+AH57+AH58+AH59)&gt;0,1-AH907,0)</f>
        <v>0</v>
      </c>
      <c r="AI908" s="259"/>
      <c r="AJ908" s="260"/>
      <c r="AK908" s="2186" t="str">
        <f>+AC908</f>
        <v>кратк. т. к/т-дял в нач.салдо</v>
      </c>
      <c r="AL908" s="273">
        <f>+IF((+AL56+AL57+AL58+AL59)&gt;0,1-AL907,0)</f>
        <v>0</v>
      </c>
      <c r="AM908" s="265">
        <v>0</v>
      </c>
      <c r="AN908" s="266">
        <v>0</v>
      </c>
      <c r="AO908" s="280" t="str">
        <f>+AG908</f>
        <v>кратк. т. к/т-дял в кр.салдо</v>
      </c>
      <c r="AP908" s="276">
        <f>+IF((+AP56+AP57+AP58+AP59)&gt;0,1-AP907,0)</f>
        <v>0</v>
      </c>
      <c r="AQ908" s="258"/>
      <c r="AR908" s="261"/>
      <c r="AS908" s="261"/>
      <c r="AT908" s="261"/>
      <c r="AU908" s="258"/>
      <c r="AV908" s="258"/>
      <c r="AW908" s="119"/>
      <c r="AX908" s="119"/>
      <c r="AY908" s="258"/>
      <c r="AZ908" s="258"/>
      <c r="BA908" s="258"/>
      <c r="BB908" s="258"/>
      <c r="BC908" s="258"/>
      <c r="BD908" s="258"/>
    </row>
    <row r="909" spans="1:5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261"/>
      <c r="P909" s="261"/>
      <c r="Q909" s="261"/>
      <c r="R909" s="261"/>
      <c r="S909" s="261"/>
      <c r="T909" s="261"/>
      <c r="U909" s="259"/>
      <c r="V909" s="261"/>
      <c r="W909" s="261"/>
      <c r="X909" s="261"/>
      <c r="Y909" s="261"/>
      <c r="Z909" s="261"/>
      <c r="AA909" s="261"/>
      <c r="AB909" s="259"/>
      <c r="AC909" s="261"/>
      <c r="AD909" s="261"/>
      <c r="AE909" s="261"/>
      <c r="AF909" s="261"/>
      <c r="AG909" s="261"/>
      <c r="AH909" s="261"/>
      <c r="AI909" s="259"/>
      <c r="AJ909" s="260"/>
      <c r="AK909" s="261"/>
      <c r="AL909" s="261"/>
      <c r="AM909" s="261"/>
      <c r="AN909" s="261"/>
      <c r="AO909" s="261"/>
      <c r="AP909" s="261"/>
      <c r="AQ909" s="258"/>
      <c r="AR909" s="261"/>
      <c r="AS909" s="261"/>
      <c r="AT909" s="261"/>
      <c r="AU909" s="258"/>
      <c r="AV909" s="258"/>
      <c r="AW909" s="119"/>
      <c r="AX909" s="119"/>
      <c r="AY909" s="258"/>
      <c r="AZ909" s="258"/>
      <c r="BA909" s="258"/>
      <c r="BB909" s="258"/>
      <c r="BC909" s="258"/>
      <c r="BD909" s="258"/>
    </row>
    <row r="910" spans="1:56" s="1399" customFormat="1" ht="15.75">
      <c r="A910" s="258"/>
      <c r="B910" s="262"/>
      <c r="C910" s="258"/>
      <c r="D910" s="267" t="s">
        <v>1982</v>
      </c>
      <c r="E910" s="268"/>
      <c r="F910" s="268"/>
      <c r="G910" s="268"/>
      <c r="H910" s="268"/>
      <c r="I910" s="268"/>
      <c r="J910" s="268"/>
      <c r="K910" s="268"/>
      <c r="L910" s="269"/>
      <c r="M910" s="259"/>
      <c r="N910" s="260"/>
      <c r="O910" s="461" t="s">
        <v>146</v>
      </c>
      <c r="P910" s="463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63">
        <v>0</v>
      </c>
      <c r="R910" s="264">
        <v>0</v>
      </c>
      <c r="S910" s="461" t="s">
        <v>148</v>
      </c>
      <c r="T910" s="465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34" t="str">
        <f>+O910</f>
        <v>вземания за лихви-н. с-до</v>
      </c>
      <c r="W910" s="556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9">
        <v>0</v>
      </c>
      <c r="Y910" s="550">
        <v>0</v>
      </c>
      <c r="Z910" s="436" t="str">
        <f>+S910</f>
        <v>вземания за лихви-кр.с-до</v>
      </c>
      <c r="AA910" s="557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83" t="str">
        <f>+V910</f>
        <v>вземания за лихви-н. с-до</v>
      </c>
      <c r="AD910" s="463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63">
        <v>0</v>
      </c>
      <c r="AF910" s="264">
        <v>0</v>
      </c>
      <c r="AG910" s="281" t="str">
        <f>+Z910</f>
        <v>вземания за лихви-кр.с-до</v>
      </c>
      <c r="AH910" s="465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9"/>
      <c r="AJ910" s="260"/>
      <c r="AK910" s="277" t="str">
        <f>+AC910</f>
        <v>вземания за лихви-н. с-до</v>
      </c>
      <c r="AL910" s="463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63">
        <v>0</v>
      </c>
      <c r="AN910" s="264">
        <v>0</v>
      </c>
      <c r="AO910" s="279" t="str">
        <f>+AG910</f>
        <v>вземания за лихви-кр.с-до</v>
      </c>
      <c r="AP910" s="465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8"/>
      <c r="AR910" s="261"/>
      <c r="AS910" s="261"/>
      <c r="AT910" s="261"/>
      <c r="AU910" s="258"/>
      <c r="AV910" s="258"/>
      <c r="AW910" s="119"/>
      <c r="AX910" s="119"/>
      <c r="AY910" s="258"/>
      <c r="AZ910" s="258"/>
      <c r="BA910" s="258"/>
      <c r="BB910" s="258"/>
      <c r="BC910" s="258"/>
      <c r="BD910" s="258"/>
    </row>
    <row r="911" spans="1:56" s="1399" customFormat="1" ht="16.5" thickBot="1">
      <c r="A911" s="258"/>
      <c r="B911" s="262"/>
      <c r="C911" s="258"/>
      <c r="D911" s="270" t="s">
        <v>1984</v>
      </c>
      <c r="E911" s="271"/>
      <c r="F911" s="271"/>
      <c r="G911" s="271"/>
      <c r="H911" s="271"/>
      <c r="I911" s="271"/>
      <c r="J911" s="271"/>
      <c r="K911" s="271"/>
      <c r="L911" s="272"/>
      <c r="M911" s="259"/>
      <c r="N911" s="260"/>
      <c r="O911" s="462" t="s">
        <v>147</v>
      </c>
      <c r="P911" s="464">
        <f>+P22-O23+SUM('TRIAL-BALANCE'!P41:P45)+SUM(P48:P49)+P65+P69+P151+P232+P233+P234+P251+P252</f>
        <v>0</v>
      </c>
      <c r="Q911" s="265">
        <v>0</v>
      </c>
      <c r="R911" s="266">
        <v>0</v>
      </c>
      <c r="S911" s="462" t="s">
        <v>149</v>
      </c>
      <c r="T911" s="466">
        <f>+T22-S23+SUM('TRIAL-BALANCE'!T41:T45)+SUM(T48:T49)+T65+T69+T151+T232+T233+T234+T251+T252</f>
        <v>0</v>
      </c>
      <c r="U911" s="51"/>
      <c r="V911" s="2184" t="str">
        <f>+O911</f>
        <v>задължения за лихви-н. с-до</v>
      </c>
      <c r="W911" s="558">
        <f>+W22-V23+SUM('TRIAL-BALANCE'!W41:W45)+SUM(W48:W49)+W65+W69+W151+W232+W233+W234+W251+W252</f>
        <v>0</v>
      </c>
      <c r="X911" s="553">
        <v>0</v>
      </c>
      <c r="Y911" s="554">
        <v>0</v>
      </c>
      <c r="Z911" s="437" t="str">
        <f>+S911</f>
        <v>задължения за лихви-кр.с-до</v>
      </c>
      <c r="AA911" s="559">
        <f>+AA22-Z23+SUM('TRIAL-BALANCE'!AA41:AA45)+SUM(AA48:AA49)+AA65+AA69+AA151+AA232+AA233+AA234+AA251+AA252</f>
        <v>0</v>
      </c>
      <c r="AB911" s="51"/>
      <c r="AC911" s="2185" t="str">
        <f>+V911</f>
        <v>задължения за лихви-н. с-до</v>
      </c>
      <c r="AD911" s="464">
        <f>+AD22-AC23+SUM('TRIAL-BALANCE'!AD41:AD45)+SUM(AD48:AD49)+AD65+AD69+AD151+AD232+AD233+AD234+AD251+AD252</f>
        <v>0</v>
      </c>
      <c r="AE911" s="265">
        <v>0</v>
      </c>
      <c r="AF911" s="266">
        <v>0</v>
      </c>
      <c r="AG911" s="282" t="str">
        <f>+Z911</f>
        <v>задължения за лихви-кр.с-до</v>
      </c>
      <c r="AH911" s="466">
        <f>+AH22-AG23+SUM('TRIAL-BALANCE'!AH41:AH45)+SUM(AH48:AH49)+AH65+AH69+AH151+AH232+AH233+AH234+AH251+AH252</f>
        <v>0</v>
      </c>
      <c r="AI911" s="259"/>
      <c r="AJ911" s="260"/>
      <c r="AK911" s="2186" t="str">
        <f>+AC911</f>
        <v>задължения за лихви-н. с-до</v>
      </c>
      <c r="AL911" s="464">
        <f>+AL22-AK23+SUM('TRIAL-BALANCE'!AL41:AL45)+SUM(AL48:AL49)+AL65+AL69+AL151+AL232+AL233+AL234+AL251+AL252</f>
        <v>0</v>
      </c>
      <c r="AM911" s="265">
        <v>0</v>
      </c>
      <c r="AN911" s="266">
        <v>0</v>
      </c>
      <c r="AO911" s="280" t="str">
        <f>+AG911</f>
        <v>задължения за лихви-кр.с-до</v>
      </c>
      <c r="AP911" s="466">
        <f>+AP22-AO23+SUM('TRIAL-BALANCE'!AP41:AP45)+SUM(AP48:AP49)+AP65+AP69+AP151+AP232+AP233+AP234+AP251+AP252</f>
        <v>0</v>
      </c>
      <c r="AQ911" s="258"/>
      <c r="AR911" s="261"/>
      <c r="AS911" s="261"/>
      <c r="AT911" s="261"/>
      <c r="AU911" s="258"/>
      <c r="AV911" s="258"/>
      <c r="AW911" s="119"/>
      <c r="AX911" s="119"/>
      <c r="AY911" s="258"/>
      <c r="AZ911" s="258"/>
      <c r="BA911" s="258"/>
      <c r="BB911" s="258"/>
      <c r="BC911" s="258"/>
      <c r="BD911" s="258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61"/>
      <c r="AS912" s="261"/>
      <c r="AT912" s="261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93" t="s">
        <v>494</v>
      </c>
      <c r="W913" s="2194" t="s">
        <v>495</v>
      </c>
      <c r="X913" s="2195" t="s">
        <v>496</v>
      </c>
      <c r="Y913" s="2194" t="s">
        <v>497</v>
      </c>
      <c r="Z913" s="2195" t="s">
        <v>2101</v>
      </c>
      <c r="AA913" s="2196" t="s">
        <v>2102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91">
        <f>+ROUND(V829,2)-ROUND('NF-KSF-TRIAL-BAL-2021'!O829,2)-ROUND('RA-TRIAL-BAL-2021'!O829,2)-ROUND('DES-TRIAL-BAL-2021'!O829,2)-ROUND('DMP-TRIAL-BAL-2021'!O829,2)</f>
        <v>2.2191670723259449E-10</v>
      </c>
      <c r="W914" s="2189">
        <f>+ROUND(W829,2)-ROUND('NF-KSF-TRIAL-BAL-2021'!P829,2)-ROUND('RA-TRIAL-BAL-2021'!P829,2)-ROUND('DES-TRIAL-BAL-2021'!P829,2)-ROUND('DMP-TRIAL-BAL-2021'!P829,2)</f>
        <v>2.2191670723259449E-10</v>
      </c>
      <c r="X914" s="2190">
        <f>+ROUND(X829,2)-ROUND('NF-KSF-TRIAL-BAL-2021'!Q829,2)-ROUND('RA-TRIAL-BAL-2021'!Q829,2)-ROUND('DES-TRIAL-BAL-2021'!Q829,2)-ROUND('DMP-TRIAL-BAL-2021'!Q829,2)</f>
        <v>-4.4747139327228069E-10</v>
      </c>
      <c r="Y914" s="2189">
        <f>+ROUND(Y829,2)-ROUND('NF-KSF-TRIAL-BAL-2021'!R829,2)-ROUND('RA-TRIAL-BAL-2021'!R829,2)-ROUND('DES-TRIAL-BAL-2021'!R829,2)-ROUND('DMP-TRIAL-BAL-2021'!R829,2)</f>
        <v>-4.4747139327228069E-10</v>
      </c>
      <c r="Z914" s="2190">
        <f>+ROUND(Z829,2)-ROUND('NF-KSF-TRIAL-BAL-2021'!S829,2)-ROUND('RA-TRIAL-BAL-2021'!S829,2)-ROUND('DES-TRIAL-BAL-2021'!S829,2)-ROUND('DMP-TRIAL-BAL-2021'!S829,2)</f>
        <v>7.2759576141834259E-11</v>
      </c>
      <c r="AA914" s="2192">
        <f>+ROUND(AA829,2)-ROUND('NF-KSF-TRIAL-BAL-2021'!T829,2)-ROUND('RA-TRIAL-BAL-2021'!T829,2)-ROUND('DES-TRIAL-BAL-2021'!T829,2)-ROUND('DMP-TRIAL-BAL-2021'!T829,2)</f>
        <v>7.2759576141834259E-11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61"/>
      <c r="AS914" s="261"/>
      <c r="AT914" s="261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97" t="str">
        <f t="shared" ref="V915:AA915" si="463">+IF(+ROUND(V914,2)=0,"O K","НЕРАВНЕНИЕ !")</f>
        <v>O K</v>
      </c>
      <c r="W915" s="2198" t="str">
        <f t="shared" si="463"/>
        <v>O K</v>
      </c>
      <c r="X915" s="2199" t="str">
        <f t="shared" si="463"/>
        <v>O K</v>
      </c>
      <c r="Y915" s="2198" t="str">
        <f t="shared" si="463"/>
        <v>O K</v>
      </c>
      <c r="Z915" s="2199" t="str">
        <f t="shared" si="463"/>
        <v>O K</v>
      </c>
      <c r="AA915" s="2200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61"/>
      <c r="AS915" s="261"/>
      <c r="AT915" s="261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61"/>
      <c r="AS916" s="261"/>
      <c r="AT916" s="261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61"/>
      <c r="AS917" s="261"/>
      <c r="AT917" s="261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 objects="1" scenarios="1"/>
  <mergeCells count="20">
    <mergeCell ref="E2:L2"/>
    <mergeCell ref="C6:E6"/>
    <mergeCell ref="G6:L6"/>
    <mergeCell ref="G8:H8"/>
    <mergeCell ref="J8:L8"/>
    <mergeCell ref="D4:E4"/>
    <mergeCell ref="G4:L4"/>
    <mergeCell ref="A3:C5"/>
    <mergeCell ref="AV8:AX8"/>
    <mergeCell ref="V6:AA7"/>
    <mergeCell ref="O6:T7"/>
    <mergeCell ref="AC6:AH7"/>
    <mergeCell ref="AK6:AM6"/>
    <mergeCell ref="B760:J760"/>
    <mergeCell ref="B762:K762"/>
    <mergeCell ref="K10:L10"/>
    <mergeCell ref="H12:K12"/>
    <mergeCell ref="AO6:AP6"/>
    <mergeCell ref="H13:L13"/>
    <mergeCell ref="E12:F12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3" priority="2458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2" priority="2459" stopIfTrue="1" operator="equal">
      <formula>0</formula>
    </cfRule>
  </conditionalFormatting>
  <conditionalFormatting sqref="N888:AH888 O890:AH890 AJ888:AP888 AR890:AT890 AR888:AT888 O829:AH829 AK829:AP829 AR829:AT829">
    <cfRule type="cellIs" dxfId="3641" priority="2460" stopIfTrue="1" operator="lessThan">
      <formula>0</formula>
    </cfRule>
  </conditionalFormatting>
  <conditionalFormatting sqref="O2 Q2 S2 V2 X2 Z2 AC2 AE2 AG2 AK2 AM2 AO2">
    <cfRule type="cellIs" dxfId="3640" priority="2461" stopIfTrue="1" operator="equal">
      <formula>"""O K"""</formula>
    </cfRule>
  </conditionalFormatting>
  <conditionalFormatting sqref="P2 P4 R2 R4 T4 T2">
    <cfRule type="cellIs" dxfId="3639" priority="2462" stopIfTrue="1" operator="equal">
      <formula>"O K"</formula>
    </cfRule>
    <cfRule type="cellIs" dxfId="3638" priority="2463" stopIfTrue="1" operator="notEqual">
      <formula>"O K"</formula>
    </cfRule>
  </conditionalFormatting>
  <conditionalFormatting sqref="AA2 AA4 Y2 Y4 W2 W4">
    <cfRule type="cellIs" dxfId="3637" priority="2464" stopIfTrue="1" operator="equal">
      <formula>"O K"</formula>
    </cfRule>
    <cfRule type="cellIs" dxfId="3636" priority="2465" stopIfTrue="1" operator="notEqual">
      <formula>"O K"</formula>
    </cfRule>
  </conditionalFormatting>
  <conditionalFormatting sqref="AD2 AD4 AF2 AF4 AH2 AH4">
    <cfRule type="cellIs" dxfId="3635" priority="2466" stopIfTrue="1" operator="equal">
      <formula>"O K"</formula>
    </cfRule>
    <cfRule type="cellIs" dxfId="3634" priority="2467" stopIfTrue="1" operator="notEqual">
      <formula>"O K"</formula>
    </cfRule>
  </conditionalFormatting>
  <conditionalFormatting sqref="E12:F12">
    <cfRule type="cellIs" dxfId="3633" priority="2468" stopIfTrue="1" operator="equal">
      <formula>0</formula>
    </cfRule>
  </conditionalFormatting>
  <conditionalFormatting sqref="N10">
    <cfRule type="cellIs" dxfId="3632" priority="2469" stopIfTrue="1" operator="equal">
      <formula>0</formula>
    </cfRule>
  </conditionalFormatting>
  <conditionalFormatting sqref="AL2 AL4 AN2 AN4 AP2 AP4">
    <cfRule type="cellIs" dxfId="3631" priority="2470" stopIfTrue="1" operator="equal">
      <formula>"O K"</formula>
    </cfRule>
    <cfRule type="cellIs" dxfId="3630" priority="2471" stopIfTrue="1" operator="notEqual">
      <formula>"O K"</formula>
    </cfRule>
  </conditionalFormatting>
  <conditionalFormatting sqref="AR10:AT10">
    <cfRule type="cellIs" dxfId="3629" priority="2473" stopIfTrue="1" operator="equal">
      <formula>"ERROR !"</formula>
    </cfRule>
  </conditionalFormatting>
  <conditionalFormatting sqref="V915:Y915">
    <cfRule type="cellIs" dxfId="3628" priority="2474" stopIfTrue="1" operator="notEqual">
      <formula>"O K"</formula>
    </cfRule>
  </conditionalFormatting>
  <conditionalFormatting sqref="AO581:AP587">
    <cfRule type="cellIs" dxfId="3627" priority="2329" stopIfTrue="1" operator="lessThan">
      <formula>0</formula>
    </cfRule>
  </conditionalFormatting>
  <conditionalFormatting sqref="AK187:AN187 AC187:AD187">
    <cfRule type="cellIs" dxfId="3626" priority="2328" stopIfTrue="1" operator="lessThan">
      <formula>0</formula>
    </cfRule>
  </conditionalFormatting>
  <conditionalFormatting sqref="AJ890:AP890">
    <cfRule type="cellIs" dxfId="3625" priority="2327" stopIfTrue="1" operator="lessThan">
      <formula>0</formula>
    </cfRule>
  </conditionalFormatting>
  <conditionalFormatting sqref="Q816:R828">
    <cfRule type="cellIs" dxfId="3624" priority="2312" stopIfTrue="1" operator="lessThan">
      <formula>0</formula>
    </cfRule>
  </conditionalFormatting>
  <conditionalFormatting sqref="Q71:Q77">
    <cfRule type="cellIs" dxfId="3623" priority="2311" stopIfTrue="1" operator="lessThan">
      <formula>0</formula>
    </cfRule>
  </conditionalFormatting>
  <conditionalFormatting sqref="Q78:Q84">
    <cfRule type="cellIs" dxfId="3622" priority="2310" stopIfTrue="1" operator="lessThan">
      <formula>0</formula>
    </cfRule>
  </conditionalFormatting>
  <conditionalFormatting sqref="Q85:Q88">
    <cfRule type="cellIs" dxfId="3621" priority="2309" stopIfTrue="1" operator="lessThan">
      <formula>0</formula>
    </cfRule>
  </conditionalFormatting>
  <conditionalFormatting sqref="Q89">
    <cfRule type="cellIs" dxfId="3620" priority="2308" stopIfTrue="1" operator="lessThan">
      <formula>0</formula>
    </cfRule>
  </conditionalFormatting>
  <conditionalFormatting sqref="Q103">
    <cfRule type="cellIs" dxfId="3619" priority="2307" stopIfTrue="1" operator="lessThan">
      <formula>0</formula>
    </cfRule>
  </conditionalFormatting>
  <conditionalFormatting sqref="Q104:Q107">
    <cfRule type="cellIs" dxfId="3618" priority="2306" stopIfTrue="1" operator="lessThan">
      <formula>0</formula>
    </cfRule>
  </conditionalFormatting>
  <conditionalFormatting sqref="Q108">
    <cfRule type="cellIs" dxfId="3617" priority="2305" stopIfTrue="1" operator="lessThan">
      <formula>0</formula>
    </cfRule>
  </conditionalFormatting>
  <conditionalFormatting sqref="Q112">
    <cfRule type="cellIs" dxfId="3616" priority="2304" stopIfTrue="1" operator="lessThan">
      <formula>0</formula>
    </cfRule>
  </conditionalFormatting>
  <conditionalFormatting sqref="Q109">
    <cfRule type="cellIs" dxfId="3615" priority="2303" stopIfTrue="1" operator="lessThan">
      <formula>0</formula>
    </cfRule>
  </conditionalFormatting>
  <conditionalFormatting sqref="Q110">
    <cfRule type="cellIs" dxfId="3614" priority="2302" stopIfTrue="1" operator="lessThan">
      <formula>0</formula>
    </cfRule>
  </conditionalFormatting>
  <conditionalFormatting sqref="Q111">
    <cfRule type="cellIs" dxfId="3613" priority="2301" stopIfTrue="1" operator="lessThan">
      <formula>0</formula>
    </cfRule>
  </conditionalFormatting>
  <conditionalFormatting sqref="Q115:R115 Q114 Q117:R117 Q116 Q118">
    <cfRule type="cellIs" dxfId="3612" priority="2300" stopIfTrue="1" operator="lessThan">
      <formula>0</formula>
    </cfRule>
  </conditionalFormatting>
  <conditionalFormatting sqref="Q120:R121 Q122:Q125 Q119">
    <cfRule type="cellIs" dxfId="3611" priority="2299" stopIfTrue="1" operator="lessThan">
      <formula>0</formula>
    </cfRule>
  </conditionalFormatting>
  <conditionalFormatting sqref="Q126:Q128">
    <cfRule type="cellIs" dxfId="3610" priority="2298" stopIfTrue="1" operator="lessThan">
      <formula>0</formula>
    </cfRule>
  </conditionalFormatting>
  <conditionalFormatting sqref="Q129:Q133">
    <cfRule type="cellIs" dxfId="3609" priority="2297" stopIfTrue="1" operator="lessThan">
      <formula>0</formula>
    </cfRule>
  </conditionalFormatting>
  <conditionalFormatting sqref="Q134:Q140">
    <cfRule type="cellIs" dxfId="3608" priority="2296" stopIfTrue="1" operator="lessThan">
      <formula>0</formula>
    </cfRule>
  </conditionalFormatting>
  <conditionalFormatting sqref="Q141:Q143">
    <cfRule type="cellIs" dxfId="3607" priority="2295" stopIfTrue="1" operator="lessThan">
      <formula>0</formula>
    </cfRule>
  </conditionalFormatting>
  <conditionalFormatting sqref="Q146:Q150">
    <cfRule type="cellIs" dxfId="3606" priority="2294" stopIfTrue="1" operator="lessThan">
      <formula>0</formula>
    </cfRule>
  </conditionalFormatting>
  <conditionalFormatting sqref="Q151:Q157">
    <cfRule type="cellIs" dxfId="3605" priority="2293" stopIfTrue="1" operator="lessThan">
      <formula>0</formula>
    </cfRule>
  </conditionalFormatting>
  <conditionalFormatting sqref="Q160:R160 Q158:Q159">
    <cfRule type="cellIs" dxfId="3604" priority="2292" stopIfTrue="1" operator="lessThan">
      <formula>0</formula>
    </cfRule>
  </conditionalFormatting>
  <conditionalFormatting sqref="Q161:Q165">
    <cfRule type="cellIs" dxfId="3603" priority="2291" stopIfTrue="1" operator="lessThan">
      <formula>0</formula>
    </cfRule>
  </conditionalFormatting>
  <conditionalFormatting sqref="Q166:Q172">
    <cfRule type="cellIs" dxfId="3602" priority="2290" stopIfTrue="1" operator="lessThan">
      <formula>0</formula>
    </cfRule>
  </conditionalFormatting>
  <conditionalFormatting sqref="Q173:Q175">
    <cfRule type="cellIs" dxfId="3601" priority="2289" stopIfTrue="1" operator="lessThan">
      <formula>0</formula>
    </cfRule>
  </conditionalFormatting>
  <conditionalFormatting sqref="Q180:R183 Q184">
    <cfRule type="cellIs" dxfId="3600" priority="2288" stopIfTrue="1" operator="lessThan">
      <formula>0</formula>
    </cfRule>
  </conditionalFormatting>
  <conditionalFormatting sqref="Q191:R191 Q185:Q190">
    <cfRule type="cellIs" dxfId="3599" priority="2287" stopIfTrue="1" operator="lessThan">
      <formula>0</formula>
    </cfRule>
  </conditionalFormatting>
  <conditionalFormatting sqref="Q192:R194">
    <cfRule type="cellIs" dxfId="3598" priority="2286" stopIfTrue="1" operator="lessThan">
      <formula>0</formula>
    </cfRule>
  </conditionalFormatting>
  <conditionalFormatting sqref="Q199:R199 Q195:Q197">
    <cfRule type="cellIs" dxfId="3597" priority="2285" stopIfTrue="1" operator="lessThan">
      <formula>0</formula>
    </cfRule>
  </conditionalFormatting>
  <conditionalFormatting sqref="Q200:R203">
    <cfRule type="cellIs" dxfId="3596" priority="2284" stopIfTrue="1" operator="lessThan">
      <formula>0</formula>
    </cfRule>
  </conditionalFormatting>
  <conditionalFormatting sqref="Q218:R218 Q219:Q221">
    <cfRule type="cellIs" dxfId="3595" priority="2281" stopIfTrue="1" operator="lessThan">
      <formula>0</formula>
    </cfRule>
  </conditionalFormatting>
  <conditionalFormatting sqref="Q222">
    <cfRule type="cellIs" dxfId="3594" priority="2280" stopIfTrue="1" operator="lessThan">
      <formula>0</formula>
    </cfRule>
  </conditionalFormatting>
  <conditionalFormatting sqref="Q232:Q233">
    <cfRule type="cellIs" dxfId="3593" priority="2278" stopIfTrue="1" operator="lessThan">
      <formula>0</formula>
    </cfRule>
  </conditionalFormatting>
  <conditionalFormatting sqref="Q238:Q239">
    <cfRule type="cellIs" dxfId="3592" priority="2277" stopIfTrue="1" operator="lessThan">
      <formula>0</formula>
    </cfRule>
  </conditionalFormatting>
  <conditionalFormatting sqref="Q240:Q243">
    <cfRule type="cellIs" dxfId="3591" priority="2276" stopIfTrue="1" operator="lessThan">
      <formula>0</formula>
    </cfRule>
  </conditionalFormatting>
  <conditionalFormatting sqref="Q248">
    <cfRule type="cellIs" dxfId="3590" priority="2275" stopIfTrue="1" operator="lessThan">
      <formula>0</formula>
    </cfRule>
  </conditionalFormatting>
  <conditionalFormatting sqref="Q261 Q266">
    <cfRule type="cellIs" dxfId="3589" priority="2272" stopIfTrue="1" operator="lessThan">
      <formula>0</formula>
    </cfRule>
  </conditionalFormatting>
  <conditionalFormatting sqref="Q267">
    <cfRule type="cellIs" dxfId="3588" priority="2271" stopIfTrue="1" operator="lessThan">
      <formula>0</formula>
    </cfRule>
  </conditionalFormatting>
  <conditionalFormatting sqref="Q176:R178">
    <cfRule type="cellIs" dxfId="3587" priority="2267" stopIfTrue="1" operator="lessThan">
      <formula>0</formula>
    </cfRule>
  </conditionalFormatting>
  <conditionalFormatting sqref="Q400:R401">
    <cfRule type="cellIs" dxfId="3586" priority="2232" stopIfTrue="1" operator="lessThan">
      <formula>0</formula>
    </cfRule>
  </conditionalFormatting>
  <conditionalFormatting sqref="Q234:Q235">
    <cfRule type="cellIs" dxfId="3585" priority="2148" stopIfTrue="1" operator="lessThan">
      <formula>0</formula>
    </cfRule>
  </conditionalFormatting>
  <conditionalFormatting sqref="Q198">
    <cfRule type="cellIs" dxfId="3584" priority="2163" stopIfTrue="1" operator="lessThan">
      <formula>0</formula>
    </cfRule>
  </conditionalFormatting>
  <conditionalFormatting sqref="Q204:R205">
    <cfRule type="cellIs" dxfId="3583" priority="2162" stopIfTrue="1" operator="lessThan">
      <formula>0</formula>
    </cfRule>
  </conditionalFormatting>
  <conditionalFormatting sqref="Q206:R206">
    <cfRule type="cellIs" dxfId="3582" priority="2161" stopIfTrue="1" operator="lessThan">
      <formula>0</formula>
    </cfRule>
  </conditionalFormatting>
  <conditionalFormatting sqref="Q207:R208">
    <cfRule type="cellIs" dxfId="3581" priority="2160" stopIfTrue="1" operator="lessThan">
      <formula>0</formula>
    </cfRule>
  </conditionalFormatting>
  <conditionalFormatting sqref="Q209:R210">
    <cfRule type="cellIs" dxfId="3580" priority="2159" stopIfTrue="1" operator="lessThan">
      <formula>0</formula>
    </cfRule>
  </conditionalFormatting>
  <conditionalFormatting sqref="Q211:R212">
    <cfRule type="cellIs" dxfId="3579" priority="2158" stopIfTrue="1" operator="lessThan">
      <formula>0</formula>
    </cfRule>
  </conditionalFormatting>
  <conditionalFormatting sqref="Q213:R213">
    <cfRule type="cellIs" dxfId="3578" priority="2157" stopIfTrue="1" operator="lessThan">
      <formula>0</formula>
    </cfRule>
  </conditionalFormatting>
  <conditionalFormatting sqref="Q214:R215">
    <cfRule type="cellIs" dxfId="3577" priority="2156" stopIfTrue="1" operator="lessThan">
      <formula>0</formula>
    </cfRule>
  </conditionalFormatting>
  <conditionalFormatting sqref="Q216:R217">
    <cfRule type="cellIs" dxfId="3576" priority="2155" stopIfTrue="1" operator="lessThan">
      <formula>0</formula>
    </cfRule>
  </conditionalFormatting>
  <conditionalFormatting sqref="Q223:Q224">
    <cfRule type="cellIs" dxfId="3575" priority="2154" stopIfTrue="1" operator="lessThan">
      <formula>0</formula>
    </cfRule>
  </conditionalFormatting>
  <conditionalFormatting sqref="Q225">
    <cfRule type="cellIs" dxfId="3574" priority="2153" stopIfTrue="1" operator="lessThan">
      <formula>0</formula>
    </cfRule>
  </conditionalFormatting>
  <conditionalFormatting sqref="Q226:Q227">
    <cfRule type="cellIs" dxfId="3573" priority="2152" stopIfTrue="1" operator="lessThan">
      <formula>0</formula>
    </cfRule>
  </conditionalFormatting>
  <conditionalFormatting sqref="Q228:Q229">
    <cfRule type="cellIs" dxfId="3572" priority="2150" stopIfTrue="1" operator="lessThan">
      <formula>0</formula>
    </cfRule>
  </conditionalFormatting>
  <conditionalFormatting sqref="Q230:Q231">
    <cfRule type="cellIs" dxfId="3571" priority="2149" stopIfTrue="1" operator="lessThan">
      <formula>0</formula>
    </cfRule>
  </conditionalFormatting>
  <conditionalFormatting sqref="Q236:Q237">
    <cfRule type="cellIs" dxfId="3570" priority="2147" stopIfTrue="1" operator="lessThan">
      <formula>0</formula>
    </cfRule>
  </conditionalFormatting>
  <conditionalFormatting sqref="Q244:Q245">
    <cfRule type="cellIs" dxfId="3569" priority="2146" stopIfTrue="1" operator="lessThan">
      <formula>0</formula>
    </cfRule>
  </conditionalFormatting>
  <conditionalFormatting sqref="Q246:Q247">
    <cfRule type="cellIs" dxfId="3568" priority="2145" stopIfTrue="1" operator="lessThan">
      <formula>0</formula>
    </cfRule>
  </conditionalFormatting>
  <conditionalFormatting sqref="Q249:Q250">
    <cfRule type="cellIs" dxfId="3567" priority="2144" stopIfTrue="1" operator="lessThan">
      <formula>0</formula>
    </cfRule>
  </conditionalFormatting>
  <conditionalFormatting sqref="Q251:Q252">
    <cfRule type="cellIs" dxfId="3566" priority="2143" stopIfTrue="1" operator="lessThan">
      <formula>0</formula>
    </cfRule>
  </conditionalFormatting>
  <conditionalFormatting sqref="Q253:Q254">
    <cfRule type="cellIs" dxfId="3565" priority="2142" stopIfTrue="1" operator="lessThan">
      <formula>0</formula>
    </cfRule>
  </conditionalFormatting>
  <conditionalFormatting sqref="Q255:Q256">
    <cfRule type="cellIs" dxfId="3564" priority="2141" stopIfTrue="1" operator="lessThan">
      <formula>0</formula>
    </cfRule>
  </conditionalFormatting>
  <conditionalFormatting sqref="Q257:Q258">
    <cfRule type="cellIs" dxfId="3563" priority="2140" stopIfTrue="1" operator="lessThan">
      <formula>0</formula>
    </cfRule>
  </conditionalFormatting>
  <conditionalFormatting sqref="Q259:Q260">
    <cfRule type="cellIs" dxfId="3562" priority="2139" stopIfTrue="1" operator="lessThan">
      <formula>0</formula>
    </cfRule>
  </conditionalFormatting>
  <conditionalFormatting sqref="Q262:Q263">
    <cfRule type="cellIs" dxfId="3561" priority="2138" stopIfTrue="1" operator="lessThan">
      <formula>0</formula>
    </cfRule>
  </conditionalFormatting>
  <conditionalFormatting sqref="Q264:Q265">
    <cfRule type="cellIs" dxfId="3560" priority="2137" stopIfTrue="1" operator="lessThan">
      <formula>0</formula>
    </cfRule>
  </conditionalFormatting>
  <conditionalFormatting sqref="Q271:R271">
    <cfRule type="cellIs" dxfId="3559" priority="2134" stopIfTrue="1" operator="lessThan">
      <formula>0</formula>
    </cfRule>
  </conditionalFormatting>
  <conditionalFormatting sqref="Q272:R273">
    <cfRule type="cellIs" dxfId="3558" priority="2133" stopIfTrue="1" operator="lessThan">
      <formula>0</formula>
    </cfRule>
  </conditionalFormatting>
  <conditionalFormatting sqref="Q274:R275">
    <cfRule type="cellIs" dxfId="3557" priority="2132" stopIfTrue="1" operator="lessThan">
      <formula>0</formula>
    </cfRule>
  </conditionalFormatting>
  <conditionalFormatting sqref="Q276:R276">
    <cfRule type="cellIs" dxfId="3556" priority="2131" stopIfTrue="1" operator="lessThan">
      <formula>0</formula>
    </cfRule>
  </conditionalFormatting>
  <conditionalFormatting sqref="Q277:R278">
    <cfRule type="cellIs" dxfId="3555" priority="2130" stopIfTrue="1" operator="lessThan">
      <formula>0</formula>
    </cfRule>
  </conditionalFormatting>
  <conditionalFormatting sqref="Q279:R280">
    <cfRule type="cellIs" dxfId="3554" priority="2129" stopIfTrue="1" operator="lessThan">
      <formula>0</formula>
    </cfRule>
  </conditionalFormatting>
  <conditionalFormatting sqref="Q281:R282">
    <cfRule type="cellIs" dxfId="3553" priority="2128" stopIfTrue="1" operator="lessThan">
      <formula>0</formula>
    </cfRule>
  </conditionalFormatting>
  <conditionalFormatting sqref="Q283:Q284">
    <cfRule type="cellIs" dxfId="3552" priority="2127" stopIfTrue="1" operator="lessThan">
      <formula>0</formula>
    </cfRule>
  </conditionalFormatting>
  <conditionalFormatting sqref="Q294:Q295">
    <cfRule type="cellIs" dxfId="3551" priority="2126" stopIfTrue="1" operator="lessThan">
      <formula>0</formula>
    </cfRule>
  </conditionalFormatting>
  <conditionalFormatting sqref="Q296:Q297">
    <cfRule type="cellIs" dxfId="3550" priority="2125" stopIfTrue="1" operator="lessThan">
      <formula>0</formula>
    </cfRule>
  </conditionalFormatting>
  <conditionalFormatting sqref="Q288">
    <cfRule type="cellIs" dxfId="3549" priority="2124" stopIfTrue="1" operator="lessThan">
      <formula>0</formula>
    </cfRule>
  </conditionalFormatting>
  <conditionalFormatting sqref="Q291:Q292">
    <cfRule type="cellIs" dxfId="3548" priority="2123" stopIfTrue="1" operator="lessThan">
      <formula>0</formula>
    </cfRule>
  </conditionalFormatting>
  <conditionalFormatting sqref="Q298:Q299 Q301">
    <cfRule type="cellIs" dxfId="3547" priority="2122" stopIfTrue="1" operator="lessThan">
      <formula>0</formula>
    </cfRule>
  </conditionalFormatting>
  <conditionalFormatting sqref="Q302:Q305">
    <cfRule type="cellIs" dxfId="3546" priority="2121" stopIfTrue="1" operator="lessThan">
      <formula>0</formula>
    </cfRule>
  </conditionalFormatting>
  <conditionalFormatting sqref="Q300">
    <cfRule type="cellIs" dxfId="3545" priority="2119" stopIfTrue="1" operator="lessThan">
      <formula>0</formula>
    </cfRule>
  </conditionalFormatting>
  <conditionalFormatting sqref="Q306:Q307 Q309">
    <cfRule type="cellIs" dxfId="3544" priority="2118" stopIfTrue="1" operator="lessThan">
      <formula>0</formula>
    </cfRule>
  </conditionalFormatting>
  <conditionalFormatting sqref="Q310:Q313">
    <cfRule type="cellIs" dxfId="3543" priority="2117" stopIfTrue="1" operator="lessThan">
      <formula>0</formula>
    </cfRule>
  </conditionalFormatting>
  <conditionalFormatting sqref="Q308">
    <cfRule type="cellIs" dxfId="3542" priority="2115" stopIfTrue="1" operator="lessThan">
      <formula>0</formula>
    </cfRule>
  </conditionalFormatting>
  <conditionalFormatting sqref="Q314:Q315 Q317">
    <cfRule type="cellIs" dxfId="3541" priority="2114" stopIfTrue="1" operator="lessThan">
      <formula>0</formula>
    </cfRule>
  </conditionalFormatting>
  <conditionalFormatting sqref="Q318:Q321">
    <cfRule type="cellIs" dxfId="3540" priority="2113" stopIfTrue="1" operator="lessThan">
      <formula>0</formula>
    </cfRule>
  </conditionalFormatting>
  <conditionalFormatting sqref="Q316">
    <cfRule type="cellIs" dxfId="3539" priority="2111" stopIfTrue="1" operator="lessThan">
      <formula>0</formula>
    </cfRule>
  </conditionalFormatting>
  <conditionalFormatting sqref="Q322:R322 Q325 Q323">
    <cfRule type="cellIs" dxfId="3538" priority="2110" stopIfTrue="1" operator="lessThan">
      <formula>0</formula>
    </cfRule>
  </conditionalFormatting>
  <conditionalFormatting sqref="Q327:R329 Q326">
    <cfRule type="cellIs" dxfId="3537" priority="2109" stopIfTrue="1" operator="lessThan">
      <formula>0</formula>
    </cfRule>
  </conditionalFormatting>
  <conditionalFormatting sqref="Q324">
    <cfRule type="cellIs" dxfId="3536" priority="2107" stopIfTrue="1" operator="lessThan">
      <formula>0</formula>
    </cfRule>
  </conditionalFormatting>
  <conditionalFormatting sqref="Q330:R330 Q333 Q331">
    <cfRule type="cellIs" dxfId="3535" priority="2106" stopIfTrue="1" operator="lessThan">
      <formula>0</formula>
    </cfRule>
  </conditionalFormatting>
  <conditionalFormatting sqref="Q334:Q335">
    <cfRule type="cellIs" dxfId="3534" priority="2105" stopIfTrue="1" operator="lessThan">
      <formula>0</formula>
    </cfRule>
  </conditionalFormatting>
  <conditionalFormatting sqref="Q332">
    <cfRule type="cellIs" dxfId="3533" priority="2103" stopIfTrue="1" operator="lessThan">
      <formula>0</formula>
    </cfRule>
  </conditionalFormatting>
  <conditionalFormatting sqref="Q338:Q339 Q341">
    <cfRule type="cellIs" dxfId="3532" priority="2102" stopIfTrue="1" operator="lessThan">
      <formula>0</formula>
    </cfRule>
  </conditionalFormatting>
  <conditionalFormatting sqref="Q344:R345 Q342:Q343">
    <cfRule type="cellIs" dxfId="3531" priority="2101" stopIfTrue="1" operator="lessThan">
      <formula>0</formula>
    </cfRule>
  </conditionalFormatting>
  <conditionalFormatting sqref="Q340">
    <cfRule type="cellIs" dxfId="3530" priority="2099" stopIfTrue="1" operator="lessThan">
      <formula>0</formula>
    </cfRule>
  </conditionalFormatting>
  <conditionalFormatting sqref="Q346:Q347 Q349">
    <cfRule type="cellIs" dxfId="3529" priority="2098" stopIfTrue="1" operator="lessThan">
      <formula>0</formula>
    </cfRule>
  </conditionalFormatting>
  <conditionalFormatting sqref="Q350:Q353">
    <cfRule type="cellIs" dxfId="3528" priority="2097" stopIfTrue="1" operator="lessThan">
      <formula>0</formula>
    </cfRule>
  </conditionalFormatting>
  <conditionalFormatting sqref="Q348">
    <cfRule type="cellIs" dxfId="3527" priority="2095" stopIfTrue="1" operator="lessThan">
      <formula>0</formula>
    </cfRule>
  </conditionalFormatting>
  <conditionalFormatting sqref="Q354:Q355 Q357">
    <cfRule type="cellIs" dxfId="3526" priority="2094" stopIfTrue="1" operator="lessThan">
      <formula>0</formula>
    </cfRule>
  </conditionalFormatting>
  <conditionalFormatting sqref="Q358:Q361">
    <cfRule type="cellIs" dxfId="3525" priority="2093" stopIfTrue="1" operator="lessThan">
      <formula>0</formula>
    </cfRule>
  </conditionalFormatting>
  <conditionalFormatting sqref="Q356">
    <cfRule type="cellIs" dxfId="3524" priority="2091" stopIfTrue="1" operator="lessThan">
      <formula>0</formula>
    </cfRule>
  </conditionalFormatting>
  <conditionalFormatting sqref="Q362:Q363 Q365">
    <cfRule type="cellIs" dxfId="3523" priority="2090" stopIfTrue="1" operator="lessThan">
      <formula>0</formula>
    </cfRule>
  </conditionalFormatting>
  <conditionalFormatting sqref="Q366:Q369">
    <cfRule type="cellIs" dxfId="3522" priority="2089" stopIfTrue="1" operator="lessThan">
      <formula>0</formula>
    </cfRule>
  </conditionalFormatting>
  <conditionalFormatting sqref="Q364">
    <cfRule type="cellIs" dxfId="3521" priority="2087" stopIfTrue="1" operator="lessThan">
      <formula>0</formula>
    </cfRule>
  </conditionalFormatting>
  <conditionalFormatting sqref="Q370:Q371 Q373">
    <cfRule type="cellIs" dxfId="3520" priority="2086" stopIfTrue="1" operator="lessThan">
      <formula>0</formula>
    </cfRule>
  </conditionalFormatting>
  <conditionalFormatting sqref="Q374:Q377">
    <cfRule type="cellIs" dxfId="3519" priority="2085" stopIfTrue="1" operator="lessThan">
      <formula>0</formula>
    </cfRule>
  </conditionalFormatting>
  <conditionalFormatting sqref="Q372">
    <cfRule type="cellIs" dxfId="3518" priority="2083" stopIfTrue="1" operator="lessThan">
      <formula>0</formula>
    </cfRule>
  </conditionalFormatting>
  <conditionalFormatting sqref="Q384:R385 Q387:R387">
    <cfRule type="cellIs" dxfId="3517" priority="2082" stopIfTrue="1" operator="lessThan">
      <formula>0</formula>
    </cfRule>
  </conditionalFormatting>
  <conditionalFormatting sqref="Q388:R391">
    <cfRule type="cellIs" dxfId="3516" priority="2081" stopIfTrue="1" operator="lessThan">
      <formula>0</formula>
    </cfRule>
  </conditionalFormatting>
  <conditionalFormatting sqref="R386">
    <cfRule type="cellIs" dxfId="3515" priority="2080" stopIfTrue="1" operator="lessThan">
      <formula>0</formula>
    </cfRule>
  </conditionalFormatting>
  <conditionalFormatting sqref="Q386">
    <cfRule type="cellIs" dxfId="3514" priority="2079" stopIfTrue="1" operator="lessThan">
      <formula>0</formula>
    </cfRule>
  </conditionalFormatting>
  <conditionalFormatting sqref="Q378">
    <cfRule type="cellIs" dxfId="3513" priority="2078" stopIfTrue="1" operator="lessThan">
      <formula>0</formula>
    </cfRule>
  </conditionalFormatting>
  <conditionalFormatting sqref="Q379:Q382">
    <cfRule type="cellIs" dxfId="3512" priority="2077" stopIfTrue="1" operator="lessThan">
      <formula>0</formula>
    </cfRule>
  </conditionalFormatting>
  <conditionalFormatting sqref="Q392:R393 Q395:R395">
    <cfRule type="cellIs" dxfId="3511" priority="2076" stopIfTrue="1" operator="lessThan">
      <formula>0</formula>
    </cfRule>
  </conditionalFormatting>
  <conditionalFormatting sqref="Q396:R399">
    <cfRule type="cellIs" dxfId="3510" priority="2075" stopIfTrue="1" operator="lessThan">
      <formula>0</formula>
    </cfRule>
  </conditionalFormatting>
  <conditionalFormatting sqref="R394">
    <cfRule type="cellIs" dxfId="3509" priority="2074" stopIfTrue="1" operator="lessThan">
      <formula>0</formula>
    </cfRule>
  </conditionalFormatting>
  <conditionalFormatting sqref="Q394">
    <cfRule type="cellIs" dxfId="3508" priority="2073" stopIfTrue="1" operator="lessThan">
      <formula>0</formula>
    </cfRule>
  </conditionalFormatting>
  <conditionalFormatting sqref="Q410:R411 Q413:R413">
    <cfRule type="cellIs" dxfId="3507" priority="2072" stopIfTrue="1" operator="lessThan">
      <formula>0</formula>
    </cfRule>
  </conditionalFormatting>
  <conditionalFormatting sqref="Q414:R414 Q417:R417 Q415:Q416">
    <cfRule type="cellIs" dxfId="3506" priority="2071" stopIfTrue="1" operator="lessThan">
      <formula>0</formula>
    </cfRule>
  </conditionalFormatting>
  <conditionalFormatting sqref="R412">
    <cfRule type="cellIs" dxfId="3505" priority="2070" stopIfTrue="1" operator="lessThan">
      <formula>0</formula>
    </cfRule>
  </conditionalFormatting>
  <conditionalFormatting sqref="Q412">
    <cfRule type="cellIs" dxfId="3504" priority="2069" stopIfTrue="1" operator="lessThan">
      <formula>0</formula>
    </cfRule>
  </conditionalFormatting>
  <conditionalFormatting sqref="Q418:R419 Q421:R421">
    <cfRule type="cellIs" dxfId="3503" priority="2068" stopIfTrue="1" operator="lessThan">
      <formula>0</formula>
    </cfRule>
  </conditionalFormatting>
  <conditionalFormatting sqref="Q422:R425">
    <cfRule type="cellIs" dxfId="3502" priority="2067" stopIfTrue="1" operator="lessThan">
      <formula>0</formula>
    </cfRule>
  </conditionalFormatting>
  <conditionalFormatting sqref="R420">
    <cfRule type="cellIs" dxfId="3501" priority="2066" stopIfTrue="1" operator="lessThan">
      <formula>0</formula>
    </cfRule>
  </conditionalFormatting>
  <conditionalFormatting sqref="Q420">
    <cfRule type="cellIs" dxfId="3500" priority="2065" stopIfTrue="1" operator="lessThan">
      <formula>0</formula>
    </cfRule>
  </conditionalFormatting>
  <conditionalFormatting sqref="Q426:R427 Q429:R429">
    <cfRule type="cellIs" dxfId="3499" priority="2064" stopIfTrue="1" operator="lessThan">
      <formula>0</formula>
    </cfRule>
  </conditionalFormatting>
  <conditionalFormatting sqref="Q430:R433">
    <cfRule type="cellIs" dxfId="3498" priority="2063" stopIfTrue="1" operator="lessThan">
      <formula>0</formula>
    </cfRule>
  </conditionalFormatting>
  <conditionalFormatting sqref="R428">
    <cfRule type="cellIs" dxfId="3497" priority="2062" stopIfTrue="1" operator="lessThan">
      <formula>0</formula>
    </cfRule>
  </conditionalFormatting>
  <conditionalFormatting sqref="Q428">
    <cfRule type="cellIs" dxfId="3496" priority="2061" stopIfTrue="1" operator="lessThan">
      <formula>0</formula>
    </cfRule>
  </conditionalFormatting>
  <conditionalFormatting sqref="Q434:R435 Q437:R437">
    <cfRule type="cellIs" dxfId="3495" priority="2060" stopIfTrue="1" operator="lessThan">
      <formula>0</formula>
    </cfRule>
  </conditionalFormatting>
  <conditionalFormatting sqref="Q438:R441">
    <cfRule type="cellIs" dxfId="3494" priority="2059" stopIfTrue="1" operator="lessThan">
      <formula>0</formula>
    </cfRule>
  </conditionalFormatting>
  <conditionalFormatting sqref="R436">
    <cfRule type="cellIs" dxfId="3493" priority="2058" stopIfTrue="1" operator="lessThan">
      <formula>0</formula>
    </cfRule>
  </conditionalFormatting>
  <conditionalFormatting sqref="Q436">
    <cfRule type="cellIs" dxfId="3492" priority="2057" stopIfTrue="1" operator="lessThan">
      <formula>0</formula>
    </cfRule>
  </conditionalFormatting>
  <conditionalFormatting sqref="Q442:R443 Q445:R445">
    <cfRule type="cellIs" dxfId="3491" priority="2056" stopIfTrue="1" operator="lessThan">
      <formula>0</formula>
    </cfRule>
  </conditionalFormatting>
  <conditionalFormatting sqref="Q446:R449">
    <cfRule type="cellIs" dxfId="3490" priority="2055" stopIfTrue="1" operator="lessThan">
      <formula>0</formula>
    </cfRule>
  </conditionalFormatting>
  <conditionalFormatting sqref="R444">
    <cfRule type="cellIs" dxfId="3489" priority="2054" stopIfTrue="1" operator="lessThan">
      <formula>0</formula>
    </cfRule>
  </conditionalFormatting>
  <conditionalFormatting sqref="Q444">
    <cfRule type="cellIs" dxfId="3488" priority="2053" stopIfTrue="1" operator="lessThan">
      <formula>0</formula>
    </cfRule>
  </conditionalFormatting>
  <conditionalFormatting sqref="Q450:R451 Q453:R453">
    <cfRule type="cellIs" dxfId="3487" priority="2052" stopIfTrue="1" operator="lessThan">
      <formula>0</formula>
    </cfRule>
  </conditionalFormatting>
  <conditionalFormatting sqref="Q454:R457">
    <cfRule type="cellIs" dxfId="3486" priority="2051" stopIfTrue="1" operator="lessThan">
      <formula>0</formula>
    </cfRule>
  </conditionalFormatting>
  <conditionalFormatting sqref="R452">
    <cfRule type="cellIs" dxfId="3485" priority="2050" stopIfTrue="1" operator="lessThan">
      <formula>0</formula>
    </cfRule>
  </conditionalFormatting>
  <conditionalFormatting sqref="Q452">
    <cfRule type="cellIs" dxfId="3484" priority="2049" stopIfTrue="1" operator="lessThan">
      <formula>0</formula>
    </cfRule>
  </conditionalFormatting>
  <conditionalFormatting sqref="Q458:R459 Q461:R461">
    <cfRule type="cellIs" dxfId="3483" priority="2048" stopIfTrue="1" operator="lessThan">
      <formula>0</formula>
    </cfRule>
  </conditionalFormatting>
  <conditionalFormatting sqref="Q462:R465">
    <cfRule type="cellIs" dxfId="3482" priority="2047" stopIfTrue="1" operator="lessThan">
      <formula>0</formula>
    </cfRule>
  </conditionalFormatting>
  <conditionalFormatting sqref="R460">
    <cfRule type="cellIs" dxfId="3481" priority="2046" stopIfTrue="1" operator="lessThan">
      <formula>0</formula>
    </cfRule>
  </conditionalFormatting>
  <conditionalFormatting sqref="Q460">
    <cfRule type="cellIs" dxfId="3480" priority="2045" stopIfTrue="1" operator="lessThan">
      <formula>0</formula>
    </cfRule>
  </conditionalFormatting>
  <conditionalFormatting sqref="Q466:R467 Q469:R469">
    <cfRule type="cellIs" dxfId="3479" priority="2044" stopIfTrue="1" operator="lessThan">
      <formula>0</formula>
    </cfRule>
  </conditionalFormatting>
  <conditionalFormatting sqref="Q470:R473">
    <cfRule type="cellIs" dxfId="3478" priority="2043" stopIfTrue="1" operator="lessThan">
      <formula>0</formula>
    </cfRule>
  </conditionalFormatting>
  <conditionalFormatting sqref="R468">
    <cfRule type="cellIs" dxfId="3477" priority="2042" stopIfTrue="1" operator="lessThan">
      <formula>0</formula>
    </cfRule>
  </conditionalFormatting>
  <conditionalFormatting sqref="Q468">
    <cfRule type="cellIs" dxfId="3476" priority="2041" stopIfTrue="1" operator="lessThan">
      <formula>0</formula>
    </cfRule>
  </conditionalFormatting>
  <conditionalFormatting sqref="Q474:R475 Q477:R477">
    <cfRule type="cellIs" dxfId="3475" priority="2040" stopIfTrue="1" operator="lessThan">
      <formula>0</formula>
    </cfRule>
  </conditionalFormatting>
  <conditionalFormatting sqref="Q478:R481">
    <cfRule type="cellIs" dxfId="3474" priority="2039" stopIfTrue="1" operator="lessThan">
      <formula>0</formula>
    </cfRule>
  </conditionalFormatting>
  <conditionalFormatting sqref="R476">
    <cfRule type="cellIs" dxfId="3473" priority="2038" stopIfTrue="1" operator="lessThan">
      <formula>0</formula>
    </cfRule>
  </conditionalFormatting>
  <conditionalFormatting sqref="Q476">
    <cfRule type="cellIs" dxfId="3472" priority="2037" stopIfTrue="1" operator="lessThan">
      <formula>0</formula>
    </cfRule>
  </conditionalFormatting>
  <conditionalFormatting sqref="Q482:R483 Q485:R485">
    <cfRule type="cellIs" dxfId="3471" priority="2036" stopIfTrue="1" operator="lessThan">
      <formula>0</formula>
    </cfRule>
  </conditionalFormatting>
  <conditionalFormatting sqref="Q486:R489">
    <cfRule type="cellIs" dxfId="3470" priority="2035" stopIfTrue="1" operator="lessThan">
      <formula>0</formula>
    </cfRule>
  </conditionalFormatting>
  <conditionalFormatting sqref="R484">
    <cfRule type="cellIs" dxfId="3469" priority="2034" stopIfTrue="1" operator="lessThan">
      <formula>0</formula>
    </cfRule>
  </conditionalFormatting>
  <conditionalFormatting sqref="Q484">
    <cfRule type="cellIs" dxfId="3468" priority="2033" stopIfTrue="1" operator="lessThan">
      <formula>0</formula>
    </cfRule>
  </conditionalFormatting>
  <conditionalFormatting sqref="Q490:R491 Q493:R493">
    <cfRule type="cellIs" dxfId="3467" priority="2032" stopIfTrue="1" operator="lessThan">
      <formula>0</formula>
    </cfRule>
  </conditionalFormatting>
  <conditionalFormatting sqref="Q494:R497">
    <cfRule type="cellIs" dxfId="3466" priority="2031" stopIfTrue="1" operator="lessThan">
      <formula>0</formula>
    </cfRule>
  </conditionalFormatting>
  <conditionalFormatting sqref="R492">
    <cfRule type="cellIs" dxfId="3465" priority="2030" stopIfTrue="1" operator="lessThan">
      <formula>0</formula>
    </cfRule>
  </conditionalFormatting>
  <conditionalFormatting sqref="Q492">
    <cfRule type="cellIs" dxfId="3464" priority="2029" stopIfTrue="1" operator="lessThan">
      <formula>0</formula>
    </cfRule>
  </conditionalFormatting>
  <conditionalFormatting sqref="Q498:R499 Q501:R501">
    <cfRule type="cellIs" dxfId="3463" priority="2028" stopIfTrue="1" operator="lessThan">
      <formula>0</formula>
    </cfRule>
  </conditionalFormatting>
  <conditionalFormatting sqref="Q502:R505">
    <cfRule type="cellIs" dxfId="3462" priority="2027" stopIfTrue="1" operator="lessThan">
      <formula>0</formula>
    </cfRule>
  </conditionalFormatting>
  <conditionalFormatting sqref="R500">
    <cfRule type="cellIs" dxfId="3461" priority="2026" stopIfTrue="1" operator="lessThan">
      <formula>0</formula>
    </cfRule>
  </conditionalFormatting>
  <conditionalFormatting sqref="Q500">
    <cfRule type="cellIs" dxfId="3460" priority="2025" stopIfTrue="1" operator="lessThan">
      <formula>0</formula>
    </cfRule>
  </conditionalFormatting>
  <conditionalFormatting sqref="Q506:R507 Q509:R509">
    <cfRule type="cellIs" dxfId="3459" priority="2024" stopIfTrue="1" operator="lessThan">
      <formula>0</formula>
    </cfRule>
  </conditionalFormatting>
  <conditionalFormatting sqref="Q510:R513">
    <cfRule type="cellIs" dxfId="3458" priority="2023" stopIfTrue="1" operator="lessThan">
      <formula>0</formula>
    </cfRule>
  </conditionalFormatting>
  <conditionalFormatting sqref="R508">
    <cfRule type="cellIs" dxfId="3457" priority="2022" stopIfTrue="1" operator="lessThan">
      <formula>0</formula>
    </cfRule>
  </conditionalFormatting>
  <conditionalFormatting sqref="Q508">
    <cfRule type="cellIs" dxfId="3456" priority="2021" stopIfTrue="1" operator="lessThan">
      <formula>0</formula>
    </cfRule>
  </conditionalFormatting>
  <conditionalFormatting sqref="Q514:R515 Q517:R517">
    <cfRule type="cellIs" dxfId="3455" priority="2020" stopIfTrue="1" operator="lessThan">
      <formula>0</formula>
    </cfRule>
  </conditionalFormatting>
  <conditionalFormatting sqref="Q518:R521">
    <cfRule type="cellIs" dxfId="3454" priority="2019" stopIfTrue="1" operator="lessThan">
      <formula>0</formula>
    </cfRule>
  </conditionalFormatting>
  <conditionalFormatting sqref="R516">
    <cfRule type="cellIs" dxfId="3453" priority="2018" stopIfTrue="1" operator="lessThan">
      <formula>0</formula>
    </cfRule>
  </conditionalFormatting>
  <conditionalFormatting sqref="Q516">
    <cfRule type="cellIs" dxfId="3452" priority="2017" stopIfTrue="1" operator="lessThan">
      <formula>0</formula>
    </cfRule>
  </conditionalFormatting>
  <conditionalFormatting sqref="Q522:R523 Q525:R525">
    <cfRule type="cellIs" dxfId="3451" priority="2016" stopIfTrue="1" operator="lessThan">
      <formula>0</formula>
    </cfRule>
  </conditionalFormatting>
  <conditionalFormatting sqref="Q526:R529">
    <cfRule type="cellIs" dxfId="3450" priority="2015" stopIfTrue="1" operator="lessThan">
      <formula>0</formula>
    </cfRule>
  </conditionalFormatting>
  <conditionalFormatting sqref="R524">
    <cfRule type="cellIs" dxfId="3449" priority="2014" stopIfTrue="1" operator="lessThan">
      <formula>0</formula>
    </cfRule>
  </conditionalFormatting>
  <conditionalFormatting sqref="Q524">
    <cfRule type="cellIs" dxfId="3448" priority="2013" stopIfTrue="1" operator="lessThan">
      <formula>0</formula>
    </cfRule>
  </conditionalFormatting>
  <conditionalFormatting sqref="Q530:R531 Q533:R533">
    <cfRule type="cellIs" dxfId="3447" priority="2012" stopIfTrue="1" operator="lessThan">
      <formula>0</formula>
    </cfRule>
  </conditionalFormatting>
  <conditionalFormatting sqref="Q534:R537">
    <cfRule type="cellIs" dxfId="3446" priority="2011" stopIfTrue="1" operator="lessThan">
      <formula>0</formula>
    </cfRule>
  </conditionalFormatting>
  <conditionalFormatting sqref="R532">
    <cfRule type="cellIs" dxfId="3445" priority="2010" stopIfTrue="1" operator="lessThan">
      <formula>0</formula>
    </cfRule>
  </conditionalFormatting>
  <conditionalFormatting sqref="Q532">
    <cfRule type="cellIs" dxfId="3444" priority="2009" stopIfTrue="1" operator="lessThan">
      <formula>0</formula>
    </cfRule>
  </conditionalFormatting>
  <conditionalFormatting sqref="Q538:R539 Q541:R541">
    <cfRule type="cellIs" dxfId="3443" priority="2008" stopIfTrue="1" operator="lessThan">
      <formula>0</formula>
    </cfRule>
  </conditionalFormatting>
  <conditionalFormatting sqref="Q542:R545">
    <cfRule type="cellIs" dxfId="3442" priority="2007" stopIfTrue="1" operator="lessThan">
      <formula>0</formula>
    </cfRule>
  </conditionalFormatting>
  <conditionalFormatting sqref="R540">
    <cfRule type="cellIs" dxfId="3441" priority="2006" stopIfTrue="1" operator="lessThan">
      <formula>0</formula>
    </cfRule>
  </conditionalFormatting>
  <conditionalFormatting sqref="Q540">
    <cfRule type="cellIs" dxfId="3440" priority="2005" stopIfTrue="1" operator="lessThan">
      <formula>0</formula>
    </cfRule>
  </conditionalFormatting>
  <conditionalFormatting sqref="Q546:R547 Q549:R549">
    <cfRule type="cellIs" dxfId="3439" priority="2004" stopIfTrue="1" operator="lessThan">
      <formula>0</formula>
    </cfRule>
  </conditionalFormatting>
  <conditionalFormatting sqref="Q550:R553">
    <cfRule type="cellIs" dxfId="3438" priority="2003" stopIfTrue="1" operator="lessThan">
      <formula>0</formula>
    </cfRule>
  </conditionalFormatting>
  <conditionalFormatting sqref="R548">
    <cfRule type="cellIs" dxfId="3437" priority="2002" stopIfTrue="1" operator="lessThan">
      <formula>0</formula>
    </cfRule>
  </conditionalFormatting>
  <conditionalFormatting sqref="Q548">
    <cfRule type="cellIs" dxfId="3436" priority="2001" stopIfTrue="1" operator="lessThan">
      <formula>0</formula>
    </cfRule>
  </conditionalFormatting>
  <conditionalFormatting sqref="Q554:R555 Q557:R557">
    <cfRule type="cellIs" dxfId="3435" priority="2000" stopIfTrue="1" operator="lessThan">
      <formula>0</formula>
    </cfRule>
  </conditionalFormatting>
  <conditionalFormatting sqref="Q558:R561">
    <cfRule type="cellIs" dxfId="3434" priority="1999" stopIfTrue="1" operator="lessThan">
      <formula>0</formula>
    </cfRule>
  </conditionalFormatting>
  <conditionalFormatting sqref="R556">
    <cfRule type="cellIs" dxfId="3433" priority="1998" stopIfTrue="1" operator="lessThan">
      <formula>0</formula>
    </cfRule>
  </conditionalFormatting>
  <conditionalFormatting sqref="Q556">
    <cfRule type="cellIs" dxfId="3432" priority="1997" stopIfTrue="1" operator="lessThan">
      <formula>0</formula>
    </cfRule>
  </conditionalFormatting>
  <conditionalFormatting sqref="Q562:R563 Q565:R565">
    <cfRule type="cellIs" dxfId="3431" priority="1996" stopIfTrue="1" operator="lessThan">
      <formula>0</formula>
    </cfRule>
  </conditionalFormatting>
  <conditionalFormatting sqref="Q566:Q569">
    <cfRule type="cellIs" dxfId="3430" priority="1995" stopIfTrue="1" operator="lessThan">
      <formula>0</formula>
    </cfRule>
  </conditionalFormatting>
  <conditionalFormatting sqref="R564">
    <cfRule type="cellIs" dxfId="3429" priority="1994" stopIfTrue="1" operator="lessThan">
      <formula>0</formula>
    </cfRule>
  </conditionalFormatting>
  <conditionalFormatting sqref="Q564">
    <cfRule type="cellIs" dxfId="3428" priority="1993" stopIfTrue="1" operator="lessThan">
      <formula>0</formula>
    </cfRule>
  </conditionalFormatting>
  <conditionalFormatting sqref="Q570:R570 Q573 Q571">
    <cfRule type="cellIs" dxfId="3427" priority="1992" stopIfTrue="1" operator="lessThan">
      <formula>0</formula>
    </cfRule>
  </conditionalFormatting>
  <conditionalFormatting sqref="Q574:Q577">
    <cfRule type="cellIs" dxfId="3426" priority="1991" stopIfTrue="1" operator="lessThan">
      <formula>0</formula>
    </cfRule>
  </conditionalFormatting>
  <conditionalFormatting sqref="Q572">
    <cfRule type="cellIs" dxfId="3425" priority="1989" stopIfTrue="1" operator="lessThan">
      <formula>0</formula>
    </cfRule>
  </conditionalFormatting>
  <conditionalFormatting sqref="Q581:R581 Q578:Q579">
    <cfRule type="cellIs" dxfId="3424" priority="1988" stopIfTrue="1" operator="lessThan">
      <formula>0</formula>
    </cfRule>
  </conditionalFormatting>
  <conditionalFormatting sqref="Q582:R585">
    <cfRule type="cellIs" dxfId="3423" priority="1987" stopIfTrue="1" operator="lessThan">
      <formula>0</formula>
    </cfRule>
  </conditionalFormatting>
  <conditionalFormatting sqref="Q580">
    <cfRule type="cellIs" dxfId="3422" priority="1985" stopIfTrue="1" operator="lessThan">
      <formula>0</formula>
    </cfRule>
  </conditionalFormatting>
  <conditionalFormatting sqref="Q586:R589">
    <cfRule type="cellIs" dxfId="3421" priority="1984" stopIfTrue="1" operator="lessThan">
      <formula>0</formula>
    </cfRule>
  </conditionalFormatting>
  <conditionalFormatting sqref="Q590:R593">
    <cfRule type="cellIs" dxfId="3420" priority="1983" stopIfTrue="1" operator="lessThan">
      <formula>0</formula>
    </cfRule>
  </conditionalFormatting>
  <conditionalFormatting sqref="Q594:R597">
    <cfRule type="cellIs" dxfId="3419" priority="1982" stopIfTrue="1" operator="lessThan">
      <formula>0</formula>
    </cfRule>
  </conditionalFormatting>
  <conditionalFormatting sqref="Q598:R600">
    <cfRule type="cellIs" dxfId="3418" priority="1981" stopIfTrue="1" operator="lessThan">
      <formula>0</formula>
    </cfRule>
  </conditionalFormatting>
  <conditionalFormatting sqref="Q602:R603 Q604">
    <cfRule type="cellIs" dxfId="3417" priority="1980" stopIfTrue="1" operator="lessThan">
      <formula>0</formula>
    </cfRule>
  </conditionalFormatting>
  <conditionalFormatting sqref="Q605:R607 Q608">
    <cfRule type="cellIs" dxfId="3416" priority="1979" stopIfTrue="1" operator="lessThan">
      <formula>0</formula>
    </cfRule>
  </conditionalFormatting>
  <conditionalFormatting sqref="Q609:R611">
    <cfRule type="cellIs" dxfId="3415" priority="1978" stopIfTrue="1" operator="lessThan">
      <formula>0</formula>
    </cfRule>
  </conditionalFormatting>
  <conditionalFormatting sqref="Q612:R614">
    <cfRule type="cellIs" dxfId="3414" priority="1977" stopIfTrue="1" operator="lessThan">
      <formula>0</formula>
    </cfRule>
  </conditionalFormatting>
  <conditionalFormatting sqref="Q615:R618">
    <cfRule type="cellIs" dxfId="3413" priority="1976" stopIfTrue="1" operator="lessThan">
      <formula>0</formula>
    </cfRule>
  </conditionalFormatting>
  <conditionalFormatting sqref="Q619:R621">
    <cfRule type="cellIs" dxfId="3412" priority="1975" stopIfTrue="1" operator="lessThan">
      <formula>0</formula>
    </cfRule>
  </conditionalFormatting>
  <conditionalFormatting sqref="Q622:R624">
    <cfRule type="cellIs" dxfId="3411" priority="1974" stopIfTrue="1" operator="lessThan">
      <formula>0</formula>
    </cfRule>
  </conditionalFormatting>
  <conditionalFormatting sqref="Q625:R628">
    <cfRule type="cellIs" dxfId="3410" priority="1973" stopIfTrue="1" operator="lessThan">
      <formula>0</formula>
    </cfRule>
  </conditionalFormatting>
  <conditionalFormatting sqref="Q629:R631">
    <cfRule type="cellIs" dxfId="3409" priority="1972" stopIfTrue="1" operator="lessThan">
      <formula>0</formula>
    </cfRule>
  </conditionalFormatting>
  <conditionalFormatting sqref="Q641:R643">
    <cfRule type="cellIs" dxfId="3408" priority="1971" stopIfTrue="1" operator="lessThan">
      <formula>0</formula>
    </cfRule>
  </conditionalFormatting>
  <conditionalFormatting sqref="Q644:R647">
    <cfRule type="cellIs" dxfId="3407" priority="1970" stopIfTrue="1" operator="lessThan">
      <formula>0</formula>
    </cfRule>
  </conditionalFormatting>
  <conditionalFormatting sqref="Q648:R650">
    <cfRule type="cellIs" dxfId="3406" priority="1969" stopIfTrue="1" operator="lessThan">
      <formula>0</formula>
    </cfRule>
  </conditionalFormatting>
  <conditionalFormatting sqref="Q632:R632">
    <cfRule type="cellIs" dxfId="3405" priority="1968" stopIfTrue="1" operator="lessThan">
      <formula>0</formula>
    </cfRule>
  </conditionalFormatting>
  <conditionalFormatting sqref="Q633:R635">
    <cfRule type="cellIs" dxfId="3404" priority="1967" stopIfTrue="1" operator="lessThan">
      <formula>0</formula>
    </cfRule>
  </conditionalFormatting>
  <conditionalFormatting sqref="Q636:R636">
    <cfRule type="cellIs" dxfId="3403" priority="1966" stopIfTrue="1" operator="lessThan">
      <formula>0</formula>
    </cfRule>
  </conditionalFormatting>
  <conditionalFormatting sqref="Q637:R639">
    <cfRule type="cellIs" dxfId="3402" priority="1965" stopIfTrue="1" operator="lessThan">
      <formula>0</formula>
    </cfRule>
  </conditionalFormatting>
  <conditionalFormatting sqref="Q651:R653">
    <cfRule type="cellIs" dxfId="3401" priority="1964" stopIfTrue="1" operator="lessThan">
      <formula>0</formula>
    </cfRule>
  </conditionalFormatting>
  <conditionalFormatting sqref="Q654:R657">
    <cfRule type="cellIs" dxfId="3400" priority="1963" stopIfTrue="1" operator="lessThan">
      <formula>0</formula>
    </cfRule>
  </conditionalFormatting>
  <conditionalFormatting sqref="Q658:R660">
    <cfRule type="cellIs" dxfId="3399" priority="1962" stopIfTrue="1" operator="lessThan">
      <formula>0</formula>
    </cfRule>
  </conditionalFormatting>
  <conditionalFormatting sqref="Q668:R670">
    <cfRule type="cellIs" dxfId="3398" priority="1961" stopIfTrue="1" operator="lessThan">
      <formula>0</formula>
    </cfRule>
  </conditionalFormatting>
  <conditionalFormatting sqref="Q671:R674">
    <cfRule type="cellIs" dxfId="3397" priority="1960" stopIfTrue="1" operator="lessThan">
      <formula>0</formula>
    </cfRule>
  </conditionalFormatting>
  <conditionalFormatting sqref="Q675:R677">
    <cfRule type="cellIs" dxfId="3396" priority="1959" stopIfTrue="1" operator="lessThan">
      <formula>0</formula>
    </cfRule>
  </conditionalFormatting>
  <conditionalFormatting sqref="Q661:R663">
    <cfRule type="cellIs" dxfId="3395" priority="1958" stopIfTrue="1" operator="lessThan">
      <formula>0</formula>
    </cfRule>
  </conditionalFormatting>
  <conditionalFormatting sqref="Q664:R666">
    <cfRule type="cellIs" dxfId="3394" priority="1957" stopIfTrue="1" operator="lessThan">
      <formula>0</formula>
    </cfRule>
  </conditionalFormatting>
  <conditionalFormatting sqref="Q678:R680">
    <cfRule type="cellIs" dxfId="3393" priority="1956" stopIfTrue="1" operator="lessThan">
      <formula>0</formula>
    </cfRule>
  </conditionalFormatting>
  <conditionalFormatting sqref="Q681:R684">
    <cfRule type="cellIs" dxfId="3392" priority="1955" stopIfTrue="1" operator="lessThan">
      <formula>0</formula>
    </cfRule>
  </conditionalFormatting>
  <conditionalFormatting sqref="Q685:R687">
    <cfRule type="cellIs" dxfId="3391" priority="1954" stopIfTrue="1" operator="lessThan">
      <formula>0</formula>
    </cfRule>
  </conditionalFormatting>
  <conditionalFormatting sqref="Q688:R690">
    <cfRule type="cellIs" dxfId="3390" priority="1953" stopIfTrue="1" operator="lessThan">
      <formula>0</formula>
    </cfRule>
  </conditionalFormatting>
  <conditionalFormatting sqref="Q691:R694">
    <cfRule type="cellIs" dxfId="3389" priority="1952" stopIfTrue="1" operator="lessThan">
      <formula>0</formula>
    </cfRule>
  </conditionalFormatting>
  <conditionalFormatting sqref="Q695:R697">
    <cfRule type="cellIs" dxfId="3388" priority="1951" stopIfTrue="1" operator="lessThan">
      <formula>0</formula>
    </cfRule>
  </conditionalFormatting>
  <conditionalFormatting sqref="Q698:R700">
    <cfRule type="cellIs" dxfId="3387" priority="1950" stopIfTrue="1" operator="lessThan">
      <formula>0</formula>
    </cfRule>
  </conditionalFormatting>
  <conditionalFormatting sqref="Q701:R703">
    <cfRule type="cellIs" dxfId="3386" priority="1949" stopIfTrue="1" operator="lessThan">
      <formula>0</formula>
    </cfRule>
  </conditionalFormatting>
  <conditionalFormatting sqref="Q704:R706">
    <cfRule type="cellIs" dxfId="3385" priority="1948" stopIfTrue="1" operator="lessThan">
      <formula>0</formula>
    </cfRule>
  </conditionalFormatting>
  <conditionalFormatting sqref="Q707:R710">
    <cfRule type="cellIs" dxfId="3384" priority="1947" stopIfTrue="1" operator="lessThan">
      <formula>0</formula>
    </cfRule>
  </conditionalFormatting>
  <conditionalFormatting sqref="Q711:R713">
    <cfRule type="cellIs" dxfId="3383" priority="1946" stopIfTrue="1" operator="lessThan">
      <formula>0</formula>
    </cfRule>
  </conditionalFormatting>
  <conditionalFormatting sqref="Q714:R716">
    <cfRule type="cellIs" dxfId="3382" priority="1945" stopIfTrue="1" operator="lessThan">
      <formula>0</formula>
    </cfRule>
  </conditionalFormatting>
  <conditionalFormatting sqref="Q717:R720">
    <cfRule type="cellIs" dxfId="3381" priority="1944" stopIfTrue="1" operator="lessThan">
      <formula>0</formula>
    </cfRule>
  </conditionalFormatting>
  <conditionalFormatting sqref="Q721:R723">
    <cfRule type="cellIs" dxfId="3380" priority="1943" stopIfTrue="1" operator="lessThan">
      <formula>0</formula>
    </cfRule>
  </conditionalFormatting>
  <conditionalFormatting sqref="Q724:R726">
    <cfRule type="cellIs" dxfId="3379" priority="1942" stopIfTrue="1" operator="lessThan">
      <formula>0</formula>
    </cfRule>
  </conditionalFormatting>
  <conditionalFormatting sqref="Q727:R729">
    <cfRule type="cellIs" dxfId="3378" priority="1941" stopIfTrue="1" operator="lessThan">
      <formula>0</formula>
    </cfRule>
  </conditionalFormatting>
  <conditionalFormatting sqref="Q730:R732">
    <cfRule type="cellIs" dxfId="3377" priority="1940" stopIfTrue="1" operator="lessThan">
      <formula>0</formula>
    </cfRule>
  </conditionalFormatting>
  <conditionalFormatting sqref="Q733:R736">
    <cfRule type="cellIs" dxfId="3376" priority="1939" stopIfTrue="1" operator="lessThan">
      <formula>0</formula>
    </cfRule>
  </conditionalFormatting>
  <conditionalFormatting sqref="Q737:R738 Q739">
    <cfRule type="cellIs" dxfId="3375" priority="1938" stopIfTrue="1" operator="lessThan">
      <formula>0</formula>
    </cfRule>
  </conditionalFormatting>
  <conditionalFormatting sqref="Q742:R742 Q740:Q741">
    <cfRule type="cellIs" dxfId="3374" priority="1937" stopIfTrue="1" operator="lessThan">
      <formula>0</formula>
    </cfRule>
  </conditionalFormatting>
  <conditionalFormatting sqref="Q743:R746">
    <cfRule type="cellIs" dxfId="3373" priority="1936" stopIfTrue="1" operator="lessThan">
      <formula>0</formula>
    </cfRule>
  </conditionalFormatting>
  <conditionalFormatting sqref="Q747:R749">
    <cfRule type="cellIs" dxfId="3372" priority="1935" stopIfTrue="1" operator="lessThan">
      <formula>0</formula>
    </cfRule>
  </conditionalFormatting>
  <conditionalFormatting sqref="Q750:R752">
    <cfRule type="cellIs" dxfId="3371" priority="1934" stopIfTrue="1" operator="lessThan">
      <formula>0</formula>
    </cfRule>
  </conditionalFormatting>
  <conditionalFormatting sqref="Q753:R755">
    <cfRule type="cellIs" dxfId="3370" priority="1933" stopIfTrue="1" operator="lessThan">
      <formula>0</formula>
    </cfRule>
  </conditionalFormatting>
  <conditionalFormatting sqref="Q764:R766">
    <cfRule type="cellIs" dxfId="3369" priority="1932" stopIfTrue="1" operator="lessThan">
      <formula>0</formula>
    </cfRule>
  </conditionalFormatting>
  <conditionalFormatting sqref="Q767:R770">
    <cfRule type="cellIs" dxfId="3368" priority="1931" stopIfTrue="1" operator="lessThan">
      <formula>0</formula>
    </cfRule>
  </conditionalFormatting>
  <conditionalFormatting sqref="Q771:R773">
    <cfRule type="cellIs" dxfId="3367" priority="1930" stopIfTrue="1" operator="lessThan">
      <formula>0</formula>
    </cfRule>
  </conditionalFormatting>
  <conditionalFormatting sqref="Q774:R776">
    <cfRule type="cellIs" dxfId="3366" priority="1929" stopIfTrue="1" operator="lessThan">
      <formula>0</formula>
    </cfRule>
  </conditionalFormatting>
  <conditionalFormatting sqref="Q777:R780">
    <cfRule type="cellIs" dxfId="3365" priority="1928" stopIfTrue="1" operator="lessThan">
      <formula>0</formula>
    </cfRule>
  </conditionalFormatting>
  <conditionalFormatting sqref="Q781:R783">
    <cfRule type="cellIs" dxfId="3364" priority="1927" stopIfTrue="1" operator="lessThan">
      <formula>0</formula>
    </cfRule>
  </conditionalFormatting>
  <conditionalFormatting sqref="Q784:R786">
    <cfRule type="cellIs" dxfId="3363" priority="1926" stopIfTrue="1" operator="lessThan">
      <formula>0</formula>
    </cfRule>
  </conditionalFormatting>
  <conditionalFormatting sqref="Q787:R789">
    <cfRule type="cellIs" dxfId="3362" priority="1925" stopIfTrue="1" operator="lessThan">
      <formula>0</formula>
    </cfRule>
  </conditionalFormatting>
  <conditionalFormatting sqref="Q790:R792">
    <cfRule type="cellIs" dxfId="3361" priority="1924" stopIfTrue="1" operator="lessThan">
      <formula>0</formula>
    </cfRule>
  </conditionalFormatting>
  <conditionalFormatting sqref="Q793:R796">
    <cfRule type="cellIs" dxfId="3360" priority="1923" stopIfTrue="1" operator="lessThan">
      <formula>0</formula>
    </cfRule>
  </conditionalFormatting>
  <conditionalFormatting sqref="Q797:R799">
    <cfRule type="cellIs" dxfId="3359" priority="1922" stopIfTrue="1" operator="lessThan">
      <formula>0</formula>
    </cfRule>
  </conditionalFormatting>
  <conditionalFormatting sqref="Q800:R802">
    <cfRule type="cellIs" dxfId="3358" priority="1921" stopIfTrue="1" operator="lessThan">
      <formula>0</formula>
    </cfRule>
  </conditionalFormatting>
  <conditionalFormatting sqref="Q803:R806">
    <cfRule type="cellIs" dxfId="3357" priority="1920" stopIfTrue="1" operator="lessThan">
      <formula>0</formula>
    </cfRule>
  </conditionalFormatting>
  <conditionalFormatting sqref="Q807:R809">
    <cfRule type="cellIs" dxfId="3356" priority="1919" stopIfTrue="1" operator="lessThan">
      <formula>0</formula>
    </cfRule>
  </conditionalFormatting>
  <conditionalFormatting sqref="Q810:R812">
    <cfRule type="cellIs" dxfId="3355" priority="1918" stopIfTrue="1" operator="lessThan">
      <formula>0</formula>
    </cfRule>
  </conditionalFormatting>
  <conditionalFormatting sqref="Q813:R815">
    <cfRule type="cellIs" dxfId="3354" priority="1917" stopIfTrue="1" operator="lessThan">
      <formula>0</formula>
    </cfRule>
  </conditionalFormatting>
  <conditionalFormatting sqref="Q756:R758">
    <cfRule type="cellIs" dxfId="3353" priority="1916" stopIfTrue="1" operator="lessThan">
      <formula>0</formula>
    </cfRule>
  </conditionalFormatting>
  <conditionalFormatting sqref="Q759:R761">
    <cfRule type="cellIs" dxfId="3352" priority="1915" stopIfTrue="1" operator="lessThan">
      <formula>0</formula>
    </cfRule>
  </conditionalFormatting>
  <conditionalFormatting sqref="Q144:Q145">
    <cfRule type="cellIs" dxfId="3351" priority="1913" stopIfTrue="1" operator="lessThan">
      <formula>0</formula>
    </cfRule>
  </conditionalFormatting>
  <conditionalFormatting sqref="Q268:Q270">
    <cfRule type="cellIs" dxfId="3350" priority="1912" stopIfTrue="1" operator="lessThan">
      <formula>0</formula>
    </cfRule>
  </conditionalFormatting>
  <conditionalFormatting sqref="AE71:AF71 AE72:AE75">
    <cfRule type="cellIs" dxfId="3349" priority="1911" stopIfTrue="1" operator="lessThan">
      <formula>0</formula>
    </cfRule>
  </conditionalFormatting>
  <conditionalFormatting sqref="AE76:AE80">
    <cfRule type="cellIs" dxfId="3348" priority="1909" stopIfTrue="1" operator="lessThan">
      <formula>0</formula>
    </cfRule>
  </conditionalFormatting>
  <conditionalFormatting sqref="AE81:AE85">
    <cfRule type="cellIs" dxfId="3347" priority="1908" stopIfTrue="1" operator="lessThan">
      <formula>0</formula>
    </cfRule>
  </conditionalFormatting>
  <conditionalFormatting sqref="AE72:AE90">
    <cfRule type="cellIs" dxfId="3346" priority="1907" stopIfTrue="1" operator="lessThan">
      <formula>0</formula>
    </cfRule>
  </conditionalFormatting>
  <conditionalFormatting sqref="AE91:AE93">
    <cfRule type="cellIs" dxfId="3345" priority="1906" stopIfTrue="1" operator="lessThan">
      <formula>0</formula>
    </cfRule>
  </conditionalFormatting>
  <conditionalFormatting sqref="AE103:AE105">
    <cfRule type="cellIs" dxfId="3344" priority="1905" stopIfTrue="1" operator="lessThan">
      <formula>0</formula>
    </cfRule>
  </conditionalFormatting>
  <conditionalFormatting sqref="AE106:AE108">
    <cfRule type="cellIs" dxfId="3343" priority="1904" stopIfTrue="1" operator="lessThan">
      <formula>0</formula>
    </cfRule>
  </conditionalFormatting>
  <conditionalFormatting sqref="AE109:AE111">
    <cfRule type="cellIs" dxfId="3342" priority="1903" stopIfTrue="1" operator="lessThan">
      <formula>0</formula>
    </cfRule>
  </conditionalFormatting>
  <conditionalFormatting sqref="AE112">
    <cfRule type="cellIs" dxfId="3341" priority="1902" stopIfTrue="1" operator="lessThan">
      <formula>0</formula>
    </cfRule>
  </conditionalFormatting>
  <conditionalFormatting sqref="AE114:AE116">
    <cfRule type="cellIs" dxfId="3340" priority="1901" stopIfTrue="1" operator="lessThan">
      <formula>0</formula>
    </cfRule>
  </conditionalFormatting>
  <conditionalFormatting sqref="AE117:AE119">
    <cfRule type="cellIs" dxfId="3339" priority="1900" stopIfTrue="1" operator="lessThan">
      <formula>0</formula>
    </cfRule>
  </conditionalFormatting>
  <conditionalFormatting sqref="AE120:AF121 AE122">
    <cfRule type="cellIs" dxfId="3338" priority="1899" stopIfTrue="1" operator="lessThan">
      <formula>0</formula>
    </cfRule>
  </conditionalFormatting>
  <conditionalFormatting sqref="AE123">
    <cfRule type="cellIs" dxfId="3337" priority="1898" stopIfTrue="1" operator="lessThan">
      <formula>0</formula>
    </cfRule>
  </conditionalFormatting>
  <conditionalFormatting sqref="AE124:AE126">
    <cfRule type="cellIs" dxfId="3336" priority="1897" stopIfTrue="1" operator="lessThan">
      <formula>0</formula>
    </cfRule>
  </conditionalFormatting>
  <conditionalFormatting sqref="AE127:AE129">
    <cfRule type="cellIs" dxfId="3335" priority="1896" stopIfTrue="1" operator="lessThan">
      <formula>0</formula>
    </cfRule>
  </conditionalFormatting>
  <conditionalFormatting sqref="AE130:AE132">
    <cfRule type="cellIs" dxfId="3334" priority="1895" stopIfTrue="1" operator="lessThan">
      <formula>0</formula>
    </cfRule>
  </conditionalFormatting>
  <conditionalFormatting sqref="AE133">
    <cfRule type="cellIs" dxfId="3333" priority="1894" stopIfTrue="1" operator="lessThan">
      <formula>0</formula>
    </cfRule>
  </conditionalFormatting>
  <conditionalFormatting sqref="AE134:AE136">
    <cfRule type="cellIs" dxfId="3332" priority="1893" stopIfTrue="1" operator="lessThan">
      <formula>0</formula>
    </cfRule>
  </conditionalFormatting>
  <conditionalFormatting sqref="AE137:AE139">
    <cfRule type="cellIs" dxfId="3331" priority="1892" stopIfTrue="1" operator="lessThan">
      <formula>0</formula>
    </cfRule>
  </conditionalFormatting>
  <conditionalFormatting sqref="AE140:AE142">
    <cfRule type="cellIs" dxfId="3330" priority="1891" stopIfTrue="1" operator="lessThan">
      <formula>0</formula>
    </cfRule>
  </conditionalFormatting>
  <conditionalFormatting sqref="AE143">
    <cfRule type="cellIs" dxfId="3329" priority="1890" stopIfTrue="1" operator="lessThan">
      <formula>0</formula>
    </cfRule>
  </conditionalFormatting>
  <conditionalFormatting sqref="AE144:AE146">
    <cfRule type="cellIs" dxfId="3328" priority="1889" stopIfTrue="1" operator="lessThan">
      <formula>0</formula>
    </cfRule>
  </conditionalFormatting>
  <conditionalFormatting sqref="AE147:AE149">
    <cfRule type="cellIs" dxfId="3327" priority="1888" stopIfTrue="1" operator="lessThan">
      <formula>0</formula>
    </cfRule>
  </conditionalFormatting>
  <conditionalFormatting sqref="AE150:AE152">
    <cfRule type="cellIs" dxfId="3326" priority="1887" stopIfTrue="1" operator="lessThan">
      <formula>0</formula>
    </cfRule>
  </conditionalFormatting>
  <conditionalFormatting sqref="AE153">
    <cfRule type="cellIs" dxfId="3325" priority="1886" stopIfTrue="1" operator="lessThan">
      <formula>0</formula>
    </cfRule>
  </conditionalFormatting>
  <conditionalFormatting sqref="AE154:AE156">
    <cfRule type="cellIs" dxfId="3324" priority="1885" stopIfTrue="1" operator="lessThan">
      <formula>0</formula>
    </cfRule>
  </conditionalFormatting>
  <conditionalFormatting sqref="AE157:AE159">
    <cfRule type="cellIs" dxfId="3323" priority="1884" stopIfTrue="1" operator="lessThan">
      <formula>0</formula>
    </cfRule>
  </conditionalFormatting>
  <conditionalFormatting sqref="AE160:AF160 AE161:AE162">
    <cfRule type="cellIs" dxfId="3322" priority="1883" stopIfTrue="1" operator="lessThan">
      <formula>0</formula>
    </cfRule>
  </conditionalFormatting>
  <conditionalFormatting sqref="AE163">
    <cfRule type="cellIs" dxfId="3321" priority="1882" stopIfTrue="1" operator="lessThan">
      <formula>0</formula>
    </cfRule>
  </conditionalFormatting>
  <conditionalFormatting sqref="AE164:AE166">
    <cfRule type="cellIs" dxfId="3320" priority="1881" stopIfTrue="1" operator="lessThan">
      <formula>0</formula>
    </cfRule>
  </conditionalFormatting>
  <conditionalFormatting sqref="AE167:AE169">
    <cfRule type="cellIs" dxfId="3319" priority="1880" stopIfTrue="1" operator="lessThan">
      <formula>0</formula>
    </cfRule>
  </conditionalFormatting>
  <conditionalFormatting sqref="AE170:AE172">
    <cfRule type="cellIs" dxfId="3318" priority="1879" stopIfTrue="1" operator="lessThan">
      <formula>0</formula>
    </cfRule>
  </conditionalFormatting>
  <conditionalFormatting sqref="AE173">
    <cfRule type="cellIs" dxfId="3317" priority="1878" stopIfTrue="1" operator="lessThan">
      <formula>0</formula>
    </cfRule>
  </conditionalFormatting>
  <conditionalFormatting sqref="AE178:AF180">
    <cfRule type="cellIs" dxfId="3316" priority="1877" stopIfTrue="1" operator="lessThan">
      <formula>0</formula>
    </cfRule>
  </conditionalFormatting>
  <conditionalFormatting sqref="AE181:AF183">
    <cfRule type="cellIs" dxfId="3315" priority="1876" stopIfTrue="1" operator="lessThan">
      <formula>0</formula>
    </cfRule>
  </conditionalFormatting>
  <conditionalFormatting sqref="AE184:AE186">
    <cfRule type="cellIs" dxfId="3314" priority="1875" stopIfTrue="1" operator="lessThan">
      <formula>0</formula>
    </cfRule>
  </conditionalFormatting>
  <conditionalFormatting sqref="AE187">
    <cfRule type="cellIs" dxfId="3313" priority="1874" stopIfTrue="1" operator="lessThan">
      <formula>0</formula>
    </cfRule>
  </conditionalFormatting>
  <conditionalFormatting sqref="AE188:AE190">
    <cfRule type="cellIs" dxfId="3312" priority="1873" stopIfTrue="1" operator="lessThan">
      <formula>0</formula>
    </cfRule>
  </conditionalFormatting>
  <conditionalFormatting sqref="AE191:AF193">
    <cfRule type="cellIs" dxfId="3311" priority="1872" stopIfTrue="1" operator="lessThan">
      <formula>0</formula>
    </cfRule>
  </conditionalFormatting>
  <conditionalFormatting sqref="AE194:AF194 AE195:AE196">
    <cfRule type="cellIs" dxfId="3310" priority="1871" stopIfTrue="1" operator="lessThan">
      <formula>0</formula>
    </cfRule>
  </conditionalFormatting>
  <conditionalFormatting sqref="AE197">
    <cfRule type="cellIs" dxfId="3309" priority="1870" stopIfTrue="1" operator="lessThan">
      <formula>0</formula>
    </cfRule>
  </conditionalFormatting>
  <conditionalFormatting sqref="AE199:AF200 AE198">
    <cfRule type="cellIs" dxfId="3308" priority="1869" stopIfTrue="1" operator="lessThan">
      <formula>0</formula>
    </cfRule>
  </conditionalFormatting>
  <conditionalFormatting sqref="AE201:AF203">
    <cfRule type="cellIs" dxfId="3307" priority="1868" stopIfTrue="1" operator="lessThan">
      <formula>0</formula>
    </cfRule>
  </conditionalFormatting>
  <conditionalFormatting sqref="AE204:AF206">
    <cfRule type="cellIs" dxfId="3306" priority="1867" stopIfTrue="1" operator="lessThan">
      <formula>0</formula>
    </cfRule>
  </conditionalFormatting>
  <conditionalFormatting sqref="AE207:AF207">
    <cfRule type="cellIs" dxfId="3305" priority="1866" stopIfTrue="1" operator="lessThan">
      <formula>0</formula>
    </cfRule>
  </conditionalFormatting>
  <conditionalFormatting sqref="AE208:AF210">
    <cfRule type="cellIs" dxfId="3304" priority="1865" stopIfTrue="1" operator="lessThan">
      <formula>0</formula>
    </cfRule>
  </conditionalFormatting>
  <conditionalFormatting sqref="AE211:AF213">
    <cfRule type="cellIs" dxfId="3303" priority="1864" stopIfTrue="1" operator="lessThan">
      <formula>0</formula>
    </cfRule>
  </conditionalFormatting>
  <conditionalFormatting sqref="AE214:AF216">
    <cfRule type="cellIs" dxfId="3302" priority="1863" stopIfTrue="1" operator="lessThan">
      <formula>0</formula>
    </cfRule>
  </conditionalFormatting>
  <conditionalFormatting sqref="AE217:AF217">
    <cfRule type="cellIs" dxfId="3301" priority="1862" stopIfTrue="1" operator="lessThan">
      <formula>0</formula>
    </cfRule>
  </conditionalFormatting>
  <conditionalFormatting sqref="AE218:AF218 AE219:AE220">
    <cfRule type="cellIs" dxfId="3300" priority="1861" stopIfTrue="1" operator="lessThan">
      <formula>0</formula>
    </cfRule>
  </conditionalFormatting>
  <conditionalFormatting sqref="AE221:AE223">
    <cfRule type="cellIs" dxfId="3299" priority="1860" stopIfTrue="1" operator="lessThan">
      <formula>0</formula>
    </cfRule>
  </conditionalFormatting>
  <conditionalFormatting sqref="AE224:AE226">
    <cfRule type="cellIs" dxfId="3298" priority="1859" stopIfTrue="1" operator="lessThan">
      <formula>0</formula>
    </cfRule>
  </conditionalFormatting>
  <conditionalFormatting sqref="AE227">
    <cfRule type="cellIs" dxfId="3297" priority="1858" stopIfTrue="1" operator="lessThan">
      <formula>0</formula>
    </cfRule>
  </conditionalFormatting>
  <conditionalFormatting sqref="AE228:AE230">
    <cfRule type="cellIs" dxfId="3296" priority="1857" stopIfTrue="1" operator="lessThan">
      <formula>0</formula>
    </cfRule>
  </conditionalFormatting>
  <conditionalFormatting sqref="AE231:AE233">
    <cfRule type="cellIs" dxfId="3295" priority="1856" stopIfTrue="1" operator="lessThan">
      <formula>0</formula>
    </cfRule>
  </conditionalFormatting>
  <conditionalFormatting sqref="AE234:AE236">
    <cfRule type="cellIs" dxfId="3294" priority="1855" stopIfTrue="1" operator="lessThan">
      <formula>0</formula>
    </cfRule>
  </conditionalFormatting>
  <conditionalFormatting sqref="AE237">
    <cfRule type="cellIs" dxfId="3293" priority="1854" stopIfTrue="1" operator="lessThan">
      <formula>0</formula>
    </cfRule>
  </conditionalFormatting>
  <conditionalFormatting sqref="AE238:AE240">
    <cfRule type="cellIs" dxfId="3292" priority="1853" stopIfTrue="1" operator="lessThan">
      <formula>0</formula>
    </cfRule>
  </conditionalFormatting>
  <conditionalFormatting sqref="AE241:AE243">
    <cfRule type="cellIs" dxfId="3291" priority="1852" stopIfTrue="1" operator="lessThan">
      <formula>0</formula>
    </cfRule>
  </conditionalFormatting>
  <conditionalFormatting sqref="AE244:AE246">
    <cfRule type="cellIs" dxfId="3290" priority="1851" stopIfTrue="1" operator="lessThan">
      <formula>0</formula>
    </cfRule>
  </conditionalFormatting>
  <conditionalFormatting sqref="AE247">
    <cfRule type="cellIs" dxfId="3289" priority="1850" stopIfTrue="1" operator="lessThan">
      <formula>0</formula>
    </cfRule>
  </conditionalFormatting>
  <conditionalFormatting sqref="AE248:AE250">
    <cfRule type="cellIs" dxfId="3288" priority="1849" stopIfTrue="1" operator="lessThan">
      <formula>0</formula>
    </cfRule>
  </conditionalFormatting>
  <conditionalFormatting sqref="AE251:AE253">
    <cfRule type="cellIs" dxfId="3287" priority="1848" stopIfTrue="1" operator="lessThan">
      <formula>0</formula>
    </cfRule>
  </conditionalFormatting>
  <conditionalFormatting sqref="AE254:AE256">
    <cfRule type="cellIs" dxfId="3286" priority="1847" stopIfTrue="1" operator="lessThan">
      <formula>0</formula>
    </cfRule>
  </conditionalFormatting>
  <conditionalFormatting sqref="AE257">
    <cfRule type="cellIs" dxfId="3285" priority="1846" stopIfTrue="1" operator="lessThan">
      <formula>0</formula>
    </cfRule>
  </conditionalFormatting>
  <conditionalFormatting sqref="AE258:AE260">
    <cfRule type="cellIs" dxfId="3284" priority="1845" stopIfTrue="1" operator="lessThan">
      <formula>0</formula>
    </cfRule>
  </conditionalFormatting>
  <conditionalFormatting sqref="AE261">
    <cfRule type="cellIs" dxfId="3283" priority="1844" stopIfTrue="1" operator="lessThan">
      <formula>0</formula>
    </cfRule>
  </conditionalFormatting>
  <conditionalFormatting sqref="AE262:AE264">
    <cfRule type="cellIs" dxfId="3282" priority="1843" stopIfTrue="1" operator="lessThan">
      <formula>0</formula>
    </cfRule>
  </conditionalFormatting>
  <conditionalFormatting sqref="AE265">
    <cfRule type="cellIs" dxfId="3281" priority="1842" stopIfTrue="1" operator="lessThan">
      <formula>0</formula>
    </cfRule>
  </conditionalFormatting>
  <conditionalFormatting sqref="AE266">
    <cfRule type="cellIs" dxfId="3280" priority="1841" stopIfTrue="1" operator="lessThan">
      <formula>0</formula>
    </cfRule>
  </conditionalFormatting>
  <conditionalFormatting sqref="AE176:AF176 AE174:AE175">
    <cfRule type="cellIs" dxfId="3279" priority="1840" stopIfTrue="1" operator="lessThan">
      <formula>0</formula>
    </cfRule>
  </conditionalFormatting>
  <conditionalFormatting sqref="AE271:AF271">
    <cfRule type="cellIs" dxfId="3278" priority="1839" stopIfTrue="1" operator="lessThan">
      <formula>0</formula>
    </cfRule>
  </conditionalFormatting>
  <conditionalFormatting sqref="AE272:AF274">
    <cfRule type="cellIs" dxfId="3277" priority="1838" stopIfTrue="1" operator="lessThan">
      <formula>0</formula>
    </cfRule>
  </conditionalFormatting>
  <conditionalFormatting sqref="AE275:AF275">
    <cfRule type="cellIs" dxfId="3276" priority="1837" stopIfTrue="1" operator="lessThan">
      <formula>0</formula>
    </cfRule>
  </conditionalFormatting>
  <conditionalFormatting sqref="AE276:AF278">
    <cfRule type="cellIs" dxfId="3275" priority="1836" stopIfTrue="1" operator="lessThan">
      <formula>0</formula>
    </cfRule>
  </conditionalFormatting>
  <conditionalFormatting sqref="AE279:AF279">
    <cfRule type="cellIs" dxfId="3274" priority="1835" stopIfTrue="1" operator="lessThan">
      <formula>0</formula>
    </cfRule>
  </conditionalFormatting>
  <conditionalFormatting sqref="AE280:AF282">
    <cfRule type="cellIs" dxfId="3273" priority="1834" stopIfTrue="1" operator="lessThan">
      <formula>0</formula>
    </cfRule>
  </conditionalFormatting>
  <conditionalFormatting sqref="AE283">
    <cfRule type="cellIs" dxfId="3272" priority="1833" stopIfTrue="1" operator="lessThan">
      <formula>0</formula>
    </cfRule>
  </conditionalFormatting>
  <conditionalFormatting sqref="AE284">
    <cfRule type="cellIs" dxfId="3271" priority="1832" stopIfTrue="1" operator="lessThan">
      <formula>0</formula>
    </cfRule>
  </conditionalFormatting>
  <conditionalFormatting sqref="AE288">
    <cfRule type="cellIs" dxfId="3270" priority="1831" stopIfTrue="1" operator="lessThan">
      <formula>0</formula>
    </cfRule>
  </conditionalFormatting>
  <conditionalFormatting sqref="AE291:AE292">
    <cfRule type="cellIs" dxfId="3269" priority="1830" stopIfTrue="1" operator="lessThan">
      <formula>0</formula>
    </cfRule>
  </conditionalFormatting>
  <conditionalFormatting sqref="AE294:AE296">
    <cfRule type="cellIs" dxfId="3268" priority="1829" stopIfTrue="1" operator="lessThan">
      <formula>0</formula>
    </cfRule>
  </conditionalFormatting>
  <conditionalFormatting sqref="AE297">
    <cfRule type="cellIs" dxfId="3267" priority="1828" stopIfTrue="1" operator="lessThan">
      <formula>0</formula>
    </cfRule>
  </conditionalFormatting>
  <conditionalFormatting sqref="AE298">
    <cfRule type="cellIs" dxfId="3266" priority="1827" stopIfTrue="1" operator="lessThan">
      <formula>0</formula>
    </cfRule>
  </conditionalFormatting>
  <conditionalFormatting sqref="AE299:AE301">
    <cfRule type="cellIs" dxfId="3265" priority="1826" stopIfTrue="1" operator="lessThan">
      <formula>0</formula>
    </cfRule>
  </conditionalFormatting>
  <conditionalFormatting sqref="AE302">
    <cfRule type="cellIs" dxfId="3264" priority="1825" stopIfTrue="1" operator="lessThan">
      <formula>0</formula>
    </cfRule>
  </conditionalFormatting>
  <conditionalFormatting sqref="AE303">
    <cfRule type="cellIs" dxfId="3263" priority="1824" stopIfTrue="1" operator="lessThan">
      <formula>0</formula>
    </cfRule>
  </conditionalFormatting>
  <conditionalFormatting sqref="AE304:AE306">
    <cfRule type="cellIs" dxfId="3262" priority="1823" stopIfTrue="1" operator="lessThan">
      <formula>0</formula>
    </cfRule>
  </conditionalFormatting>
  <conditionalFormatting sqref="AE307">
    <cfRule type="cellIs" dxfId="3261" priority="1822" stopIfTrue="1" operator="lessThan">
      <formula>0</formula>
    </cfRule>
  </conditionalFormatting>
  <conditionalFormatting sqref="AE308">
    <cfRule type="cellIs" dxfId="3260" priority="1821" stopIfTrue="1" operator="lessThan">
      <formula>0</formula>
    </cfRule>
  </conditionalFormatting>
  <conditionalFormatting sqref="AE309:AE311">
    <cfRule type="cellIs" dxfId="3259" priority="1820" stopIfTrue="1" operator="lessThan">
      <formula>0</formula>
    </cfRule>
  </conditionalFormatting>
  <conditionalFormatting sqref="AE312">
    <cfRule type="cellIs" dxfId="3258" priority="1819" stopIfTrue="1" operator="lessThan">
      <formula>0</formula>
    </cfRule>
  </conditionalFormatting>
  <conditionalFormatting sqref="AE313">
    <cfRule type="cellIs" dxfId="3257" priority="1818" stopIfTrue="1" operator="lessThan">
      <formula>0</formula>
    </cfRule>
  </conditionalFormatting>
  <conditionalFormatting sqref="AE314:AE316">
    <cfRule type="cellIs" dxfId="3256" priority="1817" stopIfTrue="1" operator="lessThan">
      <formula>0</formula>
    </cfRule>
  </conditionalFormatting>
  <conditionalFormatting sqref="AE317">
    <cfRule type="cellIs" dxfId="3255" priority="1816" stopIfTrue="1" operator="lessThan">
      <formula>0</formula>
    </cfRule>
  </conditionalFormatting>
  <conditionalFormatting sqref="AE318">
    <cfRule type="cellIs" dxfId="3254" priority="1815" stopIfTrue="1" operator="lessThan">
      <formula>0</formula>
    </cfRule>
  </conditionalFormatting>
  <conditionalFormatting sqref="AE319:AE321">
    <cfRule type="cellIs" dxfId="3253" priority="1814" stopIfTrue="1" operator="lessThan">
      <formula>0</formula>
    </cfRule>
  </conditionalFormatting>
  <conditionalFormatting sqref="AE322:AF322">
    <cfRule type="cellIs" dxfId="3252" priority="1813" stopIfTrue="1" operator="lessThan">
      <formula>0</formula>
    </cfRule>
  </conditionalFormatting>
  <conditionalFormatting sqref="AE323">
    <cfRule type="cellIs" dxfId="3251" priority="1812" stopIfTrue="1" operator="lessThan">
      <formula>0</formula>
    </cfRule>
  </conditionalFormatting>
  <conditionalFormatting sqref="AE324:AE326">
    <cfRule type="cellIs" dxfId="3250" priority="1811" stopIfTrue="1" operator="lessThan">
      <formula>0</formula>
    </cfRule>
  </conditionalFormatting>
  <conditionalFormatting sqref="AE327:AF327">
    <cfRule type="cellIs" dxfId="3249" priority="1810" stopIfTrue="1" operator="lessThan">
      <formula>0</formula>
    </cfRule>
  </conditionalFormatting>
  <conditionalFormatting sqref="AE328:AF328">
    <cfRule type="cellIs" dxfId="3248" priority="1809" stopIfTrue="1" operator="lessThan">
      <formula>0</formula>
    </cfRule>
  </conditionalFormatting>
  <conditionalFormatting sqref="AE329:AF330 AE331">
    <cfRule type="cellIs" dxfId="3247" priority="1808" stopIfTrue="1" operator="lessThan">
      <formula>0</formula>
    </cfRule>
  </conditionalFormatting>
  <conditionalFormatting sqref="AE332">
    <cfRule type="cellIs" dxfId="3246" priority="1807" stopIfTrue="1" operator="lessThan">
      <formula>0</formula>
    </cfRule>
  </conditionalFormatting>
  <conditionalFormatting sqref="AE333">
    <cfRule type="cellIs" dxfId="3245" priority="1806" stopIfTrue="1" operator="lessThan">
      <formula>0</formula>
    </cfRule>
  </conditionalFormatting>
  <conditionalFormatting sqref="AE334:AE335">
    <cfRule type="cellIs" dxfId="3244" priority="1805" stopIfTrue="1" operator="lessThan">
      <formula>0</formula>
    </cfRule>
  </conditionalFormatting>
  <conditionalFormatting sqref="AE338">
    <cfRule type="cellIs" dxfId="3243" priority="1803" stopIfTrue="1" operator="lessThan">
      <formula>0</formula>
    </cfRule>
  </conditionalFormatting>
  <conditionalFormatting sqref="AE339:AE341">
    <cfRule type="cellIs" dxfId="3242" priority="1802" stopIfTrue="1" operator="lessThan">
      <formula>0</formula>
    </cfRule>
  </conditionalFormatting>
  <conditionalFormatting sqref="AE342">
    <cfRule type="cellIs" dxfId="3241" priority="1801" stopIfTrue="1" operator="lessThan">
      <formula>0</formula>
    </cfRule>
  </conditionalFormatting>
  <conditionalFormatting sqref="AE343">
    <cfRule type="cellIs" dxfId="3240" priority="1800" stopIfTrue="1" operator="lessThan">
      <formula>0</formula>
    </cfRule>
  </conditionalFormatting>
  <conditionalFormatting sqref="AE344:AF345 AE346">
    <cfRule type="cellIs" dxfId="3239" priority="1799" stopIfTrue="1" operator="lessThan">
      <formula>0</formula>
    </cfRule>
  </conditionalFormatting>
  <conditionalFormatting sqref="AE347">
    <cfRule type="cellIs" dxfId="3238" priority="1798" stopIfTrue="1" operator="lessThan">
      <formula>0</formula>
    </cfRule>
  </conditionalFormatting>
  <conditionalFormatting sqref="AE348">
    <cfRule type="cellIs" dxfId="3237" priority="1797" stopIfTrue="1" operator="lessThan">
      <formula>0</formula>
    </cfRule>
  </conditionalFormatting>
  <conditionalFormatting sqref="AE349:AE351">
    <cfRule type="cellIs" dxfId="3236" priority="1796" stopIfTrue="1" operator="lessThan">
      <formula>0</formula>
    </cfRule>
  </conditionalFormatting>
  <conditionalFormatting sqref="AE352">
    <cfRule type="cellIs" dxfId="3235" priority="1795" stopIfTrue="1" operator="lessThan">
      <formula>0</formula>
    </cfRule>
  </conditionalFormatting>
  <conditionalFormatting sqref="AE353">
    <cfRule type="cellIs" dxfId="3234" priority="1794" stopIfTrue="1" operator="lessThan">
      <formula>0</formula>
    </cfRule>
  </conditionalFormatting>
  <conditionalFormatting sqref="AE354:AE356">
    <cfRule type="cellIs" dxfId="3233" priority="1793" stopIfTrue="1" operator="lessThan">
      <formula>0</formula>
    </cfRule>
  </conditionalFormatting>
  <conditionalFormatting sqref="AE357">
    <cfRule type="cellIs" dxfId="3232" priority="1792" stopIfTrue="1" operator="lessThan">
      <formula>0</formula>
    </cfRule>
  </conditionalFormatting>
  <conditionalFormatting sqref="AE358">
    <cfRule type="cellIs" dxfId="3231" priority="1791" stopIfTrue="1" operator="lessThan">
      <formula>0</formula>
    </cfRule>
  </conditionalFormatting>
  <conditionalFormatting sqref="AE359">
    <cfRule type="cellIs" dxfId="3230" priority="1790" stopIfTrue="1" operator="lessThan">
      <formula>0</formula>
    </cfRule>
  </conditionalFormatting>
  <conditionalFormatting sqref="AE360:AE362">
    <cfRule type="cellIs" dxfId="3229" priority="1789" stopIfTrue="1" operator="lessThan">
      <formula>0</formula>
    </cfRule>
  </conditionalFormatting>
  <conditionalFormatting sqref="AE363">
    <cfRule type="cellIs" dxfId="3228" priority="1788" stopIfTrue="1" operator="lessThan">
      <formula>0</formula>
    </cfRule>
  </conditionalFormatting>
  <conditionalFormatting sqref="AE364">
    <cfRule type="cellIs" dxfId="3227" priority="1787" stopIfTrue="1" operator="lessThan">
      <formula>0</formula>
    </cfRule>
  </conditionalFormatting>
  <conditionalFormatting sqref="AE365">
    <cfRule type="cellIs" dxfId="3226" priority="1786" stopIfTrue="1" operator="lessThan">
      <formula>0</formula>
    </cfRule>
  </conditionalFormatting>
  <conditionalFormatting sqref="AE366:AE368">
    <cfRule type="cellIs" dxfId="3225" priority="1785" stopIfTrue="1" operator="lessThan">
      <formula>0</formula>
    </cfRule>
  </conditionalFormatting>
  <conditionalFormatting sqref="AE369">
    <cfRule type="cellIs" dxfId="3224" priority="1784" stopIfTrue="1" operator="lessThan">
      <formula>0</formula>
    </cfRule>
  </conditionalFormatting>
  <conditionalFormatting sqref="AE370">
    <cfRule type="cellIs" dxfId="3223" priority="1783" stopIfTrue="1" operator="lessThan">
      <formula>0</formula>
    </cfRule>
  </conditionalFormatting>
  <conditionalFormatting sqref="AE371">
    <cfRule type="cellIs" dxfId="3222" priority="1782" stopIfTrue="1" operator="lessThan">
      <formula>0</formula>
    </cfRule>
  </conditionalFormatting>
  <conditionalFormatting sqref="AE372:AE374">
    <cfRule type="cellIs" dxfId="3221" priority="1781" stopIfTrue="1" operator="lessThan">
      <formula>0</formula>
    </cfRule>
  </conditionalFormatting>
  <conditionalFormatting sqref="AE375">
    <cfRule type="cellIs" dxfId="3220" priority="1780" stopIfTrue="1" operator="lessThan">
      <formula>0</formula>
    </cfRule>
  </conditionalFormatting>
  <conditionalFormatting sqref="AE376">
    <cfRule type="cellIs" dxfId="3219" priority="1779" stopIfTrue="1" operator="lessThan">
      <formula>0</formula>
    </cfRule>
  </conditionalFormatting>
  <conditionalFormatting sqref="AE377">
    <cfRule type="cellIs" dxfId="3218" priority="1778" stopIfTrue="1" operator="lessThan">
      <formula>0</formula>
    </cfRule>
  </conditionalFormatting>
  <conditionalFormatting sqref="AE378:AE380">
    <cfRule type="cellIs" dxfId="3217" priority="1777" stopIfTrue="1" operator="lessThan">
      <formula>0</formula>
    </cfRule>
  </conditionalFormatting>
  <conditionalFormatting sqref="AE381">
    <cfRule type="cellIs" dxfId="3216" priority="1776" stopIfTrue="1" operator="lessThan">
      <formula>0</formula>
    </cfRule>
  </conditionalFormatting>
  <conditionalFormatting sqref="AE382">
    <cfRule type="cellIs" dxfId="3215" priority="1775" stopIfTrue="1" operator="lessThan">
      <formula>0</formula>
    </cfRule>
  </conditionalFormatting>
  <conditionalFormatting sqref="AE384:AF384">
    <cfRule type="cellIs" dxfId="3214" priority="1774" stopIfTrue="1" operator="lessThan">
      <formula>0</formula>
    </cfRule>
  </conditionalFormatting>
  <conditionalFormatting sqref="AE385:AF385">
    <cfRule type="cellIs" dxfId="3213" priority="1773" stopIfTrue="1" operator="lessThan">
      <formula>0</formula>
    </cfRule>
  </conditionalFormatting>
  <conditionalFormatting sqref="AE386:AF388">
    <cfRule type="cellIs" dxfId="3212" priority="1772" stopIfTrue="1" operator="lessThan">
      <formula>0</formula>
    </cfRule>
  </conditionalFormatting>
  <conditionalFormatting sqref="AE389:AF389">
    <cfRule type="cellIs" dxfId="3211" priority="1771" stopIfTrue="1" operator="lessThan">
      <formula>0</formula>
    </cfRule>
  </conditionalFormatting>
  <conditionalFormatting sqref="AE390:AF401">
    <cfRule type="cellIs" dxfId="3210" priority="1770" stopIfTrue="1" operator="lessThan">
      <formula>0</formula>
    </cfRule>
  </conditionalFormatting>
  <conditionalFormatting sqref="AE410:AF414 AE417:AF436 AE415:AE416">
    <cfRule type="cellIs" dxfId="3209" priority="1769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08" priority="1768" stopIfTrue="1" operator="lessThan">
      <formula>0</formula>
    </cfRule>
  </conditionalFormatting>
  <conditionalFormatting sqref="AE553:AF555">
    <cfRule type="cellIs" dxfId="3207" priority="1767" stopIfTrue="1" operator="lessThan">
      <formula>0</formula>
    </cfRule>
  </conditionalFormatting>
  <conditionalFormatting sqref="AE559:AF561">
    <cfRule type="cellIs" dxfId="3206" priority="1766" stopIfTrue="1" operator="lessThan">
      <formula>0</formula>
    </cfRule>
  </conditionalFormatting>
  <conditionalFormatting sqref="AE582:AF584">
    <cfRule type="cellIs" dxfId="3205" priority="1765" stopIfTrue="1" operator="lessThan">
      <formula>0</formula>
    </cfRule>
  </conditionalFormatting>
  <conditionalFormatting sqref="AE571:AE573">
    <cfRule type="cellIs" dxfId="3204" priority="1764" stopIfTrue="1" operator="lessThan">
      <formula>0</formula>
    </cfRule>
  </conditionalFormatting>
  <conditionalFormatting sqref="AE595:AF597">
    <cfRule type="cellIs" dxfId="3203" priority="1763" stopIfTrue="1" operator="lessThan">
      <formula>0</formula>
    </cfRule>
  </conditionalFormatting>
  <conditionalFormatting sqref="AE602:AF603 AE604">
    <cfRule type="cellIs" dxfId="3202" priority="1762" stopIfTrue="1" operator="lessThan">
      <formula>0</formula>
    </cfRule>
  </conditionalFormatting>
  <conditionalFormatting sqref="AE605:AF605">
    <cfRule type="cellIs" dxfId="3201" priority="1761" stopIfTrue="1" operator="lessThan">
      <formula>0</formula>
    </cfRule>
  </conditionalFormatting>
  <conditionalFormatting sqref="AE606:AF607 AE608">
    <cfRule type="cellIs" dxfId="3200" priority="1760" stopIfTrue="1" operator="lessThan">
      <formula>0</formula>
    </cfRule>
  </conditionalFormatting>
  <conditionalFormatting sqref="AE609:AF609">
    <cfRule type="cellIs" dxfId="3199" priority="1759" stopIfTrue="1" operator="lessThan">
      <formula>0</formula>
    </cfRule>
  </conditionalFormatting>
  <conditionalFormatting sqref="AE610:AF612">
    <cfRule type="cellIs" dxfId="3198" priority="1758" stopIfTrue="1" operator="lessThan">
      <formula>0</formula>
    </cfRule>
  </conditionalFormatting>
  <conditionalFormatting sqref="AE613:AF613">
    <cfRule type="cellIs" dxfId="3197" priority="1757" stopIfTrue="1" operator="lessThan">
      <formula>0</formula>
    </cfRule>
  </conditionalFormatting>
  <conditionalFormatting sqref="AE614:AF616">
    <cfRule type="cellIs" dxfId="3196" priority="1756" stopIfTrue="1" operator="lessThan">
      <formula>0</formula>
    </cfRule>
  </conditionalFormatting>
  <conditionalFormatting sqref="AE617:AF617">
    <cfRule type="cellIs" dxfId="3195" priority="1755" stopIfTrue="1" operator="lessThan">
      <formula>0</formula>
    </cfRule>
  </conditionalFormatting>
  <conditionalFormatting sqref="AE618:AF620">
    <cfRule type="cellIs" dxfId="3194" priority="1754" stopIfTrue="1" operator="lessThan">
      <formula>0</formula>
    </cfRule>
  </conditionalFormatting>
  <conditionalFormatting sqref="AE621:AF621">
    <cfRule type="cellIs" dxfId="3193" priority="1753" stopIfTrue="1" operator="lessThan">
      <formula>0</formula>
    </cfRule>
  </conditionalFormatting>
  <conditionalFormatting sqref="AE622:AF624">
    <cfRule type="cellIs" dxfId="3192" priority="1752" stopIfTrue="1" operator="lessThan">
      <formula>0</formula>
    </cfRule>
  </conditionalFormatting>
  <conditionalFormatting sqref="AE625:AF625">
    <cfRule type="cellIs" dxfId="3191" priority="1751" stopIfTrue="1" operator="lessThan">
      <formula>0</formula>
    </cfRule>
  </conditionalFormatting>
  <conditionalFormatting sqref="AE626:AF628">
    <cfRule type="cellIs" dxfId="3190" priority="1750" stopIfTrue="1" operator="lessThan">
      <formula>0</formula>
    </cfRule>
  </conditionalFormatting>
  <conditionalFormatting sqref="AE629:AF629">
    <cfRule type="cellIs" dxfId="3189" priority="1749" stopIfTrue="1" operator="lessThan">
      <formula>0</formula>
    </cfRule>
  </conditionalFormatting>
  <conditionalFormatting sqref="AE630:AF632">
    <cfRule type="cellIs" dxfId="3188" priority="1748" stopIfTrue="1" operator="lessThan">
      <formula>0</formula>
    </cfRule>
  </conditionalFormatting>
  <conditionalFormatting sqref="AE633:AF633">
    <cfRule type="cellIs" dxfId="3187" priority="1747" stopIfTrue="1" operator="lessThan">
      <formula>0</formula>
    </cfRule>
  </conditionalFormatting>
  <conditionalFormatting sqref="AE634:AF636">
    <cfRule type="cellIs" dxfId="3186" priority="1746" stopIfTrue="1" operator="lessThan">
      <formula>0</formula>
    </cfRule>
  </conditionalFormatting>
  <conditionalFormatting sqref="AE637:AF637">
    <cfRule type="cellIs" dxfId="3185" priority="1745" stopIfTrue="1" operator="lessThan">
      <formula>0</formula>
    </cfRule>
  </conditionalFormatting>
  <conditionalFormatting sqref="AE638:AF639">
    <cfRule type="cellIs" dxfId="3184" priority="1744" stopIfTrue="1" operator="lessThan">
      <formula>0</formula>
    </cfRule>
  </conditionalFormatting>
  <conditionalFormatting sqref="AE641:AF641">
    <cfRule type="cellIs" dxfId="3183" priority="1743" stopIfTrue="1" operator="lessThan">
      <formula>0</formula>
    </cfRule>
  </conditionalFormatting>
  <conditionalFormatting sqref="AE642:AF644">
    <cfRule type="cellIs" dxfId="3182" priority="1742" stopIfTrue="1" operator="lessThan">
      <formula>0</formula>
    </cfRule>
  </conditionalFormatting>
  <conditionalFormatting sqref="AE645:AF645">
    <cfRule type="cellIs" dxfId="3181" priority="1741" stopIfTrue="1" operator="lessThan">
      <formula>0</formula>
    </cfRule>
  </conditionalFormatting>
  <conditionalFormatting sqref="AE646:AF648">
    <cfRule type="cellIs" dxfId="3180" priority="1740" stopIfTrue="1" operator="lessThan">
      <formula>0</formula>
    </cfRule>
  </conditionalFormatting>
  <conditionalFormatting sqref="AE649:AF649">
    <cfRule type="cellIs" dxfId="3179" priority="1739" stopIfTrue="1" operator="lessThan">
      <formula>0</formula>
    </cfRule>
  </conditionalFormatting>
  <conditionalFormatting sqref="AE650:AF651">
    <cfRule type="cellIs" dxfId="3178" priority="1738" stopIfTrue="1" operator="lessThan">
      <formula>0</formula>
    </cfRule>
  </conditionalFormatting>
  <conditionalFormatting sqref="AE652:AF652">
    <cfRule type="cellIs" dxfId="3177" priority="1737" stopIfTrue="1" operator="lessThan">
      <formula>0</formula>
    </cfRule>
  </conditionalFormatting>
  <conditionalFormatting sqref="AE653:AF655">
    <cfRule type="cellIs" dxfId="3176" priority="1736" stopIfTrue="1" operator="lessThan">
      <formula>0</formula>
    </cfRule>
  </conditionalFormatting>
  <conditionalFormatting sqref="AE656:AF656">
    <cfRule type="cellIs" dxfId="3175" priority="1735" stopIfTrue="1" operator="lessThan">
      <formula>0</formula>
    </cfRule>
  </conditionalFormatting>
  <conditionalFormatting sqref="AE657:AF659">
    <cfRule type="cellIs" dxfId="3174" priority="1734" stopIfTrue="1" operator="lessThan">
      <formula>0</formula>
    </cfRule>
  </conditionalFormatting>
  <conditionalFormatting sqref="AE660:AF660">
    <cfRule type="cellIs" dxfId="3173" priority="1733" stopIfTrue="1" operator="lessThan">
      <formula>0</formula>
    </cfRule>
  </conditionalFormatting>
  <conditionalFormatting sqref="AE661:AF662">
    <cfRule type="cellIs" dxfId="3172" priority="1732" stopIfTrue="1" operator="lessThan">
      <formula>0</formula>
    </cfRule>
  </conditionalFormatting>
  <conditionalFormatting sqref="AE663:AF663">
    <cfRule type="cellIs" dxfId="3171" priority="1731" stopIfTrue="1" operator="lessThan">
      <formula>0</formula>
    </cfRule>
  </conditionalFormatting>
  <conditionalFormatting sqref="AE664:AF664">
    <cfRule type="cellIs" dxfId="3170" priority="1730" stopIfTrue="1" operator="lessThan">
      <formula>0</formula>
    </cfRule>
  </conditionalFormatting>
  <conditionalFormatting sqref="AE665:AF666">
    <cfRule type="cellIs" dxfId="3169" priority="1729" stopIfTrue="1" operator="lessThan">
      <formula>0</formula>
    </cfRule>
  </conditionalFormatting>
  <conditionalFormatting sqref="AE668:AF668">
    <cfRule type="cellIs" dxfId="3168" priority="1728" stopIfTrue="1" operator="lessThan">
      <formula>0</formula>
    </cfRule>
  </conditionalFormatting>
  <conditionalFormatting sqref="AE669:AF671">
    <cfRule type="cellIs" dxfId="3167" priority="1727" stopIfTrue="1" operator="lessThan">
      <formula>0</formula>
    </cfRule>
  </conditionalFormatting>
  <conditionalFormatting sqref="AE672:AF672">
    <cfRule type="cellIs" dxfId="3166" priority="1726" stopIfTrue="1" operator="lessThan">
      <formula>0</formula>
    </cfRule>
  </conditionalFormatting>
  <conditionalFormatting sqref="AE673:AF675">
    <cfRule type="cellIs" dxfId="3165" priority="1725" stopIfTrue="1" operator="lessThan">
      <formula>0</formula>
    </cfRule>
  </conditionalFormatting>
  <conditionalFormatting sqref="AE676:AF676">
    <cfRule type="cellIs" dxfId="3164" priority="1724" stopIfTrue="1" operator="lessThan">
      <formula>0</formula>
    </cfRule>
  </conditionalFormatting>
  <conditionalFormatting sqref="AE677:AF678">
    <cfRule type="cellIs" dxfId="3163" priority="1723" stopIfTrue="1" operator="lessThan">
      <formula>0</formula>
    </cfRule>
  </conditionalFormatting>
  <conditionalFormatting sqref="AE679:AF679">
    <cfRule type="cellIs" dxfId="3162" priority="1722" stopIfTrue="1" operator="lessThan">
      <formula>0</formula>
    </cfRule>
  </conditionalFormatting>
  <conditionalFormatting sqref="AE680:AF682">
    <cfRule type="cellIs" dxfId="3161" priority="1721" stopIfTrue="1" operator="lessThan">
      <formula>0</formula>
    </cfRule>
  </conditionalFormatting>
  <conditionalFormatting sqref="AE683:AF683">
    <cfRule type="cellIs" dxfId="3160" priority="1720" stopIfTrue="1" operator="lessThan">
      <formula>0</formula>
    </cfRule>
  </conditionalFormatting>
  <conditionalFormatting sqref="AE684:AF686">
    <cfRule type="cellIs" dxfId="3159" priority="1719" stopIfTrue="1" operator="lessThan">
      <formula>0</formula>
    </cfRule>
  </conditionalFormatting>
  <conditionalFormatting sqref="AE687:AF687">
    <cfRule type="cellIs" dxfId="3158" priority="1718" stopIfTrue="1" operator="lessThan">
      <formula>0</formula>
    </cfRule>
  </conditionalFormatting>
  <conditionalFormatting sqref="AE688:AF689">
    <cfRule type="cellIs" dxfId="3157" priority="1717" stopIfTrue="1" operator="lessThan">
      <formula>0</formula>
    </cfRule>
  </conditionalFormatting>
  <conditionalFormatting sqref="AE690:AF690">
    <cfRule type="cellIs" dxfId="3156" priority="1716" stopIfTrue="1" operator="lessThan">
      <formula>0</formula>
    </cfRule>
  </conditionalFormatting>
  <conditionalFormatting sqref="AE691:AF691">
    <cfRule type="cellIs" dxfId="3155" priority="1715" stopIfTrue="1" operator="lessThan">
      <formula>0</formula>
    </cfRule>
  </conditionalFormatting>
  <conditionalFormatting sqref="AE692:AF693">
    <cfRule type="cellIs" dxfId="3154" priority="1714" stopIfTrue="1" operator="lessThan">
      <formula>0</formula>
    </cfRule>
  </conditionalFormatting>
  <conditionalFormatting sqref="AE694:AF694">
    <cfRule type="cellIs" dxfId="3153" priority="1713" stopIfTrue="1" operator="lessThan">
      <formula>0</formula>
    </cfRule>
  </conditionalFormatting>
  <conditionalFormatting sqref="AE695:AF697">
    <cfRule type="cellIs" dxfId="3152" priority="1712" stopIfTrue="1" operator="lessThan">
      <formula>0</formula>
    </cfRule>
  </conditionalFormatting>
  <conditionalFormatting sqref="AE698:AF698">
    <cfRule type="cellIs" dxfId="3151" priority="1711" stopIfTrue="1" operator="lessThan">
      <formula>0</formula>
    </cfRule>
  </conditionalFormatting>
  <conditionalFormatting sqref="AE699:AF701">
    <cfRule type="cellIs" dxfId="3150" priority="1710" stopIfTrue="1" operator="lessThan">
      <formula>0</formula>
    </cfRule>
  </conditionalFormatting>
  <conditionalFormatting sqref="AE702:AF702">
    <cfRule type="cellIs" dxfId="3149" priority="1709" stopIfTrue="1" operator="lessThan">
      <formula>0</formula>
    </cfRule>
  </conditionalFormatting>
  <conditionalFormatting sqref="AE703:AF704">
    <cfRule type="cellIs" dxfId="3148" priority="1708" stopIfTrue="1" operator="lessThan">
      <formula>0</formula>
    </cfRule>
  </conditionalFormatting>
  <conditionalFormatting sqref="AE705:AF705">
    <cfRule type="cellIs" dxfId="3147" priority="1707" stopIfTrue="1" operator="lessThan">
      <formula>0</formula>
    </cfRule>
  </conditionalFormatting>
  <conditionalFormatting sqref="AE706:AF708">
    <cfRule type="cellIs" dxfId="3146" priority="1706" stopIfTrue="1" operator="lessThan">
      <formula>0</formula>
    </cfRule>
  </conditionalFormatting>
  <conditionalFormatting sqref="AE709:AF709">
    <cfRule type="cellIs" dxfId="3145" priority="1705" stopIfTrue="1" operator="lessThan">
      <formula>0</formula>
    </cfRule>
  </conditionalFormatting>
  <conditionalFormatting sqref="AE710:AF712">
    <cfRule type="cellIs" dxfId="3144" priority="1704" stopIfTrue="1" operator="lessThan">
      <formula>0</formula>
    </cfRule>
  </conditionalFormatting>
  <conditionalFormatting sqref="AE713:AF713">
    <cfRule type="cellIs" dxfId="3143" priority="1703" stopIfTrue="1" operator="lessThan">
      <formula>0</formula>
    </cfRule>
  </conditionalFormatting>
  <conditionalFormatting sqref="AE714:AF715">
    <cfRule type="cellIs" dxfId="3142" priority="1702" stopIfTrue="1" operator="lessThan">
      <formula>0</formula>
    </cfRule>
  </conditionalFormatting>
  <conditionalFormatting sqref="AE716:AF716">
    <cfRule type="cellIs" dxfId="3141" priority="1701" stopIfTrue="1" operator="lessThan">
      <formula>0</formula>
    </cfRule>
  </conditionalFormatting>
  <conditionalFormatting sqref="AE717:AF717">
    <cfRule type="cellIs" dxfId="3140" priority="1700" stopIfTrue="1" operator="lessThan">
      <formula>0</formula>
    </cfRule>
  </conditionalFormatting>
  <conditionalFormatting sqref="AE718:AF719">
    <cfRule type="cellIs" dxfId="3139" priority="1699" stopIfTrue="1" operator="lessThan">
      <formula>0</formula>
    </cfRule>
  </conditionalFormatting>
  <conditionalFormatting sqref="AE720:AF720">
    <cfRule type="cellIs" dxfId="3138" priority="1698" stopIfTrue="1" operator="lessThan">
      <formula>0</formula>
    </cfRule>
  </conditionalFormatting>
  <conditionalFormatting sqref="AE721:AF723">
    <cfRule type="cellIs" dxfId="3137" priority="1697" stopIfTrue="1" operator="lessThan">
      <formula>0</formula>
    </cfRule>
  </conditionalFormatting>
  <conditionalFormatting sqref="AE724:AF724">
    <cfRule type="cellIs" dxfId="3136" priority="1696" stopIfTrue="1" operator="lessThan">
      <formula>0</formula>
    </cfRule>
  </conditionalFormatting>
  <conditionalFormatting sqref="AE725:AF727">
    <cfRule type="cellIs" dxfId="3135" priority="1695" stopIfTrue="1" operator="lessThan">
      <formula>0</formula>
    </cfRule>
  </conditionalFormatting>
  <conditionalFormatting sqref="AE728:AF728">
    <cfRule type="cellIs" dxfId="3134" priority="1694" stopIfTrue="1" operator="lessThan">
      <formula>0</formula>
    </cfRule>
  </conditionalFormatting>
  <conditionalFormatting sqref="AE729:AF730">
    <cfRule type="cellIs" dxfId="3133" priority="1693" stopIfTrue="1" operator="lessThan">
      <formula>0</formula>
    </cfRule>
  </conditionalFormatting>
  <conditionalFormatting sqref="AE731:AF731">
    <cfRule type="cellIs" dxfId="3132" priority="1692" stopIfTrue="1" operator="lessThan">
      <formula>0</formula>
    </cfRule>
  </conditionalFormatting>
  <conditionalFormatting sqref="AE732:AF734">
    <cfRule type="cellIs" dxfId="3131" priority="1691" stopIfTrue="1" operator="lessThan">
      <formula>0</formula>
    </cfRule>
  </conditionalFormatting>
  <conditionalFormatting sqref="AE735:AF735">
    <cfRule type="cellIs" dxfId="3130" priority="1690" stopIfTrue="1" operator="lessThan">
      <formula>0</formula>
    </cfRule>
  </conditionalFormatting>
  <conditionalFormatting sqref="AE736:AF738">
    <cfRule type="cellIs" dxfId="3129" priority="1689" stopIfTrue="1" operator="lessThan">
      <formula>0</formula>
    </cfRule>
  </conditionalFormatting>
  <conditionalFormatting sqref="AE739">
    <cfRule type="cellIs" dxfId="3128" priority="1688" stopIfTrue="1" operator="lessThan">
      <formula>0</formula>
    </cfRule>
  </conditionalFormatting>
  <conditionalFormatting sqref="AE740:AE741">
    <cfRule type="cellIs" dxfId="3127" priority="1687" stopIfTrue="1" operator="lessThan">
      <formula>0</formula>
    </cfRule>
  </conditionalFormatting>
  <conditionalFormatting sqref="AE742:AF742">
    <cfRule type="cellIs" dxfId="3126" priority="1686" stopIfTrue="1" operator="lessThan">
      <formula>0</formula>
    </cfRule>
  </conditionalFormatting>
  <conditionalFormatting sqref="AE743:AF743">
    <cfRule type="cellIs" dxfId="3125" priority="1685" stopIfTrue="1" operator="lessThan">
      <formula>0</formula>
    </cfRule>
  </conditionalFormatting>
  <conditionalFormatting sqref="AE744:AF745">
    <cfRule type="cellIs" dxfId="3124" priority="1684" stopIfTrue="1" operator="lessThan">
      <formula>0</formula>
    </cfRule>
  </conditionalFormatting>
  <conditionalFormatting sqref="AE746:AF746">
    <cfRule type="cellIs" dxfId="3123" priority="1683" stopIfTrue="1" operator="lessThan">
      <formula>0</formula>
    </cfRule>
  </conditionalFormatting>
  <conditionalFormatting sqref="AE747:AF749">
    <cfRule type="cellIs" dxfId="3122" priority="1682" stopIfTrue="1" operator="lessThan">
      <formula>0</formula>
    </cfRule>
  </conditionalFormatting>
  <conditionalFormatting sqref="AE750:AF750">
    <cfRule type="cellIs" dxfId="3121" priority="1681" stopIfTrue="1" operator="lessThan">
      <formula>0</formula>
    </cfRule>
  </conditionalFormatting>
  <conditionalFormatting sqref="AE751:AF753">
    <cfRule type="cellIs" dxfId="3120" priority="1680" stopIfTrue="1" operator="lessThan">
      <formula>0</formula>
    </cfRule>
  </conditionalFormatting>
  <conditionalFormatting sqref="AE754:AF754">
    <cfRule type="cellIs" dxfId="3119" priority="1679" stopIfTrue="1" operator="lessThan">
      <formula>0</formula>
    </cfRule>
  </conditionalFormatting>
  <conditionalFormatting sqref="AE755:AF756">
    <cfRule type="cellIs" dxfId="3118" priority="1678" stopIfTrue="1" operator="lessThan">
      <formula>0</formula>
    </cfRule>
  </conditionalFormatting>
  <conditionalFormatting sqref="AE757:AF757">
    <cfRule type="cellIs" dxfId="3117" priority="1677" stopIfTrue="1" operator="lessThan">
      <formula>0</formula>
    </cfRule>
  </conditionalFormatting>
  <conditionalFormatting sqref="AE758:AF758 AE759">
    <cfRule type="cellIs" dxfId="3116" priority="1676" stopIfTrue="1" operator="lessThan">
      <formula>0</formula>
    </cfRule>
  </conditionalFormatting>
  <conditionalFormatting sqref="AE761">
    <cfRule type="cellIs" dxfId="3115" priority="1675" stopIfTrue="1" operator="lessThan">
      <formula>0</formula>
    </cfRule>
  </conditionalFormatting>
  <conditionalFormatting sqref="AE762:AF764">
    <cfRule type="cellIs" dxfId="3114" priority="1674" stopIfTrue="1" operator="lessThan">
      <formula>0</formula>
    </cfRule>
  </conditionalFormatting>
  <conditionalFormatting sqref="AE765:AF765">
    <cfRule type="cellIs" dxfId="3113" priority="1673" stopIfTrue="1" operator="lessThan">
      <formula>0</formula>
    </cfRule>
  </conditionalFormatting>
  <conditionalFormatting sqref="AE766:AF767">
    <cfRule type="cellIs" dxfId="3112" priority="1672" stopIfTrue="1" operator="lessThan">
      <formula>0</formula>
    </cfRule>
  </conditionalFormatting>
  <conditionalFormatting sqref="AE768:AF768">
    <cfRule type="cellIs" dxfId="3111" priority="1671" stopIfTrue="1" operator="lessThan">
      <formula>0</formula>
    </cfRule>
  </conditionalFormatting>
  <conditionalFormatting sqref="AE769:AF769">
    <cfRule type="cellIs" dxfId="3110" priority="1670" stopIfTrue="1" operator="lessThan">
      <formula>0</formula>
    </cfRule>
  </conditionalFormatting>
  <conditionalFormatting sqref="AE770:AF771">
    <cfRule type="cellIs" dxfId="3109" priority="1669" stopIfTrue="1" operator="lessThan">
      <formula>0</formula>
    </cfRule>
  </conditionalFormatting>
  <conditionalFormatting sqref="AE772:AF772">
    <cfRule type="cellIs" dxfId="3108" priority="1668" stopIfTrue="1" operator="lessThan">
      <formula>0</formula>
    </cfRule>
  </conditionalFormatting>
  <conditionalFormatting sqref="AE773:AF775">
    <cfRule type="cellIs" dxfId="3107" priority="1667" stopIfTrue="1" operator="lessThan">
      <formula>0</formula>
    </cfRule>
  </conditionalFormatting>
  <conditionalFormatting sqref="AE776:AF776">
    <cfRule type="cellIs" dxfId="3106" priority="1666" stopIfTrue="1" operator="lessThan">
      <formula>0</formula>
    </cfRule>
  </conditionalFormatting>
  <conditionalFormatting sqref="AE777:AF779">
    <cfRule type="cellIs" dxfId="3105" priority="1665" stopIfTrue="1" operator="lessThan">
      <formula>0</formula>
    </cfRule>
  </conditionalFormatting>
  <conditionalFormatting sqref="AE780:AF780">
    <cfRule type="cellIs" dxfId="3104" priority="1664" stopIfTrue="1" operator="lessThan">
      <formula>0</formula>
    </cfRule>
  </conditionalFormatting>
  <conditionalFormatting sqref="AE781:AF782">
    <cfRule type="cellIs" dxfId="3103" priority="1663" stopIfTrue="1" operator="lessThan">
      <formula>0</formula>
    </cfRule>
  </conditionalFormatting>
  <conditionalFormatting sqref="AE783:AF783">
    <cfRule type="cellIs" dxfId="3102" priority="1662" stopIfTrue="1" operator="lessThan">
      <formula>0</formula>
    </cfRule>
  </conditionalFormatting>
  <conditionalFormatting sqref="AE784:AF786">
    <cfRule type="cellIs" dxfId="3101" priority="1661" stopIfTrue="1" operator="lessThan">
      <formula>0</formula>
    </cfRule>
  </conditionalFormatting>
  <conditionalFormatting sqref="AE787:AF787">
    <cfRule type="cellIs" dxfId="3100" priority="1660" stopIfTrue="1" operator="lessThan">
      <formula>0</formula>
    </cfRule>
  </conditionalFormatting>
  <conditionalFormatting sqref="AE788:AF790">
    <cfRule type="cellIs" dxfId="3099" priority="1659" stopIfTrue="1" operator="lessThan">
      <formula>0</formula>
    </cfRule>
  </conditionalFormatting>
  <conditionalFormatting sqref="AE791:AF791">
    <cfRule type="cellIs" dxfId="3098" priority="1658" stopIfTrue="1" operator="lessThan">
      <formula>0</formula>
    </cfRule>
  </conditionalFormatting>
  <conditionalFormatting sqref="AE792:AF793">
    <cfRule type="cellIs" dxfId="3097" priority="1657" stopIfTrue="1" operator="lessThan">
      <formula>0</formula>
    </cfRule>
  </conditionalFormatting>
  <conditionalFormatting sqref="AE794:AF794">
    <cfRule type="cellIs" dxfId="3096" priority="1656" stopIfTrue="1" operator="lessThan">
      <formula>0</formula>
    </cfRule>
  </conditionalFormatting>
  <conditionalFormatting sqref="AE795:AF795">
    <cfRule type="cellIs" dxfId="3095" priority="1655" stopIfTrue="1" operator="lessThan">
      <formula>0</formula>
    </cfRule>
  </conditionalFormatting>
  <conditionalFormatting sqref="AE796:AF797">
    <cfRule type="cellIs" dxfId="3094" priority="1654" stopIfTrue="1" operator="lessThan">
      <formula>0</formula>
    </cfRule>
  </conditionalFormatting>
  <conditionalFormatting sqref="AE798:AF798">
    <cfRule type="cellIs" dxfId="3093" priority="1653" stopIfTrue="1" operator="lessThan">
      <formula>0</formula>
    </cfRule>
  </conditionalFormatting>
  <conditionalFormatting sqref="AE799:AF801">
    <cfRule type="cellIs" dxfId="3092" priority="1652" stopIfTrue="1" operator="lessThan">
      <formula>0</formula>
    </cfRule>
  </conditionalFormatting>
  <conditionalFormatting sqref="AE802:AF802">
    <cfRule type="cellIs" dxfId="3091" priority="1651" stopIfTrue="1" operator="lessThan">
      <formula>0</formula>
    </cfRule>
  </conditionalFormatting>
  <conditionalFormatting sqref="AE803:AF805">
    <cfRule type="cellIs" dxfId="3090" priority="1650" stopIfTrue="1" operator="lessThan">
      <formula>0</formula>
    </cfRule>
  </conditionalFormatting>
  <conditionalFormatting sqref="AE806:AF806">
    <cfRule type="cellIs" dxfId="3089" priority="1649" stopIfTrue="1" operator="lessThan">
      <formula>0</formula>
    </cfRule>
  </conditionalFormatting>
  <conditionalFormatting sqref="AE807:AF808">
    <cfRule type="cellIs" dxfId="3088" priority="1648" stopIfTrue="1" operator="lessThan">
      <formula>0</formula>
    </cfRule>
  </conditionalFormatting>
  <conditionalFormatting sqref="AE809:AF809">
    <cfRule type="cellIs" dxfId="3087" priority="1647" stopIfTrue="1" operator="lessThan">
      <formula>0</formula>
    </cfRule>
  </conditionalFormatting>
  <conditionalFormatting sqref="AE810:AF812">
    <cfRule type="cellIs" dxfId="3086" priority="1646" stopIfTrue="1" operator="lessThan">
      <formula>0</formula>
    </cfRule>
  </conditionalFormatting>
  <conditionalFormatting sqref="AE813:AF813">
    <cfRule type="cellIs" dxfId="3085" priority="1645" stopIfTrue="1" operator="lessThan">
      <formula>0</formula>
    </cfRule>
  </conditionalFormatting>
  <conditionalFormatting sqref="AE814:AF816">
    <cfRule type="cellIs" dxfId="3084" priority="1644" stopIfTrue="1" operator="lessThan">
      <formula>0</formula>
    </cfRule>
  </conditionalFormatting>
  <conditionalFormatting sqref="AE817:AF817">
    <cfRule type="cellIs" dxfId="3083" priority="1643" stopIfTrue="1" operator="lessThan">
      <formula>0</formula>
    </cfRule>
  </conditionalFormatting>
  <conditionalFormatting sqref="AE818:AF819">
    <cfRule type="cellIs" dxfId="3082" priority="1642" stopIfTrue="1" operator="lessThan">
      <formula>0</formula>
    </cfRule>
  </conditionalFormatting>
  <conditionalFormatting sqref="AE820:AF820">
    <cfRule type="cellIs" dxfId="3081" priority="1641" stopIfTrue="1" operator="lessThan">
      <formula>0</formula>
    </cfRule>
  </conditionalFormatting>
  <conditionalFormatting sqref="AE821:AF821">
    <cfRule type="cellIs" dxfId="3080" priority="1640" stopIfTrue="1" operator="lessThan">
      <formula>0</formula>
    </cfRule>
  </conditionalFormatting>
  <conditionalFormatting sqref="AE822:AF823">
    <cfRule type="cellIs" dxfId="3079" priority="1639" stopIfTrue="1" operator="lessThan">
      <formula>0</formula>
    </cfRule>
  </conditionalFormatting>
  <conditionalFormatting sqref="AE824:AF824">
    <cfRule type="cellIs" dxfId="3078" priority="1638" stopIfTrue="1" operator="lessThan">
      <formula>0</formula>
    </cfRule>
  </conditionalFormatting>
  <conditionalFormatting sqref="AE825:AF825">
    <cfRule type="cellIs" dxfId="3077" priority="1637" stopIfTrue="1" operator="lessThan">
      <formula>0</formula>
    </cfRule>
  </conditionalFormatting>
  <conditionalFormatting sqref="AE826:AF826">
    <cfRule type="cellIs" dxfId="3076" priority="1636" stopIfTrue="1" operator="lessThan">
      <formula>0</formula>
    </cfRule>
  </conditionalFormatting>
  <conditionalFormatting sqref="AE827:AF828">
    <cfRule type="cellIs" dxfId="3075" priority="1635" stopIfTrue="1" operator="lessThan">
      <formula>0</formula>
    </cfRule>
  </conditionalFormatting>
  <conditionalFormatting sqref="O336:P337">
    <cfRule type="cellIs" dxfId="3074" priority="1634" stopIfTrue="1" operator="lessThan">
      <formula>0</formula>
    </cfRule>
  </conditionalFormatting>
  <conditionalFormatting sqref="Q336:Q337">
    <cfRule type="cellIs" dxfId="3073" priority="1633" stopIfTrue="1" operator="lessThan">
      <formula>0</formula>
    </cfRule>
  </conditionalFormatting>
  <conditionalFormatting sqref="AC336:AD337">
    <cfRule type="cellIs" dxfId="3072" priority="1632" stopIfTrue="1" operator="lessThan">
      <formula>0</formula>
    </cfRule>
  </conditionalFormatting>
  <conditionalFormatting sqref="AE336:AE337">
    <cfRule type="cellIs" dxfId="3071" priority="1631" stopIfTrue="1" operator="lessThan">
      <formula>0</formula>
    </cfRule>
  </conditionalFormatting>
  <conditionalFormatting sqref="AC54:AF69">
    <cfRule type="cellIs" dxfId="3070" priority="1628" stopIfTrue="1" operator="lessThan">
      <formula>0</formula>
    </cfRule>
  </conditionalFormatting>
  <conditionalFormatting sqref="AK6:AM6">
    <cfRule type="cellIs" dxfId="3069" priority="1627" stopIfTrue="1" operator="equal">
      <formula>0</formula>
    </cfRule>
  </conditionalFormatting>
  <conditionalFormatting sqref="D4">
    <cfRule type="cellIs" dxfId="3068" priority="1618" stopIfTrue="1" operator="between">
      <formula>1000000000000</formula>
      <formula>9999999999999990</formula>
    </cfRule>
    <cfRule type="cellIs" dxfId="3067" priority="1619" stopIfTrue="1" operator="between">
      <formula>1000000000</formula>
      <formula>999999999999</formula>
    </cfRule>
    <cfRule type="cellIs" dxfId="3066" priority="1620" stopIfTrue="1" operator="between">
      <formula>10000</formula>
      <formula>99999999</formula>
    </cfRule>
    <cfRule type="cellIs" dxfId="3065" priority="1621" stopIfTrue="1" operator="between">
      <formula>10</formula>
      <formula>9999</formula>
    </cfRule>
  </conditionalFormatting>
  <conditionalFormatting sqref="D4">
    <cfRule type="cellIs" dxfId="3064" priority="1617" operator="equal">
      <formula>0</formula>
    </cfRule>
  </conditionalFormatting>
  <conditionalFormatting sqref="A3:C5">
    <cfRule type="cellIs" dxfId="3063" priority="1615" operator="equal">
      <formula>"Код на общински разпоредител с бюджет"</formula>
    </cfRule>
  </conditionalFormatting>
  <conditionalFormatting sqref="AF739:AF740">
    <cfRule type="cellIs" dxfId="3062" priority="1607" stopIfTrue="1" operator="lessThan">
      <formula>0</formula>
    </cfRule>
  </conditionalFormatting>
  <conditionalFormatting sqref="AF759">
    <cfRule type="cellIs" dxfId="3061" priority="1606" stopIfTrue="1" operator="lessThan">
      <formula>0</formula>
    </cfRule>
  </conditionalFormatting>
  <conditionalFormatting sqref="AF761">
    <cfRule type="cellIs" dxfId="3060" priority="1605" stopIfTrue="1" operator="lessThan">
      <formula>0</formula>
    </cfRule>
  </conditionalFormatting>
  <conditionalFormatting sqref="R739">
    <cfRule type="cellIs" dxfId="3059" priority="1604" stopIfTrue="1" operator="lessThan">
      <formula>0</formula>
    </cfRule>
  </conditionalFormatting>
  <conditionalFormatting sqref="R740">
    <cfRule type="cellIs" dxfId="3058" priority="1603" stopIfTrue="1" operator="lessThan">
      <formula>0</formula>
    </cfRule>
  </conditionalFormatting>
  <conditionalFormatting sqref="R741">
    <cfRule type="cellIs" dxfId="3057" priority="1602" stopIfTrue="1" operator="lessThan">
      <formula>0</formula>
    </cfRule>
  </conditionalFormatting>
  <conditionalFormatting sqref="AF741">
    <cfRule type="cellIs" dxfId="3056" priority="1601" stopIfTrue="1" operator="lessThan">
      <formula>0</formula>
    </cfRule>
  </conditionalFormatting>
  <conditionalFormatting sqref="AV13">
    <cfRule type="cellIs" dxfId="3055" priority="1600" operator="notEqual">
      <formula>0</formula>
    </cfRule>
  </conditionalFormatting>
  <conditionalFormatting sqref="AV12">
    <cfRule type="cellIs" dxfId="3054" priority="1599" operator="notEqual">
      <formula>0</formula>
    </cfRule>
  </conditionalFormatting>
  <conditionalFormatting sqref="AV10">
    <cfRule type="cellIs" dxfId="3053" priority="1598" operator="notEqual">
      <formula>0</formula>
    </cfRule>
  </conditionalFormatting>
  <conditionalFormatting sqref="AW13">
    <cfRule type="cellIs" dxfId="3052" priority="1597" operator="notEqual">
      <formula>0</formula>
    </cfRule>
  </conditionalFormatting>
  <conditionalFormatting sqref="AW12">
    <cfRule type="cellIs" dxfId="3051" priority="1596" operator="notEqual">
      <formula>0</formula>
    </cfRule>
  </conditionalFormatting>
  <conditionalFormatting sqref="AW10">
    <cfRule type="cellIs" dxfId="3050" priority="1595" operator="notEqual">
      <formula>0</formula>
    </cfRule>
  </conditionalFormatting>
  <conditionalFormatting sqref="AX13">
    <cfRule type="cellIs" dxfId="3049" priority="1594" operator="notEqual">
      <formula>0</formula>
    </cfRule>
  </conditionalFormatting>
  <conditionalFormatting sqref="AX12">
    <cfRule type="cellIs" dxfId="3048" priority="1593" operator="notEqual">
      <formula>0</formula>
    </cfRule>
  </conditionalFormatting>
  <conditionalFormatting sqref="AX10">
    <cfRule type="cellIs" dxfId="3047" priority="1592" operator="notEqual">
      <formula>0</formula>
    </cfRule>
  </conditionalFormatting>
  <conditionalFormatting sqref="AV8:AX8">
    <cfRule type="cellIs" dxfId="3046" priority="1591" operator="notEqual">
      <formula>0</formula>
    </cfRule>
  </conditionalFormatting>
  <conditionalFormatting sqref="AV16">
    <cfRule type="cellIs" dxfId="3045" priority="1584" operator="equal">
      <formula>1</formula>
    </cfRule>
    <cfRule type="cellIs" dxfId="3044" priority="1585" operator="notEqual">
      <formula>0</formula>
    </cfRule>
  </conditionalFormatting>
  <conditionalFormatting sqref="AV90:AV93">
    <cfRule type="cellIs" dxfId="3043" priority="1582" operator="equal">
      <formula>1</formula>
    </cfRule>
    <cfRule type="cellIs" dxfId="3042" priority="1583" operator="notEqual">
      <formula>0</formula>
    </cfRule>
  </conditionalFormatting>
  <conditionalFormatting sqref="AV179">
    <cfRule type="cellIs" dxfId="3041" priority="1580" operator="equal">
      <formula>1</formula>
    </cfRule>
    <cfRule type="cellIs" dxfId="3040" priority="1581" operator="notEqual">
      <formula>0</formula>
    </cfRule>
  </conditionalFormatting>
  <conditionalFormatting sqref="AV26">
    <cfRule type="cellIs" dxfId="3039" priority="1559" operator="notEqual">
      <formula>0</formula>
    </cfRule>
  </conditionalFormatting>
  <conditionalFormatting sqref="AR27:AT53 X27:AA53 AK27:AN53 AC27:AF53 R27:R53">
    <cfRule type="cellIs" dxfId="3038" priority="1558" stopIfTrue="1" operator="lessThan">
      <formula>0</formula>
    </cfRule>
  </conditionalFormatting>
  <conditionalFormatting sqref="AV27:AV53">
    <cfRule type="cellIs" dxfId="3037" priority="1553" operator="notEqual">
      <formula>0</formula>
    </cfRule>
  </conditionalFormatting>
  <conditionalFormatting sqref="T117">
    <cfRule type="cellIs" dxfId="3036" priority="1513" stopIfTrue="1" operator="lessThan">
      <formula>0</formula>
    </cfRule>
  </conditionalFormatting>
  <conditionalFormatting sqref="T117">
    <cfRule type="expression" dxfId="3035" priority="1510">
      <formula>#REF!&lt;0</formula>
    </cfRule>
    <cfRule type="expression" dxfId="3034" priority="1511">
      <formula>AND($N$4="12",ABS(#REF!+#REF!)&gt;ABS(#REF!+#REF!),#REF!+#REF!&lt;0)</formula>
    </cfRule>
    <cfRule type="expression" dxfId="3033" priority="1512">
      <formula>AND(ABS(#REF!+#REF!)&gt;ABS(#REF!+#REF!),#REF!+#REF!&gt;0)</formula>
    </cfRule>
  </conditionalFormatting>
  <conditionalFormatting sqref="AH115">
    <cfRule type="cellIs" dxfId="3032" priority="1508" stopIfTrue="1" operator="lessThan">
      <formula>0</formula>
    </cfRule>
  </conditionalFormatting>
  <conditionalFormatting sqref="AH115">
    <cfRule type="expression" dxfId="3031" priority="1505">
      <formula>#REF!&lt;0</formula>
    </cfRule>
    <cfRule type="expression" dxfId="3030" priority="1506">
      <formula>AND($N$4="12",ABS(#REF!+#REF!)&gt;ABS(#REF!+#REF!),#REF!+#REF!&lt;0)</formula>
    </cfRule>
    <cfRule type="expression" dxfId="3029" priority="1507">
      <formula>AND(ABS(#REF!+#REF!)&gt;ABS(#REF!+#REF!),#REF!+#REF!&gt;0)</formula>
    </cfRule>
  </conditionalFormatting>
  <conditionalFormatting sqref="AH117">
    <cfRule type="cellIs" dxfId="3028" priority="1504" stopIfTrue="1" operator="lessThan">
      <formula>0</formula>
    </cfRule>
  </conditionalFormatting>
  <conditionalFormatting sqref="AH117">
    <cfRule type="expression" dxfId="3027" priority="1501">
      <formula>#REF!&lt;0</formula>
    </cfRule>
    <cfRule type="expression" dxfId="3026" priority="1502">
      <formula>AND($N$4="12",ABS(#REF!+#REF!)&gt;ABS(#REF!+#REF!),#REF!+#REF!&lt;0)</formula>
    </cfRule>
    <cfRule type="expression" dxfId="3025" priority="1503">
      <formula>AND(ABS(#REF!+#REF!)&gt;ABS(#REF!+#REF!),#REF!+#REF!&gt;0)</formula>
    </cfRule>
  </conditionalFormatting>
  <conditionalFormatting sqref="T115">
    <cfRule type="cellIs" dxfId="3024" priority="1464" stopIfTrue="1" operator="lessThan">
      <formula>0</formula>
    </cfRule>
  </conditionalFormatting>
  <conditionalFormatting sqref="T115">
    <cfRule type="expression" dxfId="3023" priority="1461">
      <formula>#REF!&lt;0</formula>
    </cfRule>
    <cfRule type="expression" dxfId="3022" priority="1462">
      <formula>AND($N$4="12",ABS(#REF!+#REF!)&gt;ABS(#REF!+#REF!),#REF!+#REF!&lt;0)</formula>
    </cfRule>
    <cfRule type="expression" dxfId="3021" priority="1463">
      <formula>AND(ABS(#REF!+#REF!)&gt;ABS(#REF!+#REF!),#REF!+#REF!&gt;0)</formula>
    </cfRule>
  </conditionalFormatting>
  <conditionalFormatting sqref="R56">
    <cfRule type="cellIs" dxfId="3020" priority="1452" stopIfTrue="1" operator="lessThan">
      <formula>0</formula>
    </cfRule>
  </conditionalFormatting>
  <conditionalFormatting sqref="R57:R59">
    <cfRule type="cellIs" dxfId="3019" priority="1447" stopIfTrue="1" operator="lessThan">
      <formula>0</formula>
    </cfRule>
  </conditionalFormatting>
  <conditionalFormatting sqref="R62:R69">
    <cfRule type="cellIs" dxfId="3018" priority="1442" stopIfTrue="1" operator="lessThan">
      <formula>0</formula>
    </cfRule>
  </conditionalFormatting>
  <conditionalFormatting sqref="R114">
    <cfRule type="cellIs" dxfId="3017" priority="1437" stopIfTrue="1" operator="lessThan">
      <formula>0</formula>
    </cfRule>
  </conditionalFormatting>
  <conditionalFormatting sqref="R116">
    <cfRule type="cellIs" dxfId="3016" priority="1432" stopIfTrue="1" operator="lessThan">
      <formula>0</formula>
    </cfRule>
  </conditionalFormatting>
  <conditionalFormatting sqref="R132:R133">
    <cfRule type="cellIs" dxfId="3015" priority="1402" stopIfTrue="1" operator="lessThan">
      <formula>0</formula>
    </cfRule>
  </conditionalFormatting>
  <conditionalFormatting sqref="R118">
    <cfRule type="cellIs" dxfId="3014" priority="1427" stopIfTrue="1" operator="lessThan">
      <formula>0</formula>
    </cfRule>
  </conditionalFormatting>
  <conditionalFormatting sqref="R122">
    <cfRule type="cellIs" dxfId="3013" priority="1422" stopIfTrue="1" operator="lessThan">
      <formula>0</formula>
    </cfRule>
  </conditionalFormatting>
  <conditionalFormatting sqref="R125">
    <cfRule type="cellIs" dxfId="3012" priority="1417" stopIfTrue="1" operator="lessThan">
      <formula>0</formula>
    </cfRule>
  </conditionalFormatting>
  <conditionalFormatting sqref="R127:R128">
    <cfRule type="cellIs" dxfId="3011" priority="1412" stopIfTrue="1" operator="lessThan">
      <formula>0</formula>
    </cfRule>
  </conditionalFormatting>
  <conditionalFormatting sqref="R130">
    <cfRule type="cellIs" dxfId="3010" priority="1407" stopIfTrue="1" operator="lessThan">
      <formula>0</formula>
    </cfRule>
  </conditionalFormatting>
  <conditionalFormatting sqref="R135">
    <cfRule type="cellIs" dxfId="3009" priority="1397" stopIfTrue="1" operator="lessThan">
      <formula>0</formula>
    </cfRule>
  </conditionalFormatting>
  <conditionalFormatting sqref="R139:R140">
    <cfRule type="cellIs" dxfId="3008" priority="1392" stopIfTrue="1" operator="lessThan">
      <formula>0</formula>
    </cfRule>
  </conditionalFormatting>
  <conditionalFormatting sqref="R142:R143">
    <cfRule type="cellIs" dxfId="3007" priority="1387" stopIfTrue="1" operator="lessThan">
      <formula>0</formula>
    </cfRule>
  </conditionalFormatting>
  <conditionalFormatting sqref="R146">
    <cfRule type="cellIs" dxfId="3006" priority="1382" stopIfTrue="1" operator="lessThan">
      <formula>0</formula>
    </cfRule>
  </conditionalFormatting>
  <conditionalFormatting sqref="R150:R151">
    <cfRule type="cellIs" dxfId="3005" priority="1377" stopIfTrue="1" operator="lessThan">
      <formula>0</formula>
    </cfRule>
  </conditionalFormatting>
  <conditionalFormatting sqref="R173:R175">
    <cfRule type="cellIs" dxfId="3004" priority="1372" stopIfTrue="1" operator="lessThan">
      <formula>0</formula>
    </cfRule>
  </conditionalFormatting>
  <conditionalFormatting sqref="R184">
    <cfRule type="cellIs" dxfId="3003" priority="1367" stopIfTrue="1" operator="lessThan">
      <formula>0</formula>
    </cfRule>
  </conditionalFormatting>
  <conditionalFormatting sqref="R186:R187">
    <cfRule type="cellIs" dxfId="3002" priority="1362" stopIfTrue="1" operator="lessThan">
      <formula>0</formula>
    </cfRule>
  </conditionalFormatting>
  <conditionalFormatting sqref="R190">
    <cfRule type="cellIs" dxfId="3001" priority="1357" stopIfTrue="1" operator="lessThan">
      <formula>0</formula>
    </cfRule>
  </conditionalFormatting>
  <conditionalFormatting sqref="R195">
    <cfRule type="cellIs" dxfId="3000" priority="1352" stopIfTrue="1" operator="lessThan">
      <formula>0</formula>
    </cfRule>
  </conditionalFormatting>
  <conditionalFormatting sqref="R197:R198">
    <cfRule type="cellIs" dxfId="2999" priority="1347" stopIfTrue="1" operator="lessThan">
      <formula>0</formula>
    </cfRule>
  </conditionalFormatting>
  <conditionalFormatting sqref="R220">
    <cfRule type="cellIs" dxfId="2998" priority="1342" stopIfTrue="1" operator="lessThan">
      <formula>0</formula>
    </cfRule>
  </conditionalFormatting>
  <conditionalFormatting sqref="R222">
    <cfRule type="cellIs" dxfId="2997" priority="1337" stopIfTrue="1" operator="lessThan">
      <formula>0</formula>
    </cfRule>
  </conditionalFormatting>
  <conditionalFormatting sqref="R224:R228">
    <cfRule type="cellIs" dxfId="2996" priority="1332" stopIfTrue="1" operator="lessThan">
      <formula>0</formula>
    </cfRule>
  </conditionalFormatting>
  <conditionalFormatting sqref="R232:R235">
    <cfRule type="cellIs" dxfId="2995" priority="1327" stopIfTrue="1" operator="lessThan">
      <formula>0</formula>
    </cfRule>
  </conditionalFormatting>
  <conditionalFormatting sqref="R237:R238">
    <cfRule type="cellIs" dxfId="2994" priority="1322" stopIfTrue="1" operator="lessThan">
      <formula>0</formula>
    </cfRule>
  </conditionalFormatting>
  <conditionalFormatting sqref="R241:R244">
    <cfRule type="cellIs" dxfId="2993" priority="1317" stopIfTrue="1" operator="lessThan">
      <formula>0</formula>
    </cfRule>
  </conditionalFormatting>
  <conditionalFormatting sqref="R251:R252">
    <cfRule type="cellIs" dxfId="2992" priority="1312" stopIfTrue="1" operator="lessThan">
      <formula>0</formula>
    </cfRule>
  </conditionalFormatting>
  <conditionalFormatting sqref="R257:R270">
    <cfRule type="cellIs" dxfId="2991" priority="1307" stopIfTrue="1" operator="lessThan">
      <formula>0</formula>
    </cfRule>
  </conditionalFormatting>
  <conditionalFormatting sqref="R284">
    <cfRule type="cellIs" dxfId="2990" priority="1302" stopIfTrue="1" operator="lessThan">
      <formula>0</formula>
    </cfRule>
  </conditionalFormatting>
  <conditionalFormatting sqref="R337">
    <cfRule type="cellIs" dxfId="2989" priority="1297" stopIfTrue="1" operator="lessThan">
      <formula>0</formula>
    </cfRule>
  </conditionalFormatting>
  <conditionalFormatting sqref="R364:R367">
    <cfRule type="cellIs" dxfId="2988" priority="1292" stopIfTrue="1" operator="lessThan">
      <formula>0</formula>
    </cfRule>
  </conditionalFormatting>
  <conditionalFormatting sqref="R380:R382">
    <cfRule type="cellIs" dxfId="2987" priority="1287" stopIfTrue="1" operator="lessThan">
      <formula>0</formula>
    </cfRule>
  </conditionalFormatting>
  <conditionalFormatting sqref="R416">
    <cfRule type="cellIs" dxfId="2986" priority="1282" stopIfTrue="1" operator="lessThan">
      <formula>0</formula>
    </cfRule>
  </conditionalFormatting>
  <conditionalFormatting sqref="R835:R836">
    <cfRule type="cellIs" dxfId="2985" priority="1257" stopIfTrue="1" operator="lessThan">
      <formula>0</formula>
    </cfRule>
  </conditionalFormatting>
  <conditionalFormatting sqref="R566:R569">
    <cfRule type="cellIs" dxfId="2984" priority="1277" stopIfTrue="1" operator="lessThan">
      <formula>0</formula>
    </cfRule>
  </conditionalFormatting>
  <conditionalFormatting sqref="R842:R845">
    <cfRule type="cellIs" dxfId="2983" priority="1252" stopIfTrue="1" operator="lessThan">
      <formula>0</formula>
    </cfRule>
  </conditionalFormatting>
  <conditionalFormatting sqref="R571:R572">
    <cfRule type="cellIs" dxfId="2982" priority="1272" stopIfTrue="1" operator="lessThan">
      <formula>0</formula>
    </cfRule>
  </conditionalFormatting>
  <conditionalFormatting sqref="R576:R578">
    <cfRule type="cellIs" dxfId="2981" priority="1267" stopIfTrue="1" operator="lessThan">
      <formula>0</formula>
    </cfRule>
  </conditionalFormatting>
  <conditionalFormatting sqref="R580">
    <cfRule type="cellIs" dxfId="2980" priority="1262" stopIfTrue="1" operator="lessThan">
      <formula>0</formula>
    </cfRule>
  </conditionalFormatting>
  <conditionalFormatting sqref="R885:R886">
    <cfRule type="cellIs" dxfId="2979" priority="1237" stopIfTrue="1" operator="lessThan">
      <formula>0</formula>
    </cfRule>
  </conditionalFormatting>
  <conditionalFormatting sqref="R847:R848">
    <cfRule type="cellIs" dxfId="2978" priority="1247" stopIfTrue="1" operator="lessThan">
      <formula>0</formula>
    </cfRule>
  </conditionalFormatting>
  <conditionalFormatting sqref="R868:R875">
    <cfRule type="cellIs" dxfId="2977" priority="1242" stopIfTrue="1" operator="lessThan">
      <formula>0</formula>
    </cfRule>
  </conditionalFormatting>
  <conditionalFormatting sqref="R17">
    <cfRule type="cellIs" dxfId="2976" priority="1228" stopIfTrue="1" operator="lessThan">
      <formula>0</formula>
    </cfRule>
  </conditionalFormatting>
  <conditionalFormatting sqref="R19:R20">
    <cfRule type="cellIs" dxfId="2975" priority="1223" stopIfTrue="1" operator="lessThan">
      <formula>0</formula>
    </cfRule>
  </conditionalFormatting>
  <conditionalFormatting sqref="R22">
    <cfRule type="cellIs" dxfId="2974" priority="1218" stopIfTrue="1" operator="lessThan">
      <formula>0</formula>
    </cfRule>
  </conditionalFormatting>
  <conditionalFormatting sqref="AV17">
    <cfRule type="cellIs" dxfId="2973" priority="1213" operator="notEqual">
      <formula>0</formula>
    </cfRule>
  </conditionalFormatting>
  <conditionalFormatting sqref="AV19:AV20">
    <cfRule type="cellIs" dxfId="2972" priority="1212" operator="notEqual">
      <formula>0</formula>
    </cfRule>
  </conditionalFormatting>
  <conditionalFormatting sqref="AV22">
    <cfRule type="cellIs" dxfId="2971" priority="1211" operator="notEqual">
      <formula>0</formula>
    </cfRule>
  </conditionalFormatting>
  <conditionalFormatting sqref="R54">
    <cfRule type="cellIs" dxfId="2970" priority="1210" stopIfTrue="1" operator="lessThan">
      <formula>0</formula>
    </cfRule>
  </conditionalFormatting>
  <conditionalFormatting sqref="R55">
    <cfRule type="cellIs" dxfId="2969" priority="1198" stopIfTrue="1" operator="lessThan">
      <formula>0</formula>
    </cfRule>
  </conditionalFormatting>
  <conditionalFormatting sqref="R71:R89">
    <cfRule type="cellIs" dxfId="2968" priority="1192" stopIfTrue="1" operator="lessThan">
      <formula>0</formula>
    </cfRule>
  </conditionalFormatting>
  <conditionalFormatting sqref="R103:R112">
    <cfRule type="cellIs" dxfId="2967" priority="1186" stopIfTrue="1" operator="lessThan">
      <formula>0</formula>
    </cfRule>
  </conditionalFormatting>
  <conditionalFormatting sqref="R119">
    <cfRule type="cellIs" dxfId="2966" priority="1180" stopIfTrue="1" operator="lessThan">
      <formula>0</formula>
    </cfRule>
  </conditionalFormatting>
  <conditionalFormatting sqref="R134">
    <cfRule type="cellIs" dxfId="2965" priority="1150" stopIfTrue="1" operator="lessThan">
      <formula>0</formula>
    </cfRule>
  </conditionalFormatting>
  <conditionalFormatting sqref="R123:R124">
    <cfRule type="cellIs" dxfId="2964" priority="1174" stopIfTrue="1" operator="lessThan">
      <formula>0</formula>
    </cfRule>
  </conditionalFormatting>
  <conditionalFormatting sqref="R136">
    <cfRule type="cellIs" dxfId="2963" priority="1144" stopIfTrue="1" operator="lessThan">
      <formula>0</formula>
    </cfRule>
  </conditionalFormatting>
  <conditionalFormatting sqref="R126">
    <cfRule type="cellIs" dxfId="2962" priority="1168" stopIfTrue="1" operator="lessThan">
      <formula>0</formula>
    </cfRule>
  </conditionalFormatting>
  <conditionalFormatting sqref="R137:R138">
    <cfRule type="cellIs" dxfId="2961" priority="1138" stopIfTrue="1" operator="lessThan">
      <formula>0</formula>
    </cfRule>
  </conditionalFormatting>
  <conditionalFormatting sqref="R129">
    <cfRule type="cellIs" dxfId="2960" priority="1162" stopIfTrue="1" operator="lessThan">
      <formula>0</formula>
    </cfRule>
  </conditionalFormatting>
  <conditionalFormatting sqref="R141">
    <cfRule type="cellIs" dxfId="2959" priority="1132" stopIfTrue="1" operator="lessThan">
      <formula>0</formula>
    </cfRule>
  </conditionalFormatting>
  <conditionalFormatting sqref="R131">
    <cfRule type="cellIs" dxfId="2958" priority="1156" stopIfTrue="1" operator="lessThan">
      <formula>0</formula>
    </cfRule>
  </conditionalFormatting>
  <conditionalFormatting sqref="R144:R145">
    <cfRule type="cellIs" dxfId="2957" priority="1126" stopIfTrue="1" operator="lessThan">
      <formula>0</formula>
    </cfRule>
  </conditionalFormatting>
  <conditionalFormatting sqref="R147:R148">
    <cfRule type="cellIs" dxfId="2956" priority="1120" stopIfTrue="1" operator="lessThan">
      <formula>0</formula>
    </cfRule>
  </conditionalFormatting>
  <conditionalFormatting sqref="R149">
    <cfRule type="cellIs" dxfId="2955" priority="1114" stopIfTrue="1" operator="lessThan">
      <formula>0</formula>
    </cfRule>
  </conditionalFormatting>
  <conditionalFormatting sqref="R152:R159">
    <cfRule type="cellIs" dxfId="2954" priority="1108" stopIfTrue="1" operator="lessThan">
      <formula>0</formula>
    </cfRule>
  </conditionalFormatting>
  <conditionalFormatting sqref="R161:R172">
    <cfRule type="cellIs" dxfId="2953" priority="1102" stopIfTrue="1" operator="lessThan">
      <formula>0</formula>
    </cfRule>
  </conditionalFormatting>
  <conditionalFormatting sqref="R185">
    <cfRule type="cellIs" dxfId="2952" priority="1096" stopIfTrue="1" operator="lessThan">
      <formula>0</formula>
    </cfRule>
  </conditionalFormatting>
  <conditionalFormatting sqref="R188:R189">
    <cfRule type="cellIs" dxfId="2951" priority="1090" stopIfTrue="1" operator="lessThan">
      <formula>0</formula>
    </cfRule>
  </conditionalFormatting>
  <conditionalFormatting sqref="R196">
    <cfRule type="cellIs" dxfId="2950" priority="1084" stopIfTrue="1" operator="lessThan">
      <formula>0</formula>
    </cfRule>
  </conditionalFormatting>
  <conditionalFormatting sqref="R219">
    <cfRule type="cellIs" dxfId="2949" priority="1078" stopIfTrue="1" operator="lessThan">
      <formula>0</formula>
    </cfRule>
  </conditionalFormatting>
  <conditionalFormatting sqref="R221">
    <cfRule type="cellIs" dxfId="2948" priority="1072" stopIfTrue="1" operator="lessThan">
      <formula>0</formula>
    </cfRule>
  </conditionalFormatting>
  <conditionalFormatting sqref="R223">
    <cfRule type="cellIs" dxfId="2947" priority="1066" stopIfTrue="1" operator="lessThan">
      <formula>0</formula>
    </cfRule>
  </conditionalFormatting>
  <conditionalFormatting sqref="R229:R231">
    <cfRule type="cellIs" dxfId="2946" priority="1060" stopIfTrue="1" operator="lessThan">
      <formula>0</formula>
    </cfRule>
  </conditionalFormatting>
  <conditionalFormatting sqref="R236">
    <cfRule type="cellIs" dxfId="2945" priority="1054" stopIfTrue="1" operator="lessThan">
      <formula>0</formula>
    </cfRule>
  </conditionalFormatting>
  <conditionalFormatting sqref="R239">
    <cfRule type="cellIs" dxfId="2944" priority="1048" stopIfTrue="1" operator="lessThan">
      <formula>0</formula>
    </cfRule>
  </conditionalFormatting>
  <conditionalFormatting sqref="R240">
    <cfRule type="cellIs" dxfId="2943" priority="1042" stopIfTrue="1" operator="lessThan">
      <formula>0</formula>
    </cfRule>
  </conditionalFormatting>
  <conditionalFormatting sqref="R245:R250">
    <cfRule type="cellIs" dxfId="2942" priority="1036" stopIfTrue="1" operator="lessThan">
      <formula>0</formula>
    </cfRule>
  </conditionalFormatting>
  <conditionalFormatting sqref="R253:R256">
    <cfRule type="cellIs" dxfId="2941" priority="1030" stopIfTrue="1" operator="lessThan">
      <formula>0</formula>
    </cfRule>
  </conditionalFormatting>
  <conditionalFormatting sqref="R283">
    <cfRule type="cellIs" dxfId="2940" priority="1024" stopIfTrue="1" operator="lessThan">
      <formula>0</formula>
    </cfRule>
  </conditionalFormatting>
  <conditionalFormatting sqref="R287:R288">
    <cfRule type="cellIs" dxfId="2939" priority="1018" stopIfTrue="1" operator="lessThan">
      <formula>0</formula>
    </cfRule>
  </conditionalFormatting>
  <conditionalFormatting sqref="R291:R292">
    <cfRule type="cellIs" dxfId="2938" priority="1012" stopIfTrue="1" operator="lessThan">
      <formula>0</formula>
    </cfRule>
  </conditionalFormatting>
  <conditionalFormatting sqref="R294:R321">
    <cfRule type="cellIs" dxfId="2937" priority="1006" stopIfTrue="1" operator="lessThan">
      <formula>0</formula>
    </cfRule>
  </conditionalFormatting>
  <conditionalFormatting sqref="R323:R326">
    <cfRule type="cellIs" dxfId="2936" priority="1000" stopIfTrue="1" operator="lessThan">
      <formula>0</formula>
    </cfRule>
  </conditionalFormatting>
  <conditionalFormatting sqref="R331:R336">
    <cfRule type="cellIs" dxfId="2935" priority="994" stopIfTrue="1" operator="lessThan">
      <formula>0</formula>
    </cfRule>
  </conditionalFormatting>
  <conditionalFormatting sqref="R338:R343">
    <cfRule type="cellIs" dxfId="2934" priority="988" stopIfTrue="1" operator="lessThan">
      <formula>0</formula>
    </cfRule>
  </conditionalFormatting>
  <conditionalFormatting sqref="R346:R363">
    <cfRule type="cellIs" dxfId="2933" priority="982" stopIfTrue="1" operator="lessThan">
      <formula>0</formula>
    </cfRule>
  </conditionalFormatting>
  <conditionalFormatting sqref="R368:R379">
    <cfRule type="cellIs" dxfId="2932" priority="976" stopIfTrue="1" operator="lessThan">
      <formula>0</formula>
    </cfRule>
  </conditionalFormatting>
  <conditionalFormatting sqref="R415">
    <cfRule type="cellIs" dxfId="2931" priority="970" stopIfTrue="1" operator="lessThan">
      <formula>0</formula>
    </cfRule>
  </conditionalFormatting>
  <conditionalFormatting sqref="R573:R575">
    <cfRule type="cellIs" dxfId="2930" priority="964" stopIfTrue="1" operator="lessThan">
      <formula>0</formula>
    </cfRule>
  </conditionalFormatting>
  <conditionalFormatting sqref="R832:R834">
    <cfRule type="cellIs" dxfId="2929" priority="940" stopIfTrue="1" operator="lessThan">
      <formula>0</formula>
    </cfRule>
  </conditionalFormatting>
  <conditionalFormatting sqref="R579">
    <cfRule type="cellIs" dxfId="2928" priority="958" stopIfTrue="1" operator="lessThan">
      <formula>0</formula>
    </cfRule>
  </conditionalFormatting>
  <conditionalFormatting sqref="R837:R841">
    <cfRule type="cellIs" dxfId="2927" priority="934" stopIfTrue="1" operator="lessThan">
      <formula>0</formula>
    </cfRule>
  </conditionalFormatting>
  <conditionalFormatting sqref="R604">
    <cfRule type="cellIs" dxfId="2926" priority="952" stopIfTrue="1" operator="lessThan">
      <formula>0</formula>
    </cfRule>
  </conditionalFormatting>
  <conditionalFormatting sqref="R608">
    <cfRule type="cellIs" dxfId="2925" priority="946" stopIfTrue="1" operator="lessThan">
      <formula>0</formula>
    </cfRule>
  </conditionalFormatting>
  <conditionalFormatting sqref="R846">
    <cfRule type="cellIs" dxfId="2924" priority="928" stopIfTrue="1" operator="lessThan">
      <formula>0</formula>
    </cfRule>
  </conditionalFormatting>
  <conditionalFormatting sqref="R858:R867">
    <cfRule type="cellIs" dxfId="2923" priority="922" stopIfTrue="1" operator="lessThan">
      <formula>0</formula>
    </cfRule>
  </conditionalFormatting>
  <conditionalFormatting sqref="R884">
    <cfRule type="cellIs" dxfId="2922" priority="916" stopIfTrue="1" operator="lessThan">
      <formula>0</formula>
    </cfRule>
  </conditionalFormatting>
  <conditionalFormatting sqref="R887">
    <cfRule type="cellIs" dxfId="2921" priority="910" stopIfTrue="1" operator="lessThan">
      <formula>0</formula>
    </cfRule>
  </conditionalFormatting>
  <conditionalFormatting sqref="R18">
    <cfRule type="cellIs" dxfId="2920" priority="904" stopIfTrue="1" operator="lessThan">
      <formula>0</formula>
    </cfRule>
  </conditionalFormatting>
  <conditionalFormatting sqref="R21">
    <cfRule type="cellIs" dxfId="2919" priority="898" stopIfTrue="1" operator="lessThan">
      <formula>0</formula>
    </cfRule>
  </conditionalFormatting>
  <conditionalFormatting sqref="R23">
    <cfRule type="cellIs" dxfId="2918" priority="892" stopIfTrue="1" operator="lessThan">
      <formula>0</formula>
    </cfRule>
  </conditionalFormatting>
  <conditionalFormatting sqref="AC100:AD100">
    <cfRule type="cellIs" dxfId="2917" priority="859" stopIfTrue="1" operator="lessThan">
      <formula>0</formula>
    </cfRule>
  </conditionalFormatting>
  <conditionalFormatting sqref="AE100">
    <cfRule type="cellIs" dxfId="2916" priority="858" stopIfTrue="1" operator="lessThan">
      <formula>0</formula>
    </cfRule>
  </conditionalFormatting>
  <conditionalFormatting sqref="V15:W69">
    <cfRule type="cellIs" dxfId="2915" priority="886" stopIfTrue="1" operator="lessThan">
      <formula>0</formula>
    </cfRule>
  </conditionalFormatting>
  <conditionalFormatting sqref="V71:W93">
    <cfRule type="cellIs" dxfId="2914" priority="885" stopIfTrue="1" operator="lessThan">
      <formula>0</formula>
    </cfRule>
  </conditionalFormatting>
  <conditionalFormatting sqref="V103:W112">
    <cfRule type="cellIs" dxfId="2913" priority="884" stopIfTrue="1" operator="lessThan">
      <formula>0</formula>
    </cfRule>
  </conditionalFormatting>
  <conditionalFormatting sqref="V114:W284">
    <cfRule type="cellIs" dxfId="2912" priority="883" stopIfTrue="1" operator="lessThan">
      <formula>0</formula>
    </cfRule>
  </conditionalFormatting>
  <conditionalFormatting sqref="V294:W382">
    <cfRule type="cellIs" dxfId="2911" priority="882" stopIfTrue="1" operator="lessThan">
      <formula>0</formula>
    </cfRule>
  </conditionalFormatting>
  <conditionalFormatting sqref="V384:W401">
    <cfRule type="cellIs" dxfId="2910" priority="881" stopIfTrue="1" operator="lessThan">
      <formula>0</formula>
    </cfRule>
  </conditionalFormatting>
  <conditionalFormatting sqref="V410:W600">
    <cfRule type="cellIs" dxfId="2909" priority="880" stopIfTrue="1" operator="lessThan">
      <formula>0</formula>
    </cfRule>
  </conditionalFormatting>
  <conditionalFormatting sqref="V602:W639">
    <cfRule type="cellIs" dxfId="2908" priority="879" stopIfTrue="1" operator="lessThan">
      <formula>0</formula>
    </cfRule>
  </conditionalFormatting>
  <conditionalFormatting sqref="V641:W666">
    <cfRule type="cellIs" dxfId="2907" priority="878" stopIfTrue="1" operator="lessThan">
      <formula>0</formula>
    </cfRule>
  </conditionalFormatting>
  <conditionalFormatting sqref="V668:W828">
    <cfRule type="cellIs" dxfId="2906" priority="877" stopIfTrue="1" operator="lessThan">
      <formula>0</formula>
    </cfRule>
  </conditionalFormatting>
  <conditionalFormatting sqref="V832:W887">
    <cfRule type="cellIs" dxfId="2905" priority="876" stopIfTrue="1" operator="lessThan">
      <formula>0</formula>
    </cfRule>
  </conditionalFormatting>
  <conditionalFormatting sqref="O94:Q98 X94:AA98">
    <cfRule type="cellIs" dxfId="2904" priority="875" stopIfTrue="1" operator="lessThan">
      <formula>0</formula>
    </cfRule>
  </conditionalFormatting>
  <conditionalFormatting sqref="R94:R98">
    <cfRule type="cellIs" dxfId="2903" priority="874" stopIfTrue="1" operator="lessThan">
      <formula>0</formula>
    </cfRule>
  </conditionalFormatting>
  <conditionalFormatting sqref="V94:W98">
    <cfRule type="cellIs" dxfId="2902" priority="869" stopIfTrue="1" operator="lessThan">
      <formula>0</formula>
    </cfRule>
  </conditionalFormatting>
  <conditionalFormatting sqref="O100:Q101 X100:AA101">
    <cfRule type="cellIs" dxfId="2901" priority="868" stopIfTrue="1" operator="lessThan">
      <formula>0</formula>
    </cfRule>
  </conditionalFormatting>
  <conditionalFormatting sqref="R100:R101">
    <cfRule type="cellIs" dxfId="2900" priority="867" stopIfTrue="1" operator="lessThan">
      <formula>0</formula>
    </cfRule>
  </conditionalFormatting>
  <conditionalFormatting sqref="V100:W101">
    <cfRule type="cellIs" dxfId="2899" priority="862" stopIfTrue="1" operator="lessThan">
      <formula>0</formula>
    </cfRule>
  </conditionalFormatting>
  <conditionalFormatting sqref="AC99:AD99">
    <cfRule type="cellIs" dxfId="2898" priority="861" stopIfTrue="1" operator="lessThan">
      <formula>0</formula>
    </cfRule>
  </conditionalFormatting>
  <conditionalFormatting sqref="AE99">
    <cfRule type="cellIs" dxfId="2897" priority="860" stopIfTrue="1" operator="lessThan">
      <formula>0</formula>
    </cfRule>
  </conditionalFormatting>
  <conditionalFormatting sqref="O402:P407 S402:T407 X402:AA407">
    <cfRule type="cellIs" dxfId="2896" priority="857" stopIfTrue="1" operator="lessThan">
      <formula>0</formula>
    </cfRule>
  </conditionalFormatting>
  <conditionalFormatting sqref="Q402:R407">
    <cfRule type="cellIs" dxfId="2895" priority="856" stopIfTrue="1" operator="lessThan">
      <formula>0</formula>
    </cfRule>
  </conditionalFormatting>
  <conditionalFormatting sqref="V402:W407">
    <cfRule type="cellIs" dxfId="2894" priority="855" stopIfTrue="1" operator="lessThan">
      <formula>0</formula>
    </cfRule>
  </conditionalFormatting>
  <conditionalFormatting sqref="O409:P409 S409:T409 X409:AA409">
    <cfRule type="cellIs" dxfId="2893" priority="854" stopIfTrue="1" operator="lessThan">
      <formula>0</formula>
    </cfRule>
  </conditionalFormatting>
  <conditionalFormatting sqref="Q409:R409">
    <cfRule type="cellIs" dxfId="2892" priority="853" stopIfTrue="1" operator="lessThan">
      <formula>0</formula>
    </cfRule>
  </conditionalFormatting>
  <conditionalFormatting sqref="V409:W409">
    <cfRule type="cellIs" dxfId="2891" priority="852" stopIfTrue="1" operator="lessThan">
      <formula>0</formula>
    </cfRule>
  </conditionalFormatting>
  <conditionalFormatting sqref="AC408:AD409">
    <cfRule type="cellIs" dxfId="2890" priority="851" stopIfTrue="1" operator="lessThan">
      <formula>0</formula>
    </cfRule>
  </conditionalFormatting>
  <conditionalFormatting sqref="AE408:AF409">
    <cfRule type="cellIs" dxfId="2889" priority="850" stopIfTrue="1" operator="lessThan">
      <formula>0</formula>
    </cfRule>
  </conditionalFormatting>
  <conditionalFormatting sqref="AV54">
    <cfRule type="cellIs" dxfId="2888" priority="849" operator="notEqual">
      <formula>0</formula>
    </cfRule>
  </conditionalFormatting>
  <conditionalFormatting sqref="AV55">
    <cfRule type="cellIs" dxfId="2887" priority="847" operator="notEqual">
      <formula>0</formula>
    </cfRule>
  </conditionalFormatting>
  <conditionalFormatting sqref="AV56:AV59">
    <cfRule type="cellIs" dxfId="2886" priority="846" operator="notEqual">
      <formula>0</formula>
    </cfRule>
  </conditionalFormatting>
  <conditionalFormatting sqref="AV62:AV69">
    <cfRule type="cellIs" dxfId="2885" priority="845" operator="notEqual">
      <formula>0</formula>
    </cfRule>
  </conditionalFormatting>
  <conditionalFormatting sqref="AV94:AV98">
    <cfRule type="cellIs" dxfId="2884" priority="844" operator="notEqual">
      <formula>0</formula>
    </cfRule>
  </conditionalFormatting>
  <conditionalFormatting sqref="AV100:AV101">
    <cfRule type="cellIs" dxfId="2883" priority="843" operator="notEqual">
      <formula>0</formula>
    </cfRule>
  </conditionalFormatting>
  <conditionalFormatting sqref="AV99">
    <cfRule type="cellIs" dxfId="2882" priority="840" operator="equal">
      <formula>1</formula>
    </cfRule>
    <cfRule type="cellIs" dxfId="2881" priority="841" operator="notEqual">
      <formula>0</formula>
    </cfRule>
  </conditionalFormatting>
  <conditionalFormatting sqref="AV114">
    <cfRule type="cellIs" dxfId="2880" priority="838" operator="notEqual">
      <formula>0</formula>
    </cfRule>
  </conditionalFormatting>
  <conditionalFormatting sqref="AV116">
    <cfRule type="cellIs" dxfId="2879" priority="837" operator="notEqual">
      <formula>0</formula>
    </cfRule>
  </conditionalFormatting>
  <conditionalFormatting sqref="AV118">
    <cfRule type="cellIs" dxfId="2878" priority="836" operator="notEqual">
      <formula>0</formula>
    </cfRule>
  </conditionalFormatting>
  <conditionalFormatting sqref="AV122">
    <cfRule type="cellIs" dxfId="2877" priority="835" operator="notEqual">
      <formula>0</formula>
    </cfRule>
  </conditionalFormatting>
  <conditionalFormatting sqref="AV125">
    <cfRule type="cellIs" dxfId="2876" priority="834" operator="notEqual">
      <formula>0</formula>
    </cfRule>
  </conditionalFormatting>
  <conditionalFormatting sqref="AV127:AV128">
    <cfRule type="cellIs" dxfId="2875" priority="833" operator="notEqual">
      <formula>0</formula>
    </cfRule>
  </conditionalFormatting>
  <conditionalFormatting sqref="AV130">
    <cfRule type="cellIs" dxfId="2874" priority="832" operator="notEqual">
      <formula>0</formula>
    </cfRule>
  </conditionalFormatting>
  <conditionalFormatting sqref="AV132:AV133">
    <cfRule type="cellIs" dxfId="2873" priority="831" operator="notEqual">
      <formula>0</formula>
    </cfRule>
  </conditionalFormatting>
  <conditionalFormatting sqref="AV135">
    <cfRule type="cellIs" dxfId="2872" priority="830" operator="notEqual">
      <formula>0</formula>
    </cfRule>
  </conditionalFormatting>
  <conditionalFormatting sqref="AV139:AV140">
    <cfRule type="cellIs" dxfId="2871" priority="829" operator="notEqual">
      <formula>0</formula>
    </cfRule>
  </conditionalFormatting>
  <conditionalFormatting sqref="AV142:AV143">
    <cfRule type="cellIs" dxfId="2870" priority="828" operator="notEqual">
      <formula>0</formula>
    </cfRule>
  </conditionalFormatting>
  <conditionalFormatting sqref="AV146">
    <cfRule type="cellIs" dxfId="2869" priority="827" operator="notEqual">
      <formula>0</formula>
    </cfRule>
  </conditionalFormatting>
  <conditionalFormatting sqref="AV150:AV151">
    <cfRule type="cellIs" dxfId="2868" priority="826" operator="notEqual">
      <formula>0</formula>
    </cfRule>
  </conditionalFormatting>
  <conditionalFormatting sqref="AV173:AV175">
    <cfRule type="cellIs" dxfId="2867" priority="825" operator="notEqual">
      <formula>0</formula>
    </cfRule>
  </conditionalFormatting>
  <conditionalFormatting sqref="AV184">
    <cfRule type="cellIs" dxfId="2866" priority="824" operator="notEqual">
      <formula>0</formula>
    </cfRule>
  </conditionalFormatting>
  <conditionalFormatting sqref="AV186:AV187">
    <cfRule type="cellIs" dxfId="2865" priority="823" operator="notEqual">
      <formula>0</formula>
    </cfRule>
  </conditionalFormatting>
  <conditionalFormatting sqref="AV190">
    <cfRule type="cellIs" dxfId="2864" priority="822" operator="notEqual">
      <formula>0</formula>
    </cfRule>
  </conditionalFormatting>
  <conditionalFormatting sqref="AV195">
    <cfRule type="cellIs" dxfId="2863" priority="821" operator="notEqual">
      <formula>0</formula>
    </cfRule>
  </conditionalFormatting>
  <conditionalFormatting sqref="AV220">
    <cfRule type="cellIs" dxfId="2862" priority="819" operator="notEqual">
      <formula>0</formula>
    </cfRule>
  </conditionalFormatting>
  <conditionalFormatting sqref="AV222">
    <cfRule type="cellIs" dxfId="2861" priority="818" operator="notEqual">
      <formula>0</formula>
    </cfRule>
  </conditionalFormatting>
  <conditionalFormatting sqref="AV224:AV228">
    <cfRule type="cellIs" dxfId="2860" priority="817" operator="notEqual">
      <formula>0</formula>
    </cfRule>
  </conditionalFormatting>
  <conditionalFormatting sqref="AV232:AV235">
    <cfRule type="cellIs" dxfId="2859" priority="816" operator="notEqual">
      <formula>0</formula>
    </cfRule>
  </conditionalFormatting>
  <conditionalFormatting sqref="AV237:AV238">
    <cfRule type="cellIs" dxfId="2858" priority="815" operator="notEqual">
      <formula>0</formula>
    </cfRule>
  </conditionalFormatting>
  <conditionalFormatting sqref="AV241:AV244">
    <cfRule type="cellIs" dxfId="2857" priority="814" operator="notEqual">
      <formula>0</formula>
    </cfRule>
  </conditionalFormatting>
  <conditionalFormatting sqref="AV251:AV252">
    <cfRule type="cellIs" dxfId="2856" priority="813" operator="notEqual">
      <formula>0</formula>
    </cfRule>
  </conditionalFormatting>
  <conditionalFormatting sqref="AV257:AV270">
    <cfRule type="cellIs" dxfId="2855" priority="812" operator="notEqual">
      <formula>0</formula>
    </cfRule>
  </conditionalFormatting>
  <conditionalFormatting sqref="AV284">
    <cfRule type="cellIs" dxfId="2854" priority="811" operator="notEqual">
      <formula>0</formula>
    </cfRule>
  </conditionalFormatting>
  <conditionalFormatting sqref="AV337">
    <cfRule type="cellIs" dxfId="2853" priority="810" operator="notEqual">
      <formula>0</formula>
    </cfRule>
  </conditionalFormatting>
  <conditionalFormatting sqref="AV364:AV367">
    <cfRule type="cellIs" dxfId="2852" priority="809" operator="notEqual">
      <formula>0</formula>
    </cfRule>
  </conditionalFormatting>
  <conditionalFormatting sqref="AV380:AV382">
    <cfRule type="cellIs" dxfId="2851" priority="808" operator="notEqual">
      <formula>0</formula>
    </cfRule>
  </conditionalFormatting>
  <conditionalFormatting sqref="AV416">
    <cfRule type="cellIs" dxfId="2850" priority="807" operator="notEqual">
      <formula>0</formula>
    </cfRule>
  </conditionalFormatting>
  <conditionalFormatting sqref="AV566:AV569">
    <cfRule type="cellIs" dxfId="2849" priority="806" operator="notEqual">
      <formula>0</formula>
    </cfRule>
  </conditionalFormatting>
  <conditionalFormatting sqref="AV571:AV572">
    <cfRule type="cellIs" dxfId="2848" priority="805" operator="notEqual">
      <formula>0</formula>
    </cfRule>
  </conditionalFormatting>
  <conditionalFormatting sqref="AV576:AV578">
    <cfRule type="cellIs" dxfId="2847" priority="804" operator="notEqual">
      <formula>0</formula>
    </cfRule>
  </conditionalFormatting>
  <conditionalFormatting sqref="AV580">
    <cfRule type="cellIs" dxfId="2846" priority="803" operator="notEqual">
      <formula>0</formula>
    </cfRule>
  </conditionalFormatting>
  <conditionalFormatting sqref="AV835:AV836">
    <cfRule type="cellIs" dxfId="2845" priority="802" operator="notEqual">
      <formula>0</formula>
    </cfRule>
  </conditionalFormatting>
  <conditionalFormatting sqref="AV842:AV845">
    <cfRule type="cellIs" dxfId="2844" priority="801" operator="notEqual">
      <formula>0</formula>
    </cfRule>
  </conditionalFormatting>
  <conditionalFormatting sqref="AV847:AV848">
    <cfRule type="cellIs" dxfId="2843" priority="800" operator="notEqual">
      <formula>0</formula>
    </cfRule>
  </conditionalFormatting>
  <conditionalFormatting sqref="AV868:AV875">
    <cfRule type="cellIs" dxfId="2842" priority="799" operator="notEqual">
      <formula>0</formula>
    </cfRule>
  </conditionalFormatting>
  <conditionalFormatting sqref="AV885:AV886">
    <cfRule type="cellIs" dxfId="2841" priority="798" operator="notEqual">
      <formula>0</formula>
    </cfRule>
  </conditionalFormatting>
  <conditionalFormatting sqref="AV18">
    <cfRule type="cellIs" dxfId="2840" priority="797" operator="notEqual">
      <formula>0</formula>
    </cfRule>
  </conditionalFormatting>
  <conditionalFormatting sqref="AV21">
    <cfRule type="cellIs" dxfId="2839" priority="796" operator="notEqual">
      <formula>0</formula>
    </cfRule>
  </conditionalFormatting>
  <conditionalFormatting sqref="AV23">
    <cfRule type="cellIs" dxfId="2838" priority="795" operator="notEqual">
      <formula>0</formula>
    </cfRule>
  </conditionalFormatting>
  <conditionalFormatting sqref="AV71:AV89">
    <cfRule type="cellIs" dxfId="2837" priority="794" operator="notEqual">
      <formula>0</formula>
    </cfRule>
  </conditionalFormatting>
  <conditionalFormatting sqref="AV103:AV112">
    <cfRule type="cellIs" dxfId="2836" priority="793" operator="notEqual">
      <formula>0</formula>
    </cfRule>
  </conditionalFormatting>
  <conditionalFormatting sqref="AV115">
    <cfRule type="cellIs" dxfId="2835" priority="790" operator="notEqual">
      <formula>0</formula>
    </cfRule>
  </conditionalFormatting>
  <conditionalFormatting sqref="AV117">
    <cfRule type="cellIs" dxfId="2834" priority="789" operator="notEqual">
      <formula>0</formula>
    </cfRule>
  </conditionalFormatting>
  <conditionalFormatting sqref="AV119">
    <cfRule type="cellIs" dxfId="2833" priority="788" operator="notEqual">
      <formula>0</formula>
    </cfRule>
  </conditionalFormatting>
  <conditionalFormatting sqref="AV123:AV124">
    <cfRule type="cellIs" dxfId="2832" priority="787" operator="notEqual">
      <formula>0</formula>
    </cfRule>
  </conditionalFormatting>
  <conditionalFormatting sqref="AV126">
    <cfRule type="cellIs" dxfId="2831" priority="786" operator="notEqual">
      <formula>0</formula>
    </cfRule>
  </conditionalFormatting>
  <conditionalFormatting sqref="AV129">
    <cfRule type="cellIs" dxfId="2830" priority="785" operator="notEqual">
      <formula>0</formula>
    </cfRule>
  </conditionalFormatting>
  <conditionalFormatting sqref="AV131">
    <cfRule type="cellIs" dxfId="2829" priority="784" operator="notEqual">
      <formula>0</formula>
    </cfRule>
  </conditionalFormatting>
  <conditionalFormatting sqref="AV134">
    <cfRule type="cellIs" dxfId="2828" priority="783" operator="notEqual">
      <formula>0</formula>
    </cfRule>
  </conditionalFormatting>
  <conditionalFormatting sqref="AV136:AV138">
    <cfRule type="cellIs" dxfId="2827" priority="782" operator="notEqual">
      <formula>0</formula>
    </cfRule>
  </conditionalFormatting>
  <conditionalFormatting sqref="AV141">
    <cfRule type="cellIs" dxfId="2826" priority="781" operator="notEqual">
      <formula>0</formula>
    </cfRule>
  </conditionalFormatting>
  <conditionalFormatting sqref="AV144:AV145">
    <cfRule type="cellIs" dxfId="2825" priority="780" operator="notEqual">
      <formula>0</formula>
    </cfRule>
  </conditionalFormatting>
  <conditionalFormatting sqref="AV147:AV149">
    <cfRule type="cellIs" dxfId="2824" priority="779" operator="notEqual">
      <formula>0</formula>
    </cfRule>
  </conditionalFormatting>
  <conditionalFormatting sqref="AV152:AV159">
    <cfRule type="cellIs" dxfId="2823" priority="778" operator="notEqual">
      <formula>0</formula>
    </cfRule>
  </conditionalFormatting>
  <conditionalFormatting sqref="AV161:AV172">
    <cfRule type="cellIs" dxfId="2822" priority="777" operator="notEqual">
      <formula>0</formula>
    </cfRule>
  </conditionalFormatting>
  <conditionalFormatting sqref="AV185">
    <cfRule type="cellIs" dxfId="2821" priority="776" operator="notEqual">
      <formula>0</formula>
    </cfRule>
  </conditionalFormatting>
  <conditionalFormatting sqref="AV188:AV189">
    <cfRule type="cellIs" dxfId="2820" priority="775" operator="notEqual">
      <formula>0</formula>
    </cfRule>
  </conditionalFormatting>
  <conditionalFormatting sqref="AV191:AV194">
    <cfRule type="cellIs" dxfId="2819" priority="774" operator="notEqual">
      <formula>0</formula>
    </cfRule>
  </conditionalFormatting>
  <conditionalFormatting sqref="AV196">
    <cfRule type="cellIs" dxfId="2818" priority="773" operator="notEqual">
      <formula>0</formula>
    </cfRule>
  </conditionalFormatting>
  <conditionalFormatting sqref="AV221">
    <cfRule type="cellIs" dxfId="2817" priority="772" operator="notEqual">
      <formula>0</formula>
    </cfRule>
  </conditionalFormatting>
  <conditionalFormatting sqref="AV223">
    <cfRule type="cellIs" dxfId="2816" priority="771" operator="notEqual">
      <formula>0</formula>
    </cfRule>
  </conditionalFormatting>
  <conditionalFormatting sqref="AV229:AV231">
    <cfRule type="cellIs" dxfId="2815" priority="770" operator="notEqual">
      <formula>0</formula>
    </cfRule>
  </conditionalFormatting>
  <conditionalFormatting sqref="AV236">
    <cfRule type="cellIs" dxfId="2814" priority="769" operator="notEqual">
      <formula>0</formula>
    </cfRule>
  </conditionalFormatting>
  <conditionalFormatting sqref="AV239:AV240">
    <cfRule type="cellIs" dxfId="2813" priority="768" operator="notEqual">
      <formula>0</formula>
    </cfRule>
  </conditionalFormatting>
  <conditionalFormatting sqref="AV245:AV250">
    <cfRule type="cellIs" dxfId="2812" priority="767" operator="notEqual">
      <formula>0</formula>
    </cfRule>
  </conditionalFormatting>
  <conditionalFormatting sqref="AV253:AV256">
    <cfRule type="cellIs" dxfId="2811" priority="766" operator="notEqual">
      <formula>0</formula>
    </cfRule>
  </conditionalFormatting>
  <conditionalFormatting sqref="AV283">
    <cfRule type="cellIs" dxfId="2810" priority="765" operator="notEqual">
      <formula>0</formula>
    </cfRule>
  </conditionalFormatting>
  <conditionalFormatting sqref="AV287">
    <cfRule type="cellIs" dxfId="2809" priority="764" operator="notEqual">
      <formula>0</formula>
    </cfRule>
  </conditionalFormatting>
  <conditionalFormatting sqref="AV291:AV292">
    <cfRule type="cellIs" dxfId="2808" priority="763" operator="notEqual">
      <formula>0</formula>
    </cfRule>
  </conditionalFormatting>
  <conditionalFormatting sqref="AV294:AV321">
    <cfRule type="cellIs" dxfId="2807" priority="762" operator="notEqual">
      <formula>0</formula>
    </cfRule>
  </conditionalFormatting>
  <conditionalFormatting sqref="AV323:AV326">
    <cfRule type="cellIs" dxfId="2806" priority="761" operator="notEqual">
      <formula>0</formula>
    </cfRule>
  </conditionalFormatting>
  <conditionalFormatting sqref="AV331:AV336">
    <cfRule type="cellIs" dxfId="2805" priority="760" operator="notEqual">
      <formula>0</formula>
    </cfRule>
  </conditionalFormatting>
  <conditionalFormatting sqref="AV338:AV343">
    <cfRule type="cellIs" dxfId="2804" priority="759" operator="notEqual">
      <formula>0</formula>
    </cfRule>
  </conditionalFormatting>
  <conditionalFormatting sqref="AV346:AV363">
    <cfRule type="cellIs" dxfId="2803" priority="758" operator="notEqual">
      <formula>0</formula>
    </cfRule>
  </conditionalFormatting>
  <conditionalFormatting sqref="AV368:AV379">
    <cfRule type="cellIs" dxfId="2802" priority="757" operator="notEqual">
      <formula>0</formula>
    </cfRule>
  </conditionalFormatting>
  <conditionalFormatting sqref="AV415">
    <cfRule type="cellIs" dxfId="2801" priority="756" operator="notEqual">
      <formula>0</formula>
    </cfRule>
  </conditionalFormatting>
  <conditionalFormatting sqref="AV573:AV575">
    <cfRule type="cellIs" dxfId="2800" priority="755" operator="notEqual">
      <formula>0</formula>
    </cfRule>
  </conditionalFormatting>
  <conditionalFormatting sqref="AV579">
    <cfRule type="cellIs" dxfId="2799" priority="754" operator="notEqual">
      <formula>0</formula>
    </cfRule>
  </conditionalFormatting>
  <conditionalFormatting sqref="AV604">
    <cfRule type="cellIs" dxfId="2798" priority="753" operator="notEqual">
      <formula>0</formula>
    </cfRule>
  </conditionalFormatting>
  <conditionalFormatting sqref="AV608">
    <cfRule type="cellIs" dxfId="2797" priority="752" operator="notEqual">
      <formula>0</formula>
    </cfRule>
  </conditionalFormatting>
  <conditionalFormatting sqref="AV832:AV834">
    <cfRule type="cellIs" dxfId="2796" priority="751" operator="notEqual">
      <formula>0</formula>
    </cfRule>
  </conditionalFormatting>
  <conditionalFormatting sqref="AV837:AV841">
    <cfRule type="cellIs" dxfId="2795" priority="750" operator="notEqual">
      <formula>0</formula>
    </cfRule>
  </conditionalFormatting>
  <conditionalFormatting sqref="AV846">
    <cfRule type="cellIs" dxfId="2794" priority="749" operator="notEqual">
      <formula>0</formula>
    </cfRule>
  </conditionalFormatting>
  <conditionalFormatting sqref="AV858:AV867">
    <cfRule type="cellIs" dxfId="2793" priority="748" operator="notEqual">
      <formula>0</formula>
    </cfRule>
  </conditionalFormatting>
  <conditionalFormatting sqref="AV884">
    <cfRule type="cellIs" dxfId="2792" priority="747" operator="notEqual">
      <formula>0</formula>
    </cfRule>
  </conditionalFormatting>
  <conditionalFormatting sqref="AV887">
    <cfRule type="cellIs" dxfId="2791" priority="746" operator="notEqual">
      <formula>0</formula>
    </cfRule>
  </conditionalFormatting>
  <conditionalFormatting sqref="AV286">
    <cfRule type="cellIs" dxfId="2790" priority="745" operator="notEqual">
      <formula>0</formula>
    </cfRule>
  </conditionalFormatting>
  <conditionalFormatting sqref="S570">
    <cfRule type="cellIs" dxfId="2789" priority="742" stopIfTrue="1" operator="lessThan">
      <formula>0</formula>
    </cfRule>
  </conditionalFormatting>
  <conditionalFormatting sqref="S570">
    <cfRule type="expression" dxfId="2788" priority="741">
      <formula>(#REF!+#REF!)&lt;&gt;(#REF!+#REF!)</formula>
    </cfRule>
  </conditionalFormatting>
  <conditionalFormatting sqref="T570">
    <cfRule type="cellIs" dxfId="2787" priority="740" stopIfTrue="1" operator="lessThan">
      <formula>0</formula>
    </cfRule>
  </conditionalFormatting>
  <conditionalFormatting sqref="T570">
    <cfRule type="expression" dxfId="2786" priority="739">
      <formula>(#REF!+#REF!)&lt;&gt;(#REF!+#REF!)</formula>
    </cfRule>
  </conditionalFormatting>
  <conditionalFormatting sqref="AV570">
    <cfRule type="cellIs" dxfId="2785" priority="738" operator="notEqual">
      <formula>0</formula>
    </cfRule>
  </conditionalFormatting>
  <conditionalFormatting sqref="AV408">
    <cfRule type="cellIs" dxfId="2784" priority="736" operator="equal">
      <formula>1</formula>
    </cfRule>
    <cfRule type="cellIs" dxfId="2783" priority="737" operator="notEqual">
      <formula>0</formula>
    </cfRule>
  </conditionalFormatting>
  <conditionalFormatting sqref="AV640">
    <cfRule type="cellIs" dxfId="2782" priority="734" operator="equal">
      <formula>1</formula>
    </cfRule>
    <cfRule type="cellIs" dxfId="2781" priority="735" operator="notEqual">
      <formula>0</formula>
    </cfRule>
  </conditionalFormatting>
  <conditionalFormatting sqref="AV762:AV763">
    <cfRule type="cellIs" dxfId="2780" priority="730" operator="equal">
      <formula>1</formula>
    </cfRule>
    <cfRule type="cellIs" dxfId="2779" priority="731" operator="notEqual">
      <formula>0</formula>
    </cfRule>
  </conditionalFormatting>
  <conditionalFormatting sqref="AX16">
    <cfRule type="cellIs" dxfId="2778" priority="728" operator="equal">
      <formula>1</formula>
    </cfRule>
    <cfRule type="cellIs" dxfId="2777" priority="729" operator="notEqual">
      <formula>0</formula>
    </cfRule>
  </conditionalFormatting>
  <conditionalFormatting sqref="AX17:AX69">
    <cfRule type="cellIs" dxfId="2776" priority="726" operator="equal">
      <formula>1</formula>
    </cfRule>
    <cfRule type="cellIs" dxfId="2775" priority="727" operator="notEqual">
      <formula>0</formula>
    </cfRule>
  </conditionalFormatting>
  <conditionalFormatting sqref="AX94:AX98">
    <cfRule type="cellIs" dxfId="2774" priority="724" operator="equal">
      <formula>1</formula>
    </cfRule>
    <cfRule type="cellIs" dxfId="2773" priority="725" operator="notEqual">
      <formula>0</formula>
    </cfRule>
  </conditionalFormatting>
  <conditionalFormatting sqref="AX101">
    <cfRule type="cellIs" dxfId="2772" priority="722" operator="equal">
      <formula>1</formula>
    </cfRule>
    <cfRule type="cellIs" dxfId="2771" priority="723" operator="notEqual">
      <formula>0</formula>
    </cfRule>
  </conditionalFormatting>
  <conditionalFormatting sqref="AX177">
    <cfRule type="cellIs" dxfId="2770" priority="720" operator="equal">
      <formula>1</formula>
    </cfRule>
    <cfRule type="cellIs" dxfId="2769" priority="721" operator="notEqual">
      <formula>0</formula>
    </cfRule>
  </conditionalFormatting>
  <conditionalFormatting sqref="AX267:AX270">
    <cfRule type="cellIs" dxfId="2768" priority="718" operator="equal">
      <formula>1</formula>
    </cfRule>
    <cfRule type="cellIs" dxfId="2767" priority="719" operator="notEqual">
      <formula>0</formula>
    </cfRule>
  </conditionalFormatting>
  <conditionalFormatting sqref="AX286">
    <cfRule type="cellIs" dxfId="2766" priority="716" operator="equal">
      <formula>1</formula>
    </cfRule>
    <cfRule type="cellIs" dxfId="2765" priority="717" operator="notEqual">
      <formula>0</formula>
    </cfRule>
  </conditionalFormatting>
  <conditionalFormatting sqref="AX289:AX290">
    <cfRule type="cellIs" dxfId="2764" priority="714" operator="equal">
      <formula>1</formula>
    </cfRule>
    <cfRule type="cellIs" dxfId="2763" priority="715" operator="notEqual">
      <formula>0</formula>
    </cfRule>
  </conditionalFormatting>
  <conditionalFormatting sqref="AX293">
    <cfRule type="cellIs" dxfId="2762" priority="712" operator="equal">
      <formula>1</formula>
    </cfRule>
    <cfRule type="cellIs" dxfId="2761" priority="713" operator="notEqual">
      <formula>0</formula>
    </cfRule>
  </conditionalFormatting>
  <conditionalFormatting sqref="AX402:AX407">
    <cfRule type="cellIs" dxfId="2760" priority="710" operator="equal">
      <formula>1</formula>
    </cfRule>
    <cfRule type="cellIs" dxfId="2759" priority="711" operator="notEqual">
      <formula>0</formula>
    </cfRule>
  </conditionalFormatting>
  <conditionalFormatting sqref="AX437:AX441">
    <cfRule type="cellIs" dxfId="2758" priority="708" operator="equal">
      <formula>1</formula>
    </cfRule>
    <cfRule type="cellIs" dxfId="2757" priority="709" operator="notEqual">
      <formula>0</formula>
    </cfRule>
  </conditionalFormatting>
  <conditionalFormatting sqref="AX640">
    <cfRule type="cellIs" dxfId="2756" priority="706" operator="equal">
      <formula>1</formula>
    </cfRule>
    <cfRule type="cellIs" dxfId="2755" priority="707" operator="notEqual">
      <formula>0</formula>
    </cfRule>
  </conditionalFormatting>
  <conditionalFormatting sqref="AX667">
    <cfRule type="cellIs" dxfId="2754" priority="704" operator="equal">
      <formula>1</formula>
    </cfRule>
    <cfRule type="cellIs" dxfId="2753" priority="705" operator="notEqual">
      <formula>0</formula>
    </cfRule>
  </conditionalFormatting>
  <conditionalFormatting sqref="AX760">
    <cfRule type="cellIs" dxfId="2752" priority="702" operator="equal">
      <formula>1</formula>
    </cfRule>
    <cfRule type="cellIs" dxfId="2751" priority="703" operator="notEqual">
      <formula>0</formula>
    </cfRule>
  </conditionalFormatting>
  <conditionalFormatting sqref="AX847">
    <cfRule type="cellIs" dxfId="2750" priority="700" operator="equal">
      <formula>1</formula>
    </cfRule>
    <cfRule type="cellIs" dxfId="2749" priority="701" operator="notEqual">
      <formula>0</formula>
    </cfRule>
  </conditionalFormatting>
  <conditionalFormatting sqref="AF119">
    <cfRule type="cellIs" dxfId="2748" priority="683" stopIfTrue="1" operator="lessThan">
      <formula>0</formula>
    </cfRule>
  </conditionalFormatting>
  <conditionalFormatting sqref="AF72:AF93">
    <cfRule type="cellIs" dxfId="2747" priority="695" stopIfTrue="1" operator="lessThan">
      <formula>0</formula>
    </cfRule>
  </conditionalFormatting>
  <conditionalFormatting sqref="AF123:AF124">
    <cfRule type="cellIs" dxfId="2746" priority="678" stopIfTrue="1" operator="lessThan">
      <formula>0</formula>
    </cfRule>
  </conditionalFormatting>
  <conditionalFormatting sqref="AF103:AF112">
    <cfRule type="cellIs" dxfId="2745" priority="690" stopIfTrue="1" operator="lessThan">
      <formula>0</formula>
    </cfRule>
  </conditionalFormatting>
  <conditionalFormatting sqref="AX115">
    <cfRule type="cellIs" dxfId="2744" priority="685" operator="notEqual">
      <formula>0</formula>
    </cfRule>
  </conditionalFormatting>
  <conditionalFormatting sqref="AX117">
    <cfRule type="cellIs" dxfId="2743" priority="684" operator="notEqual">
      <formula>0</formula>
    </cfRule>
  </conditionalFormatting>
  <conditionalFormatting sqref="AF126">
    <cfRule type="cellIs" dxfId="2742" priority="673" stopIfTrue="1" operator="lessThan">
      <formula>0</formula>
    </cfRule>
  </conditionalFormatting>
  <conditionalFormatting sqref="AF129">
    <cfRule type="cellIs" dxfId="2741" priority="668" stopIfTrue="1" operator="lessThan">
      <formula>0</formula>
    </cfRule>
  </conditionalFormatting>
  <conditionalFormatting sqref="AF131">
    <cfRule type="cellIs" dxfId="2740" priority="663" stopIfTrue="1" operator="lessThan">
      <formula>0</formula>
    </cfRule>
  </conditionalFormatting>
  <conditionalFormatting sqref="AF134">
    <cfRule type="cellIs" dxfId="2739" priority="658" stopIfTrue="1" operator="lessThan">
      <formula>0</formula>
    </cfRule>
  </conditionalFormatting>
  <conditionalFormatting sqref="AF136:AF138">
    <cfRule type="cellIs" dxfId="2738" priority="653" stopIfTrue="1" operator="lessThan">
      <formula>0</formula>
    </cfRule>
  </conditionalFormatting>
  <conditionalFormatting sqref="AF141">
    <cfRule type="cellIs" dxfId="2737" priority="648" stopIfTrue="1" operator="lessThan">
      <formula>0</formula>
    </cfRule>
  </conditionalFormatting>
  <conditionalFormatting sqref="AF144:AF145">
    <cfRule type="cellIs" dxfId="2736" priority="643" stopIfTrue="1" operator="lessThan">
      <formula>0</formula>
    </cfRule>
  </conditionalFormatting>
  <conditionalFormatting sqref="AF147:AF149">
    <cfRule type="cellIs" dxfId="2735" priority="638" stopIfTrue="1" operator="lessThan">
      <formula>0</formula>
    </cfRule>
  </conditionalFormatting>
  <conditionalFormatting sqref="AF152:AF159">
    <cfRule type="cellIs" dxfId="2734" priority="633" stopIfTrue="1" operator="lessThan">
      <formula>0</formula>
    </cfRule>
  </conditionalFormatting>
  <conditionalFormatting sqref="AF161:AF172">
    <cfRule type="cellIs" dxfId="2733" priority="628" stopIfTrue="1" operator="lessThan">
      <formula>0</formula>
    </cfRule>
  </conditionalFormatting>
  <conditionalFormatting sqref="AF185">
    <cfRule type="cellIs" dxfId="2732" priority="623" stopIfTrue="1" operator="lessThan">
      <formula>0</formula>
    </cfRule>
  </conditionalFormatting>
  <conditionalFormatting sqref="AF188:AF189">
    <cfRule type="cellIs" dxfId="2731" priority="618" stopIfTrue="1" operator="lessThan">
      <formula>0</formula>
    </cfRule>
  </conditionalFormatting>
  <conditionalFormatting sqref="AF196">
    <cfRule type="cellIs" dxfId="2730" priority="613" stopIfTrue="1" operator="lessThan">
      <formula>0</formula>
    </cfRule>
  </conditionalFormatting>
  <conditionalFormatting sqref="AF219">
    <cfRule type="cellIs" dxfId="2729" priority="608" stopIfTrue="1" operator="lessThan">
      <formula>0</formula>
    </cfRule>
  </conditionalFormatting>
  <conditionalFormatting sqref="AF221">
    <cfRule type="cellIs" dxfId="2728" priority="603" stopIfTrue="1" operator="lessThan">
      <formula>0</formula>
    </cfRule>
  </conditionalFormatting>
  <conditionalFormatting sqref="AF223">
    <cfRule type="cellIs" dxfId="2727" priority="598" stopIfTrue="1" operator="lessThan">
      <formula>0</formula>
    </cfRule>
  </conditionalFormatting>
  <conditionalFormatting sqref="AF229:AF231">
    <cfRule type="cellIs" dxfId="2726" priority="593" stopIfTrue="1" operator="lessThan">
      <formula>0</formula>
    </cfRule>
  </conditionalFormatting>
  <conditionalFormatting sqref="AF236">
    <cfRule type="cellIs" dxfId="2725" priority="588" stopIfTrue="1" operator="lessThan">
      <formula>0</formula>
    </cfRule>
  </conditionalFormatting>
  <conditionalFormatting sqref="AF239:AF240">
    <cfRule type="cellIs" dxfId="2724" priority="583" stopIfTrue="1" operator="lessThan">
      <formula>0</formula>
    </cfRule>
  </conditionalFormatting>
  <conditionalFormatting sqref="AF245:AF250">
    <cfRule type="cellIs" dxfId="2723" priority="578" stopIfTrue="1" operator="lessThan">
      <formula>0</formula>
    </cfRule>
  </conditionalFormatting>
  <conditionalFormatting sqref="AF253:AF256">
    <cfRule type="cellIs" dxfId="2722" priority="573" stopIfTrue="1" operator="lessThan">
      <formula>0</formula>
    </cfRule>
  </conditionalFormatting>
  <conditionalFormatting sqref="AF283">
    <cfRule type="cellIs" dxfId="2721" priority="568" stopIfTrue="1" operator="lessThan">
      <formula>0</formula>
    </cfRule>
  </conditionalFormatting>
  <conditionalFormatting sqref="AF287:AF288">
    <cfRule type="cellIs" dxfId="2720" priority="563" stopIfTrue="1" operator="lessThan">
      <formula>0</formula>
    </cfRule>
  </conditionalFormatting>
  <conditionalFormatting sqref="AF291:AF292">
    <cfRule type="cellIs" dxfId="2719" priority="558" stopIfTrue="1" operator="lessThan">
      <formula>0</formula>
    </cfRule>
  </conditionalFormatting>
  <conditionalFormatting sqref="AF294:AF321">
    <cfRule type="cellIs" dxfId="2718" priority="553" stopIfTrue="1" operator="lessThan">
      <formula>0</formula>
    </cfRule>
  </conditionalFormatting>
  <conditionalFormatting sqref="AF323:AF326">
    <cfRule type="cellIs" dxfId="2717" priority="548" stopIfTrue="1" operator="lessThan">
      <formula>0</formula>
    </cfRule>
  </conditionalFormatting>
  <conditionalFormatting sqref="AF331:AF335">
    <cfRule type="cellIs" dxfId="2716" priority="543" stopIfTrue="1" operator="lessThan">
      <formula>0</formula>
    </cfRule>
  </conditionalFormatting>
  <conditionalFormatting sqref="AF336">
    <cfRule type="cellIs" dxfId="2715" priority="538" stopIfTrue="1" operator="lessThan">
      <formula>0</formula>
    </cfRule>
  </conditionalFormatting>
  <conditionalFormatting sqref="AF338:AF343">
    <cfRule type="cellIs" dxfId="2714" priority="533" stopIfTrue="1" operator="lessThan">
      <formula>0</formula>
    </cfRule>
  </conditionalFormatting>
  <conditionalFormatting sqref="AF346:AF363">
    <cfRule type="cellIs" dxfId="2713" priority="528" stopIfTrue="1" operator="lessThan">
      <formula>0</formula>
    </cfRule>
  </conditionalFormatting>
  <conditionalFormatting sqref="AF368:AF379">
    <cfRule type="cellIs" dxfId="2712" priority="523" stopIfTrue="1" operator="lessThan">
      <formula>0</formula>
    </cfRule>
  </conditionalFormatting>
  <conditionalFormatting sqref="AF415">
    <cfRule type="cellIs" dxfId="2711" priority="518" stopIfTrue="1" operator="lessThan">
      <formula>0</formula>
    </cfRule>
  </conditionalFormatting>
  <conditionalFormatting sqref="AF573:AF575">
    <cfRule type="cellIs" dxfId="2710" priority="513" stopIfTrue="1" operator="lessThan">
      <formula>0</formula>
    </cfRule>
  </conditionalFormatting>
  <conditionalFormatting sqref="AF579">
    <cfRule type="cellIs" dxfId="2709" priority="508" stopIfTrue="1" operator="lessThan">
      <formula>0</formula>
    </cfRule>
  </conditionalFormatting>
  <conditionalFormatting sqref="AF604">
    <cfRule type="cellIs" dxfId="2708" priority="503" stopIfTrue="1" operator="lessThan">
      <formula>0</formula>
    </cfRule>
  </conditionalFormatting>
  <conditionalFormatting sqref="AF608">
    <cfRule type="cellIs" dxfId="2707" priority="498" stopIfTrue="1" operator="lessThan">
      <formula>0</formula>
    </cfRule>
  </conditionalFormatting>
  <conditionalFormatting sqref="AF832:AF834">
    <cfRule type="cellIs" dxfId="2706" priority="493" stopIfTrue="1" operator="lessThan">
      <formula>0</formula>
    </cfRule>
  </conditionalFormatting>
  <conditionalFormatting sqref="AF837:AF841">
    <cfRule type="cellIs" dxfId="2705" priority="488" stopIfTrue="1" operator="lessThan">
      <formula>0</formula>
    </cfRule>
  </conditionalFormatting>
  <conditionalFormatting sqref="AF846">
    <cfRule type="cellIs" dxfId="2704" priority="483" stopIfTrue="1" operator="lessThan">
      <formula>0</formula>
    </cfRule>
  </conditionalFormatting>
  <conditionalFormatting sqref="AF858:AF867">
    <cfRule type="cellIs" dxfId="2703" priority="478" stopIfTrue="1" operator="lessThan">
      <formula>0</formula>
    </cfRule>
  </conditionalFormatting>
  <conditionalFormatting sqref="AF884">
    <cfRule type="cellIs" dxfId="2702" priority="473" stopIfTrue="1" operator="lessThan">
      <formula>0</formula>
    </cfRule>
  </conditionalFormatting>
  <conditionalFormatting sqref="AF887">
    <cfRule type="cellIs" dxfId="2701" priority="468" stopIfTrue="1" operator="lessThan">
      <formula>0</formula>
    </cfRule>
  </conditionalFormatting>
  <conditionalFormatting sqref="AG570">
    <cfRule type="cellIs" dxfId="2700" priority="463" stopIfTrue="1" operator="lessThan">
      <formula>0</formula>
    </cfRule>
  </conditionalFormatting>
  <conditionalFormatting sqref="AG570">
    <cfRule type="expression" dxfId="2699" priority="462">
      <formula>(#REF!+#REF!)&lt;&gt;(#REF!+#REF!)</formula>
    </cfRule>
  </conditionalFormatting>
  <conditionalFormatting sqref="AH570">
    <cfRule type="cellIs" dxfId="2698" priority="461" stopIfTrue="1" operator="lessThan">
      <formula>0</formula>
    </cfRule>
  </conditionalFormatting>
  <conditionalFormatting sqref="AH570">
    <cfRule type="expression" dxfId="2697" priority="460">
      <formula>(#REF!+#REF!)&lt;&gt;(#REF!+#REF!)</formula>
    </cfRule>
  </conditionalFormatting>
  <conditionalFormatting sqref="AF99:AF100">
    <cfRule type="cellIs" dxfId="2696" priority="459" stopIfTrue="1" operator="lessThan">
      <formula>0</formula>
    </cfRule>
  </conditionalFormatting>
  <conditionalFormatting sqref="AF122">
    <cfRule type="cellIs" dxfId="2695" priority="439" stopIfTrue="1" operator="lessThan">
      <formula>0</formula>
    </cfRule>
  </conditionalFormatting>
  <conditionalFormatting sqref="AF118">
    <cfRule type="cellIs" dxfId="2694" priority="444" stopIfTrue="1" operator="lessThan">
      <formula>0</formula>
    </cfRule>
  </conditionalFormatting>
  <conditionalFormatting sqref="AF125">
    <cfRule type="cellIs" dxfId="2693" priority="434" stopIfTrue="1" operator="lessThan">
      <formula>0</formula>
    </cfRule>
  </conditionalFormatting>
  <conditionalFormatting sqref="AF127:AF128">
    <cfRule type="cellIs" dxfId="2692" priority="429" stopIfTrue="1" operator="lessThan">
      <formula>0</formula>
    </cfRule>
  </conditionalFormatting>
  <conditionalFormatting sqref="AF130">
    <cfRule type="cellIs" dxfId="2691" priority="424" stopIfTrue="1" operator="lessThan">
      <formula>0</formula>
    </cfRule>
  </conditionalFormatting>
  <conditionalFormatting sqref="AF132:AF133">
    <cfRule type="cellIs" dxfId="2690" priority="419" stopIfTrue="1" operator="lessThan">
      <formula>0</formula>
    </cfRule>
  </conditionalFormatting>
  <conditionalFormatting sqref="AF135">
    <cfRule type="cellIs" dxfId="2689" priority="414" stopIfTrue="1" operator="lessThan">
      <formula>0</formula>
    </cfRule>
  </conditionalFormatting>
  <conditionalFormatting sqref="AF139:AF140">
    <cfRule type="cellIs" dxfId="2688" priority="409" stopIfTrue="1" operator="lessThan">
      <formula>0</formula>
    </cfRule>
  </conditionalFormatting>
  <conditionalFormatting sqref="AF142:AF143">
    <cfRule type="cellIs" dxfId="2687" priority="404" stopIfTrue="1" operator="lessThan">
      <formula>0</formula>
    </cfRule>
  </conditionalFormatting>
  <conditionalFormatting sqref="AF146">
    <cfRule type="cellIs" dxfId="2686" priority="399" stopIfTrue="1" operator="lessThan">
      <formula>0</formula>
    </cfRule>
  </conditionalFormatting>
  <conditionalFormatting sqref="AF150:AF151">
    <cfRule type="cellIs" dxfId="2685" priority="394" stopIfTrue="1" operator="lessThan">
      <formula>0</formula>
    </cfRule>
  </conditionalFormatting>
  <conditionalFormatting sqref="AF173:AF175">
    <cfRule type="cellIs" dxfId="2684" priority="389" stopIfTrue="1" operator="lessThan">
      <formula>0</formula>
    </cfRule>
  </conditionalFormatting>
  <conditionalFormatting sqref="AF184">
    <cfRule type="cellIs" dxfId="2683" priority="384" stopIfTrue="1" operator="lessThan">
      <formula>0</formula>
    </cfRule>
  </conditionalFormatting>
  <conditionalFormatting sqref="AF186:AF187">
    <cfRule type="cellIs" dxfId="2682" priority="379" stopIfTrue="1" operator="lessThan">
      <formula>0</formula>
    </cfRule>
  </conditionalFormatting>
  <conditionalFormatting sqref="AF190">
    <cfRule type="cellIs" dxfId="2681" priority="374" stopIfTrue="1" operator="lessThan">
      <formula>0</formula>
    </cfRule>
  </conditionalFormatting>
  <conditionalFormatting sqref="AF195">
    <cfRule type="cellIs" dxfId="2680" priority="369" stopIfTrue="1" operator="lessThan">
      <formula>0</formula>
    </cfRule>
  </conditionalFormatting>
  <conditionalFormatting sqref="AF197:AF198">
    <cfRule type="cellIs" dxfId="2679" priority="364" stopIfTrue="1" operator="lessThan">
      <formula>0</formula>
    </cfRule>
  </conditionalFormatting>
  <conditionalFormatting sqref="AF220">
    <cfRule type="cellIs" dxfId="2678" priority="359" stopIfTrue="1" operator="lessThan">
      <formula>0</formula>
    </cfRule>
  </conditionalFormatting>
  <conditionalFormatting sqref="AF222">
    <cfRule type="cellIs" dxfId="2677" priority="354" stopIfTrue="1" operator="lessThan">
      <formula>0</formula>
    </cfRule>
  </conditionalFormatting>
  <conditionalFormatting sqref="AF224:AF228">
    <cfRule type="cellIs" dxfId="2676" priority="349" stopIfTrue="1" operator="lessThan">
      <formula>0</formula>
    </cfRule>
  </conditionalFormatting>
  <conditionalFormatting sqref="AF232:AF235">
    <cfRule type="cellIs" dxfId="2675" priority="344" stopIfTrue="1" operator="lessThan">
      <formula>0</formula>
    </cfRule>
  </conditionalFormatting>
  <conditionalFormatting sqref="AF237:AF238">
    <cfRule type="cellIs" dxfId="2674" priority="339" stopIfTrue="1" operator="lessThan">
      <formula>0</formula>
    </cfRule>
  </conditionalFormatting>
  <conditionalFormatting sqref="AF241:AF244">
    <cfRule type="cellIs" dxfId="2673" priority="334" stopIfTrue="1" operator="lessThan">
      <formula>0</formula>
    </cfRule>
  </conditionalFormatting>
  <conditionalFormatting sqref="AF251:AF252">
    <cfRule type="cellIs" dxfId="2672" priority="329" stopIfTrue="1" operator="lessThan">
      <formula>0</formula>
    </cfRule>
  </conditionalFormatting>
  <conditionalFormatting sqref="AF257:AF266">
    <cfRule type="cellIs" dxfId="2671" priority="324" stopIfTrue="1" operator="lessThan">
      <formula>0</formula>
    </cfRule>
  </conditionalFormatting>
  <conditionalFormatting sqref="AF284">
    <cfRule type="cellIs" dxfId="2670" priority="319" stopIfTrue="1" operator="lessThan">
      <formula>0</formula>
    </cfRule>
  </conditionalFormatting>
  <conditionalFormatting sqref="AF337">
    <cfRule type="cellIs" dxfId="2669" priority="314" stopIfTrue="1" operator="lessThan">
      <formula>0</formula>
    </cfRule>
  </conditionalFormatting>
  <conditionalFormatting sqref="AF364:AF367">
    <cfRule type="cellIs" dxfId="2668" priority="309" stopIfTrue="1" operator="lessThan">
      <formula>0</formula>
    </cfRule>
  </conditionalFormatting>
  <conditionalFormatting sqref="AF380:AF382">
    <cfRule type="cellIs" dxfId="2667" priority="304" stopIfTrue="1" operator="lessThan">
      <formula>0</formula>
    </cfRule>
  </conditionalFormatting>
  <conditionalFormatting sqref="AF416">
    <cfRule type="cellIs" dxfId="2666" priority="299" stopIfTrue="1" operator="lessThan">
      <formula>0</formula>
    </cfRule>
  </conditionalFormatting>
  <conditionalFormatting sqref="AF566:AF569">
    <cfRule type="cellIs" dxfId="2665" priority="294" stopIfTrue="1" operator="lessThan">
      <formula>0</formula>
    </cfRule>
  </conditionalFormatting>
  <conditionalFormatting sqref="AF571:AF572">
    <cfRule type="cellIs" dxfId="2664" priority="289" stopIfTrue="1" operator="lessThan">
      <formula>0</formula>
    </cfRule>
  </conditionalFormatting>
  <conditionalFormatting sqref="AF576:AF578">
    <cfRule type="cellIs" dxfId="2663" priority="284" stopIfTrue="1" operator="lessThan">
      <formula>0</formula>
    </cfRule>
  </conditionalFormatting>
  <conditionalFormatting sqref="AF580">
    <cfRule type="cellIs" dxfId="2662" priority="279" stopIfTrue="1" operator="lessThan">
      <formula>0</formula>
    </cfRule>
  </conditionalFormatting>
  <conditionalFormatting sqref="AF835:AF836">
    <cfRule type="cellIs" dxfId="2661" priority="274" stopIfTrue="1" operator="lessThan">
      <formula>0</formula>
    </cfRule>
  </conditionalFormatting>
  <conditionalFormatting sqref="AF842:AF845">
    <cfRule type="cellIs" dxfId="2660" priority="269" stopIfTrue="1" operator="lessThan">
      <formula>0</formula>
    </cfRule>
  </conditionalFormatting>
  <conditionalFormatting sqref="AF848">
    <cfRule type="cellIs" dxfId="2659" priority="264" stopIfTrue="1" operator="lessThan">
      <formula>0</formula>
    </cfRule>
  </conditionalFormatting>
  <conditionalFormatting sqref="AF868:AF875">
    <cfRule type="cellIs" dxfId="2658" priority="259" stopIfTrue="1" operator="lessThan">
      <formula>0</formula>
    </cfRule>
  </conditionalFormatting>
  <conditionalFormatting sqref="AF885:AF886">
    <cfRule type="cellIs" dxfId="2657" priority="254" stopIfTrue="1" operator="lessThan">
      <formula>0</formula>
    </cfRule>
  </conditionalFormatting>
  <conditionalFormatting sqref="AX71">
    <cfRule type="cellIs" dxfId="2656" priority="248" operator="notEqual">
      <formula>0</formula>
    </cfRule>
  </conditionalFormatting>
  <conditionalFormatting sqref="AX72:AX89">
    <cfRule type="cellIs" dxfId="2655" priority="247" operator="notEqual">
      <formula>0</formula>
    </cfRule>
  </conditionalFormatting>
  <conditionalFormatting sqref="AX103:AX112">
    <cfRule type="cellIs" dxfId="2654" priority="246" operator="notEqual">
      <formula>0</formula>
    </cfRule>
  </conditionalFormatting>
  <conditionalFormatting sqref="AX119">
    <cfRule type="cellIs" dxfId="2653" priority="245" operator="notEqual">
      <formula>0</formula>
    </cfRule>
  </conditionalFormatting>
  <conditionalFormatting sqref="AX123:AX124">
    <cfRule type="cellIs" dxfId="2652" priority="244" operator="notEqual">
      <formula>0</formula>
    </cfRule>
  </conditionalFormatting>
  <conditionalFormatting sqref="AX126">
    <cfRule type="cellIs" dxfId="2651" priority="243" operator="notEqual">
      <formula>0</formula>
    </cfRule>
  </conditionalFormatting>
  <conditionalFormatting sqref="AX129">
    <cfRule type="cellIs" dxfId="2650" priority="242" operator="notEqual">
      <formula>0</formula>
    </cfRule>
  </conditionalFormatting>
  <conditionalFormatting sqref="AX131">
    <cfRule type="cellIs" dxfId="2649" priority="241" operator="notEqual">
      <formula>0</formula>
    </cfRule>
  </conditionalFormatting>
  <conditionalFormatting sqref="AX134">
    <cfRule type="cellIs" dxfId="2648" priority="240" operator="notEqual">
      <formula>0</formula>
    </cfRule>
  </conditionalFormatting>
  <conditionalFormatting sqref="AX136:AX138">
    <cfRule type="cellIs" dxfId="2647" priority="239" operator="notEqual">
      <formula>0</formula>
    </cfRule>
  </conditionalFormatting>
  <conditionalFormatting sqref="AX141">
    <cfRule type="cellIs" dxfId="2646" priority="238" operator="notEqual">
      <formula>0</formula>
    </cfRule>
  </conditionalFormatting>
  <conditionalFormatting sqref="AX144:AX145">
    <cfRule type="cellIs" dxfId="2645" priority="237" operator="notEqual">
      <formula>0</formula>
    </cfRule>
  </conditionalFormatting>
  <conditionalFormatting sqref="AX147:AX149">
    <cfRule type="cellIs" dxfId="2644" priority="236" operator="notEqual">
      <formula>0</formula>
    </cfRule>
  </conditionalFormatting>
  <conditionalFormatting sqref="AX152:AX159">
    <cfRule type="cellIs" dxfId="2643" priority="235" operator="notEqual">
      <formula>0</formula>
    </cfRule>
  </conditionalFormatting>
  <conditionalFormatting sqref="AX161:AX172">
    <cfRule type="cellIs" dxfId="2642" priority="234" operator="notEqual">
      <formula>0</formula>
    </cfRule>
  </conditionalFormatting>
  <conditionalFormatting sqref="AX185">
    <cfRule type="cellIs" dxfId="2641" priority="233" operator="notEqual">
      <formula>0</formula>
    </cfRule>
  </conditionalFormatting>
  <conditionalFormatting sqref="AX188:AX189">
    <cfRule type="cellIs" dxfId="2640" priority="232" operator="notEqual">
      <formula>0</formula>
    </cfRule>
  </conditionalFormatting>
  <conditionalFormatting sqref="AX196">
    <cfRule type="cellIs" dxfId="2639" priority="231" operator="notEqual">
      <formula>0</formula>
    </cfRule>
  </conditionalFormatting>
  <conditionalFormatting sqref="AX221">
    <cfRule type="cellIs" dxfId="2638" priority="230" operator="notEqual">
      <formula>0</formula>
    </cfRule>
  </conditionalFormatting>
  <conditionalFormatting sqref="AX223">
    <cfRule type="cellIs" dxfId="2637" priority="229" operator="notEqual">
      <formula>0</formula>
    </cfRule>
  </conditionalFormatting>
  <conditionalFormatting sqref="AX229:AX231">
    <cfRule type="cellIs" dxfId="2636" priority="228" operator="notEqual">
      <formula>0</formula>
    </cfRule>
  </conditionalFormatting>
  <conditionalFormatting sqref="AX236">
    <cfRule type="cellIs" dxfId="2635" priority="227" operator="notEqual">
      <formula>0</formula>
    </cfRule>
  </conditionalFormatting>
  <conditionalFormatting sqref="AX239:AX240">
    <cfRule type="cellIs" dxfId="2634" priority="226" operator="notEqual">
      <formula>0</formula>
    </cfRule>
  </conditionalFormatting>
  <conditionalFormatting sqref="AX245:AX250">
    <cfRule type="cellIs" dxfId="2633" priority="225" operator="notEqual">
      <formula>0</formula>
    </cfRule>
  </conditionalFormatting>
  <conditionalFormatting sqref="AX253:AX256">
    <cfRule type="cellIs" dxfId="2632" priority="224" operator="notEqual">
      <formula>0</formula>
    </cfRule>
  </conditionalFormatting>
  <conditionalFormatting sqref="AX283">
    <cfRule type="cellIs" dxfId="2631" priority="223" operator="notEqual">
      <formula>0</formula>
    </cfRule>
  </conditionalFormatting>
  <conditionalFormatting sqref="AX287:AX288">
    <cfRule type="cellIs" dxfId="2630" priority="222" operator="notEqual">
      <formula>0</formula>
    </cfRule>
  </conditionalFormatting>
  <conditionalFormatting sqref="AX291:AX292">
    <cfRule type="cellIs" dxfId="2629" priority="221" operator="notEqual">
      <formula>0</formula>
    </cfRule>
  </conditionalFormatting>
  <conditionalFormatting sqref="AX294:AX321">
    <cfRule type="cellIs" dxfId="2628" priority="220" operator="notEqual">
      <formula>0</formula>
    </cfRule>
  </conditionalFormatting>
  <conditionalFormatting sqref="AX323:AX326">
    <cfRule type="cellIs" dxfId="2627" priority="219" operator="notEqual">
      <formula>0</formula>
    </cfRule>
  </conditionalFormatting>
  <conditionalFormatting sqref="AX331:AX336">
    <cfRule type="cellIs" dxfId="2626" priority="218" operator="notEqual">
      <formula>0</formula>
    </cfRule>
  </conditionalFormatting>
  <conditionalFormatting sqref="AX338:AX343">
    <cfRule type="cellIs" dxfId="2625" priority="217" operator="notEqual">
      <formula>0</formula>
    </cfRule>
  </conditionalFormatting>
  <conditionalFormatting sqref="AX346:AX362">
    <cfRule type="cellIs" dxfId="2624" priority="216" operator="notEqual">
      <formula>0</formula>
    </cfRule>
  </conditionalFormatting>
  <conditionalFormatting sqref="AX368:AX379">
    <cfRule type="cellIs" dxfId="2623" priority="215" operator="notEqual">
      <formula>0</formula>
    </cfRule>
  </conditionalFormatting>
  <conditionalFormatting sqref="AX415">
    <cfRule type="cellIs" dxfId="2622" priority="214" operator="notEqual">
      <formula>0</formula>
    </cfRule>
  </conditionalFormatting>
  <conditionalFormatting sqref="AX570">
    <cfRule type="cellIs" dxfId="2621" priority="213" operator="notEqual">
      <formula>0</formula>
    </cfRule>
  </conditionalFormatting>
  <conditionalFormatting sqref="AX573:AX575">
    <cfRule type="cellIs" dxfId="2620" priority="212" operator="notEqual">
      <formula>0</formula>
    </cfRule>
  </conditionalFormatting>
  <conditionalFormatting sqref="AX579">
    <cfRule type="cellIs" dxfId="2619" priority="211" operator="notEqual">
      <formula>0</formula>
    </cfRule>
  </conditionalFormatting>
  <conditionalFormatting sqref="AX604">
    <cfRule type="cellIs" dxfId="2618" priority="210" operator="notEqual">
      <formula>0</formula>
    </cfRule>
  </conditionalFormatting>
  <conditionalFormatting sqref="AX608">
    <cfRule type="cellIs" dxfId="2617" priority="209" operator="notEqual">
      <formula>0</formula>
    </cfRule>
  </conditionalFormatting>
  <conditionalFormatting sqref="AX832:AX834">
    <cfRule type="cellIs" dxfId="2616" priority="208" operator="notEqual">
      <formula>0</formula>
    </cfRule>
  </conditionalFormatting>
  <conditionalFormatting sqref="AX837:AX841">
    <cfRule type="cellIs" dxfId="2615" priority="207" operator="notEqual">
      <formula>0</formula>
    </cfRule>
  </conditionalFormatting>
  <conditionalFormatting sqref="AX846">
    <cfRule type="cellIs" dxfId="2614" priority="206" operator="notEqual">
      <formula>0</formula>
    </cfRule>
  </conditionalFormatting>
  <conditionalFormatting sqref="AX858:AX867">
    <cfRule type="cellIs" dxfId="2613" priority="205" operator="notEqual">
      <formula>0</formula>
    </cfRule>
  </conditionalFormatting>
  <conditionalFormatting sqref="AX884">
    <cfRule type="cellIs" dxfId="2612" priority="204" operator="notEqual">
      <formula>0</formula>
    </cfRule>
  </conditionalFormatting>
  <conditionalFormatting sqref="AX887">
    <cfRule type="cellIs" dxfId="2611" priority="203" operator="notEqual">
      <formula>0</formula>
    </cfRule>
  </conditionalFormatting>
  <conditionalFormatting sqref="AX90:AX93">
    <cfRule type="cellIs" dxfId="2610" priority="202" operator="notEqual">
      <formula>0</formula>
    </cfRule>
  </conditionalFormatting>
  <conditionalFormatting sqref="AX100">
    <cfRule type="cellIs" dxfId="2609" priority="201" operator="notEqual">
      <formula>0</formula>
    </cfRule>
  </conditionalFormatting>
  <conditionalFormatting sqref="AX99">
    <cfRule type="cellIs" dxfId="2608" priority="200" operator="notEqual">
      <formula>0</formula>
    </cfRule>
  </conditionalFormatting>
  <conditionalFormatting sqref="AX114">
    <cfRule type="cellIs" dxfId="2607" priority="199" operator="notEqual">
      <formula>0</formula>
    </cfRule>
  </conditionalFormatting>
  <conditionalFormatting sqref="AX116">
    <cfRule type="cellIs" dxfId="2606" priority="198" operator="notEqual">
      <formula>0</formula>
    </cfRule>
  </conditionalFormatting>
  <conditionalFormatting sqref="AX118">
    <cfRule type="cellIs" dxfId="2605" priority="197" operator="notEqual">
      <formula>0</formula>
    </cfRule>
  </conditionalFormatting>
  <conditionalFormatting sqref="AX122">
    <cfRule type="cellIs" dxfId="2604" priority="196" operator="notEqual">
      <formula>0</formula>
    </cfRule>
  </conditionalFormatting>
  <conditionalFormatting sqref="AX125">
    <cfRule type="cellIs" dxfId="2603" priority="195" operator="notEqual">
      <formula>0</formula>
    </cfRule>
  </conditionalFormatting>
  <conditionalFormatting sqref="AX127:AX128">
    <cfRule type="cellIs" dxfId="2602" priority="194" operator="notEqual">
      <formula>0</formula>
    </cfRule>
  </conditionalFormatting>
  <conditionalFormatting sqref="AX130">
    <cfRule type="cellIs" dxfId="2601" priority="193" operator="notEqual">
      <formula>0</formula>
    </cfRule>
  </conditionalFormatting>
  <conditionalFormatting sqref="AX132:AX133">
    <cfRule type="cellIs" dxfId="2600" priority="192" operator="notEqual">
      <formula>0</formula>
    </cfRule>
  </conditionalFormatting>
  <conditionalFormatting sqref="AX135">
    <cfRule type="cellIs" dxfId="2599" priority="191" operator="notEqual">
      <formula>0</formula>
    </cfRule>
  </conditionalFormatting>
  <conditionalFormatting sqref="AX139:AX140">
    <cfRule type="cellIs" dxfId="2598" priority="190" operator="notEqual">
      <formula>0</formula>
    </cfRule>
  </conditionalFormatting>
  <conditionalFormatting sqref="AX142:AX143">
    <cfRule type="cellIs" dxfId="2597" priority="189" operator="notEqual">
      <formula>0</formula>
    </cfRule>
  </conditionalFormatting>
  <conditionalFormatting sqref="AX146">
    <cfRule type="cellIs" dxfId="2596" priority="188" operator="notEqual">
      <formula>0</formula>
    </cfRule>
  </conditionalFormatting>
  <conditionalFormatting sqref="AX150:AX151">
    <cfRule type="cellIs" dxfId="2595" priority="187" operator="notEqual">
      <formula>0</formula>
    </cfRule>
  </conditionalFormatting>
  <conditionalFormatting sqref="AX173:AX175">
    <cfRule type="cellIs" dxfId="2594" priority="186" operator="notEqual">
      <formula>0</formula>
    </cfRule>
  </conditionalFormatting>
  <conditionalFormatting sqref="AX184">
    <cfRule type="cellIs" dxfId="2593" priority="185" operator="notEqual">
      <formula>0</formula>
    </cfRule>
  </conditionalFormatting>
  <conditionalFormatting sqref="AX186:AX187">
    <cfRule type="cellIs" dxfId="2592" priority="184" operator="notEqual">
      <formula>0</formula>
    </cfRule>
  </conditionalFormatting>
  <conditionalFormatting sqref="AX190">
    <cfRule type="cellIs" dxfId="2591" priority="183" operator="notEqual">
      <formula>0</formula>
    </cfRule>
  </conditionalFormatting>
  <conditionalFormatting sqref="AX195">
    <cfRule type="cellIs" dxfId="2590" priority="182" operator="notEqual">
      <formula>0</formula>
    </cfRule>
  </conditionalFormatting>
  <conditionalFormatting sqref="AX197:AX198">
    <cfRule type="cellIs" dxfId="2589" priority="181" operator="notEqual">
      <formula>0</formula>
    </cfRule>
  </conditionalFormatting>
  <conditionalFormatting sqref="AX220">
    <cfRule type="cellIs" dxfId="2588" priority="180" operator="notEqual">
      <formula>0</formula>
    </cfRule>
  </conditionalFormatting>
  <conditionalFormatting sqref="AV219">
    <cfRule type="cellIs" dxfId="2587" priority="179" operator="notEqual">
      <formula>0</formula>
    </cfRule>
  </conditionalFormatting>
  <conditionalFormatting sqref="AX219">
    <cfRule type="cellIs" dxfId="2586" priority="178" operator="notEqual">
      <formula>0</formula>
    </cfRule>
  </conditionalFormatting>
  <conditionalFormatting sqref="AX222">
    <cfRule type="cellIs" dxfId="2585" priority="177" operator="notEqual">
      <formula>0</formula>
    </cfRule>
  </conditionalFormatting>
  <conditionalFormatting sqref="AX224:AX228">
    <cfRule type="cellIs" dxfId="2584" priority="176" operator="notEqual">
      <formula>0</formula>
    </cfRule>
  </conditionalFormatting>
  <conditionalFormatting sqref="AX232:AX235">
    <cfRule type="cellIs" dxfId="2583" priority="175" operator="notEqual">
      <formula>0</formula>
    </cfRule>
  </conditionalFormatting>
  <conditionalFormatting sqref="AX237:AX238">
    <cfRule type="cellIs" dxfId="2582" priority="174" operator="notEqual">
      <formula>0</formula>
    </cfRule>
  </conditionalFormatting>
  <conditionalFormatting sqref="AX241:AX244">
    <cfRule type="cellIs" dxfId="2581" priority="173" operator="notEqual">
      <formula>0</formula>
    </cfRule>
  </conditionalFormatting>
  <conditionalFormatting sqref="AX251:AX252">
    <cfRule type="cellIs" dxfId="2580" priority="172" operator="notEqual">
      <formula>0</formula>
    </cfRule>
  </conditionalFormatting>
  <conditionalFormatting sqref="AX257:AX266">
    <cfRule type="cellIs" dxfId="2579" priority="171" operator="notEqual">
      <formula>0</formula>
    </cfRule>
  </conditionalFormatting>
  <conditionalFormatting sqref="AX284">
    <cfRule type="cellIs" dxfId="2578" priority="170" operator="notEqual">
      <formula>0</formula>
    </cfRule>
  </conditionalFormatting>
  <conditionalFormatting sqref="AX337">
    <cfRule type="cellIs" dxfId="2577" priority="169" operator="notEqual">
      <formula>0</formula>
    </cfRule>
  </conditionalFormatting>
  <conditionalFormatting sqref="AX364:AX367">
    <cfRule type="cellIs" dxfId="2576" priority="168" operator="notEqual">
      <formula>0</formula>
    </cfRule>
  </conditionalFormatting>
  <conditionalFormatting sqref="AX363">
    <cfRule type="cellIs" dxfId="2575" priority="167" operator="notEqual">
      <formula>0</formula>
    </cfRule>
  </conditionalFormatting>
  <conditionalFormatting sqref="AX380:AX382">
    <cfRule type="cellIs" dxfId="2574" priority="166" operator="notEqual">
      <formula>0</formula>
    </cfRule>
  </conditionalFormatting>
  <conditionalFormatting sqref="AX416">
    <cfRule type="cellIs" dxfId="2573" priority="165" operator="notEqual">
      <formula>0</formula>
    </cfRule>
  </conditionalFormatting>
  <conditionalFormatting sqref="AX566:AX569">
    <cfRule type="cellIs" dxfId="2572" priority="164" operator="notEqual">
      <formula>0</formula>
    </cfRule>
  </conditionalFormatting>
  <conditionalFormatting sqref="AX571:AX572">
    <cfRule type="cellIs" dxfId="2571" priority="163" operator="notEqual">
      <formula>0</formula>
    </cfRule>
  </conditionalFormatting>
  <conditionalFormatting sqref="AX576:AX578">
    <cfRule type="cellIs" dxfId="2570" priority="162" operator="notEqual">
      <formula>0</formula>
    </cfRule>
  </conditionalFormatting>
  <conditionalFormatting sqref="AX580">
    <cfRule type="cellIs" dxfId="2569" priority="161" operator="notEqual">
      <formula>0</formula>
    </cfRule>
  </conditionalFormatting>
  <conditionalFormatting sqref="AX835:AX836">
    <cfRule type="cellIs" dxfId="2568" priority="160" operator="notEqual">
      <formula>0</formula>
    </cfRule>
  </conditionalFormatting>
  <conditionalFormatting sqref="AX842:AX845">
    <cfRule type="cellIs" dxfId="2567" priority="159" operator="notEqual">
      <formula>0</formula>
    </cfRule>
  </conditionalFormatting>
  <conditionalFormatting sqref="AX848">
    <cfRule type="cellIs" dxfId="2566" priority="158" operator="notEqual">
      <formula>0</formula>
    </cfRule>
  </conditionalFormatting>
  <conditionalFormatting sqref="AX868:AX875">
    <cfRule type="cellIs" dxfId="2565" priority="157" operator="notEqual">
      <formula>0</formula>
    </cfRule>
  </conditionalFormatting>
  <conditionalFormatting sqref="AX885:AX886">
    <cfRule type="cellIs" dxfId="2564" priority="156" operator="notEqual">
      <formula>0</formula>
    </cfRule>
  </conditionalFormatting>
  <conditionalFormatting sqref="H13:L13">
    <cfRule type="cellIs" dxfId="2563" priority="155" operator="notEqual">
      <formula>0</formula>
    </cfRule>
  </conditionalFormatting>
  <conditionalFormatting sqref="S76:T87 S89:T93 S14:T70 S72:T74">
    <cfRule type="cellIs" dxfId="2562" priority="154" stopIfTrue="1" operator="lessThan">
      <formula>0</formula>
    </cfRule>
  </conditionalFormatting>
  <conditionalFormatting sqref="S94:T101">
    <cfRule type="cellIs" dxfId="2561" priority="153" stopIfTrue="1" operator="lessThan">
      <formula>0</formula>
    </cfRule>
  </conditionalFormatting>
  <conditionalFormatting sqref="S103:T114">
    <cfRule type="cellIs" dxfId="2560" priority="152" stopIfTrue="1" operator="lessThan">
      <formula>0</formula>
    </cfRule>
  </conditionalFormatting>
  <conditionalFormatting sqref="S116:T116">
    <cfRule type="cellIs" dxfId="2559" priority="151" stopIfTrue="1" operator="lessThan">
      <formula>0</formula>
    </cfRule>
  </conditionalFormatting>
  <conditionalFormatting sqref="S156:T166 S152:T153 S150:T150 S124:T148 S120:T121 S118:T118 S176:T284">
    <cfRule type="cellIs" dxfId="2558" priority="150" stopIfTrue="1" operator="lessThan">
      <formula>0</formula>
    </cfRule>
  </conditionalFormatting>
  <conditionalFormatting sqref="T286 S338:T382 S291:T292 T289:T290 S294:T335 T293">
    <cfRule type="cellIs" dxfId="2557" priority="149" stopIfTrue="1" operator="lessThan">
      <formula>0</formula>
    </cfRule>
  </conditionalFormatting>
  <conditionalFormatting sqref="S336:T337">
    <cfRule type="cellIs" dxfId="2556" priority="148" stopIfTrue="1" operator="lessThan">
      <formula>0</formula>
    </cfRule>
  </conditionalFormatting>
  <conditionalFormatting sqref="S384:T401">
    <cfRule type="cellIs" dxfId="2555" priority="147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54" priority="146" stopIfTrue="1" operator="lessThan">
      <formula>0</formula>
    </cfRule>
  </conditionalFormatting>
  <conditionalFormatting sqref="S571:T579 S592:T593 S588:T589">
    <cfRule type="cellIs" dxfId="2553" priority="145" stopIfTrue="1" operator="lessThan">
      <formula>0</formula>
    </cfRule>
  </conditionalFormatting>
  <conditionalFormatting sqref="S581:T587 T580">
    <cfRule type="cellIs" dxfId="2552" priority="144" stopIfTrue="1" operator="lessThan">
      <formula>0</formula>
    </cfRule>
  </conditionalFormatting>
  <conditionalFormatting sqref="S580">
    <cfRule type="cellIs" dxfId="2551" priority="143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0" priority="142" stopIfTrue="1" operator="lessThan">
      <formula>0</formula>
    </cfRule>
  </conditionalFormatting>
  <conditionalFormatting sqref="S832:T887">
    <cfRule type="cellIs" dxfId="2549" priority="141" stopIfTrue="1" operator="lessThan">
      <formula>0</formula>
    </cfRule>
  </conditionalFormatting>
  <conditionalFormatting sqref="AG14:AH45">
    <cfRule type="cellIs" dxfId="2548" priority="140" stopIfTrue="1" operator="lessThan">
      <formula>0</formula>
    </cfRule>
  </conditionalFormatting>
  <conditionalFormatting sqref="AG46:AH69">
    <cfRule type="cellIs" dxfId="2547" priority="139" stopIfTrue="1" operator="lessThan">
      <formula>0</formula>
    </cfRule>
  </conditionalFormatting>
  <conditionalFormatting sqref="AG72:AH74 AG76:AH87 AG89:AH101">
    <cfRule type="cellIs" dxfId="2546" priority="138" stopIfTrue="1" operator="lessThan">
      <formula>0</formula>
    </cfRule>
  </conditionalFormatting>
  <conditionalFormatting sqref="AG103:AH112">
    <cfRule type="cellIs" dxfId="2545" priority="137" stopIfTrue="1" operator="lessThan">
      <formula>0</formula>
    </cfRule>
  </conditionalFormatting>
  <conditionalFormatting sqref="AG114:AH114">
    <cfRule type="cellIs" dxfId="2544" priority="136" stopIfTrue="1" operator="lessThan">
      <formula>0</formula>
    </cfRule>
  </conditionalFormatting>
  <conditionalFormatting sqref="AG116:AH116">
    <cfRule type="cellIs" dxfId="2543" priority="135" stopIfTrue="1" operator="lessThan">
      <formula>0</formula>
    </cfRule>
  </conditionalFormatting>
  <conditionalFormatting sqref="AG118:AH118 AG120:AH121 AG152:AH153 AG150:AH150 AG124:AH148 AG156:AH166 AG176:AH186 AG188:AH284">
    <cfRule type="cellIs" dxfId="2542" priority="134" stopIfTrue="1" operator="lessThan">
      <formula>0</formula>
    </cfRule>
  </conditionalFormatting>
  <conditionalFormatting sqref="AG187:AH187">
    <cfRule type="cellIs" dxfId="2541" priority="133" stopIfTrue="1" operator="lessThan">
      <formula>0</formula>
    </cfRule>
  </conditionalFormatting>
  <conditionalFormatting sqref="AG286:AH335 AG338:AH382">
    <cfRule type="cellIs" dxfId="2540" priority="132" stopIfTrue="1" operator="lessThan">
      <formula>0</formula>
    </cfRule>
  </conditionalFormatting>
  <conditionalFormatting sqref="AG336:AH337">
    <cfRule type="cellIs" dxfId="2539" priority="131" stopIfTrue="1" operator="lessThan">
      <formula>0</formula>
    </cfRule>
  </conditionalFormatting>
  <conditionalFormatting sqref="AG832:AH887">
    <cfRule type="cellIs" dxfId="2538" priority="123" stopIfTrue="1" operator="lessThan">
      <formula>0</formula>
    </cfRule>
  </conditionalFormatting>
  <conditionalFormatting sqref="AG384:AH409">
    <cfRule type="cellIs" dxfId="2537" priority="129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36" priority="128" stopIfTrue="1" operator="lessThan">
      <formula>0</formula>
    </cfRule>
  </conditionalFormatting>
  <conditionalFormatting sqref="AG571:AH579 AG592:AH593 AG588:AH589">
    <cfRule type="cellIs" dxfId="2535" priority="127" stopIfTrue="1" operator="lessThan">
      <formula>0</formula>
    </cfRule>
  </conditionalFormatting>
  <conditionalFormatting sqref="AG581:AH587 AH580">
    <cfRule type="cellIs" dxfId="2534" priority="126" stopIfTrue="1" operator="lessThan">
      <formula>0</formula>
    </cfRule>
  </conditionalFormatting>
  <conditionalFormatting sqref="AG580">
    <cfRule type="cellIs" dxfId="2533" priority="125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2" priority="124" stopIfTrue="1" operator="lessThan">
      <formula>0</formula>
    </cfRule>
  </conditionalFormatting>
  <conditionalFormatting sqref="AR44:AT828">
    <cfRule type="cellIs" dxfId="2531" priority="122" stopIfTrue="1" operator="notEqual">
      <formula>0</formula>
    </cfRule>
  </conditionalFormatting>
  <conditionalFormatting sqref="AR832:AT887">
    <cfRule type="cellIs" dxfId="2530" priority="121" stopIfTrue="1" operator="notEqual">
      <formula>0</formula>
    </cfRule>
  </conditionalFormatting>
  <conditionalFormatting sqref="AP94:AP101 AO71:AO93">
    <cfRule type="cellIs" dxfId="2529" priority="119" stopIfTrue="1" operator="lessThan">
      <formula>0</formula>
    </cfRule>
  </conditionalFormatting>
  <conditionalFormatting sqref="AP322">
    <cfRule type="cellIs" dxfId="2528" priority="117" stopIfTrue="1" operator="lessThan">
      <formula>0</formula>
    </cfRule>
  </conditionalFormatting>
  <conditionalFormatting sqref="AP327:AP330">
    <cfRule type="cellIs" dxfId="2527" priority="116" stopIfTrue="1" operator="lessThan">
      <formula>0</formula>
    </cfRule>
  </conditionalFormatting>
  <conditionalFormatting sqref="AP337">
    <cfRule type="cellIs" dxfId="2526" priority="115" stopIfTrue="1" operator="lessThan">
      <formula>0</formula>
    </cfRule>
  </conditionalFormatting>
  <conditionalFormatting sqref="AP344:AP345">
    <cfRule type="cellIs" dxfId="2525" priority="114" stopIfTrue="1" operator="lessThan">
      <formula>0</formula>
    </cfRule>
  </conditionalFormatting>
  <conditionalFormatting sqref="AP364:AP367">
    <cfRule type="cellIs" dxfId="2524" priority="113" stopIfTrue="1" operator="lessThan">
      <formula>0</formula>
    </cfRule>
  </conditionalFormatting>
  <conditionalFormatting sqref="AP71:AP93">
    <cfRule type="cellIs" dxfId="2523" priority="112" stopIfTrue="1" operator="lessThan">
      <formula>0</formula>
    </cfRule>
  </conditionalFormatting>
  <conditionalFormatting sqref="AO94:AO101">
    <cfRule type="cellIs" dxfId="2522" priority="111" stopIfTrue="1" operator="lessThan">
      <formula>0</formula>
    </cfRule>
  </conditionalFormatting>
  <conditionalFormatting sqref="AO16:AP16 AO19:AO20 AP18 AO22 AP21 AO26:AO53 AP23 AO56:AO59 AP54:AP55 AO62:AO69 AO17">
    <cfRule type="cellIs" dxfId="2521" priority="110" stopIfTrue="1" operator="lessThan">
      <formula>0</formula>
    </cfRule>
  </conditionalFormatting>
  <conditionalFormatting sqref="AO14:AO15">
    <cfRule type="cellIs" dxfId="2520" priority="109" stopIfTrue="1" operator="lessThan">
      <formula>0</formula>
    </cfRule>
  </conditionalFormatting>
  <conditionalFormatting sqref="AO18">
    <cfRule type="cellIs" dxfId="2519" priority="108" stopIfTrue="1" operator="lessThan">
      <formula>0</formula>
    </cfRule>
  </conditionalFormatting>
  <conditionalFormatting sqref="AO21">
    <cfRule type="cellIs" dxfId="2518" priority="107" stopIfTrue="1" operator="lessThan">
      <formula>0</formula>
    </cfRule>
  </conditionalFormatting>
  <conditionalFormatting sqref="AO23:AO25">
    <cfRule type="cellIs" dxfId="2517" priority="106" stopIfTrue="1" operator="lessThan">
      <formula>0</formula>
    </cfRule>
  </conditionalFormatting>
  <conditionalFormatting sqref="AO54:AO55">
    <cfRule type="cellIs" dxfId="2516" priority="105" stopIfTrue="1" operator="lessThan">
      <formula>0</formula>
    </cfRule>
  </conditionalFormatting>
  <conditionalFormatting sqref="AO60:AO61">
    <cfRule type="cellIs" dxfId="2515" priority="104" stopIfTrue="1" operator="lessThan">
      <formula>0</formula>
    </cfRule>
  </conditionalFormatting>
  <conditionalFormatting sqref="AP14:AP15">
    <cfRule type="cellIs" dxfId="2514" priority="103" stopIfTrue="1" operator="lessThan">
      <formula>0</formula>
    </cfRule>
  </conditionalFormatting>
  <conditionalFormatting sqref="AP17">
    <cfRule type="cellIs" dxfId="2513" priority="102" stopIfTrue="1" operator="lessThan">
      <formula>0</formula>
    </cfRule>
  </conditionalFormatting>
  <conditionalFormatting sqref="AP19:AP20">
    <cfRule type="cellIs" dxfId="2512" priority="101" stopIfTrue="1" operator="lessThan">
      <formula>0</formula>
    </cfRule>
  </conditionalFormatting>
  <conditionalFormatting sqref="AP22">
    <cfRule type="cellIs" dxfId="2511" priority="100" stopIfTrue="1" operator="lessThan">
      <formula>0</formula>
    </cfRule>
  </conditionalFormatting>
  <conditionalFormatting sqref="AP24:AP53">
    <cfRule type="cellIs" dxfId="2510" priority="99" stopIfTrue="1" operator="lessThan">
      <formula>0</formula>
    </cfRule>
  </conditionalFormatting>
  <conditionalFormatting sqref="AP56:AP69">
    <cfRule type="cellIs" dxfId="2509" priority="98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08" priority="97" stopIfTrue="1" operator="lessThan">
      <formula>0</formula>
    </cfRule>
  </conditionalFormatting>
  <conditionalFormatting sqref="AO187">
    <cfRule type="cellIs" dxfId="2507" priority="96" stopIfTrue="1" operator="lessThan">
      <formula>0</formula>
    </cfRule>
  </conditionalFormatting>
  <conditionalFormatting sqref="AP116">
    <cfRule type="cellIs" dxfId="2506" priority="95" stopIfTrue="1" operator="lessThan">
      <formula>0</formula>
    </cfRule>
  </conditionalFormatting>
  <conditionalFormatting sqref="AP115">
    <cfRule type="cellIs" dxfId="2505" priority="94" stopIfTrue="1" operator="lessThan">
      <formula>0</formula>
    </cfRule>
  </conditionalFormatting>
  <conditionalFormatting sqref="AP117">
    <cfRule type="cellIs" dxfId="2504" priority="93" stopIfTrue="1" operator="lessThan">
      <formula>0</formula>
    </cfRule>
  </conditionalFormatting>
  <conditionalFormatting sqref="AP114">
    <cfRule type="cellIs" dxfId="2503" priority="92" stopIfTrue="1" operator="lessThan">
      <formula>0</formula>
    </cfRule>
  </conditionalFormatting>
  <conditionalFormatting sqref="AP120:AP122">
    <cfRule type="cellIs" dxfId="2502" priority="91" stopIfTrue="1" operator="lessThan">
      <formula>0</formula>
    </cfRule>
  </conditionalFormatting>
  <conditionalFormatting sqref="AP125">
    <cfRule type="cellIs" dxfId="2501" priority="90" stopIfTrue="1" operator="lessThan">
      <formula>0</formula>
    </cfRule>
  </conditionalFormatting>
  <conditionalFormatting sqref="AP127:AP128">
    <cfRule type="cellIs" dxfId="2500" priority="89" stopIfTrue="1" operator="lessThan">
      <formula>0</formula>
    </cfRule>
  </conditionalFormatting>
  <conditionalFormatting sqref="AP130">
    <cfRule type="cellIs" dxfId="2499" priority="88" stopIfTrue="1" operator="lessThan">
      <formula>0</formula>
    </cfRule>
  </conditionalFormatting>
  <conditionalFormatting sqref="AP132:AP133">
    <cfRule type="cellIs" dxfId="2498" priority="87" stopIfTrue="1" operator="lessThan">
      <formula>0</formula>
    </cfRule>
  </conditionalFormatting>
  <conditionalFormatting sqref="AP135">
    <cfRule type="cellIs" dxfId="2497" priority="86" stopIfTrue="1" operator="lessThan">
      <formula>0</formula>
    </cfRule>
  </conditionalFormatting>
  <conditionalFormatting sqref="AP139:AP140">
    <cfRule type="cellIs" dxfId="2496" priority="85" stopIfTrue="1" operator="lessThan">
      <formula>0</formula>
    </cfRule>
  </conditionalFormatting>
  <conditionalFormatting sqref="AP142:AP143">
    <cfRule type="cellIs" dxfId="2495" priority="84" stopIfTrue="1" operator="lessThan">
      <formula>0</formula>
    </cfRule>
  </conditionalFormatting>
  <conditionalFormatting sqref="AP146">
    <cfRule type="cellIs" dxfId="2494" priority="83" stopIfTrue="1" operator="lessThan">
      <formula>0</formula>
    </cfRule>
  </conditionalFormatting>
  <conditionalFormatting sqref="AP150:AP151">
    <cfRule type="cellIs" dxfId="2493" priority="82" stopIfTrue="1" operator="lessThan">
      <formula>0</formula>
    </cfRule>
  </conditionalFormatting>
  <conditionalFormatting sqref="AP160">
    <cfRule type="cellIs" dxfId="2492" priority="81" stopIfTrue="1" operator="lessThan">
      <formula>0</formula>
    </cfRule>
  </conditionalFormatting>
  <conditionalFormatting sqref="AP173:AP184">
    <cfRule type="cellIs" dxfId="2491" priority="80" stopIfTrue="1" operator="lessThan">
      <formula>0</formula>
    </cfRule>
  </conditionalFormatting>
  <conditionalFormatting sqref="AP186:AP187">
    <cfRule type="cellIs" dxfId="2490" priority="79" stopIfTrue="1" operator="lessThan">
      <formula>0</formula>
    </cfRule>
  </conditionalFormatting>
  <conditionalFormatting sqref="AP190:AP195">
    <cfRule type="cellIs" dxfId="2489" priority="78" stopIfTrue="1" operator="lessThan">
      <formula>0</formula>
    </cfRule>
  </conditionalFormatting>
  <conditionalFormatting sqref="AP197:AP218">
    <cfRule type="cellIs" dxfId="2488" priority="77" stopIfTrue="1" operator="lessThan">
      <formula>0</formula>
    </cfRule>
  </conditionalFormatting>
  <conditionalFormatting sqref="AP220">
    <cfRule type="cellIs" dxfId="2487" priority="76" stopIfTrue="1" operator="lessThan">
      <formula>0</formula>
    </cfRule>
  </conditionalFormatting>
  <conditionalFormatting sqref="AP222">
    <cfRule type="cellIs" dxfId="2486" priority="75" stopIfTrue="1" operator="lessThan">
      <formula>0</formula>
    </cfRule>
  </conditionalFormatting>
  <conditionalFormatting sqref="AP224:AP228">
    <cfRule type="cellIs" dxfId="2485" priority="74" stopIfTrue="1" operator="lessThan">
      <formula>0</formula>
    </cfRule>
  </conditionalFormatting>
  <conditionalFormatting sqref="AP232:AP235">
    <cfRule type="cellIs" dxfId="2484" priority="73" stopIfTrue="1" operator="lessThan">
      <formula>0</formula>
    </cfRule>
  </conditionalFormatting>
  <conditionalFormatting sqref="AP237:AP238">
    <cfRule type="cellIs" dxfId="2483" priority="72" stopIfTrue="1" operator="lessThan">
      <formula>0</formula>
    </cfRule>
  </conditionalFormatting>
  <conditionalFormatting sqref="AP241:AP244">
    <cfRule type="cellIs" dxfId="2482" priority="71" stopIfTrue="1" operator="lessThan">
      <formula>0</formula>
    </cfRule>
  </conditionalFormatting>
  <conditionalFormatting sqref="AP251:AP252">
    <cfRule type="cellIs" dxfId="2481" priority="70" stopIfTrue="1" operator="lessThan">
      <formula>0</formula>
    </cfRule>
  </conditionalFormatting>
  <conditionalFormatting sqref="AP257:AP282">
    <cfRule type="cellIs" dxfId="2480" priority="69" stopIfTrue="1" operator="lessThan">
      <formula>0</formula>
    </cfRule>
  </conditionalFormatting>
  <conditionalFormatting sqref="AP284">
    <cfRule type="cellIs" dxfId="2479" priority="68" stopIfTrue="1" operator="lessThan">
      <formula>0</formula>
    </cfRule>
  </conditionalFormatting>
  <conditionalFormatting sqref="AO115">
    <cfRule type="cellIs" dxfId="2478" priority="67" stopIfTrue="1" operator="lessThan">
      <formula>0</formula>
    </cfRule>
  </conditionalFormatting>
  <conditionalFormatting sqref="AO117">
    <cfRule type="cellIs" dxfId="2477" priority="66" stopIfTrue="1" operator="lessThan">
      <formula>0</formula>
    </cfRule>
  </conditionalFormatting>
  <conditionalFormatting sqref="AO119:AO121">
    <cfRule type="cellIs" dxfId="2476" priority="65" stopIfTrue="1" operator="lessThan">
      <formula>0</formula>
    </cfRule>
  </conditionalFormatting>
  <conditionalFormatting sqref="AO123:AO124">
    <cfRule type="cellIs" dxfId="2475" priority="64" stopIfTrue="1" operator="lessThan">
      <formula>0</formula>
    </cfRule>
  </conditionalFormatting>
  <conditionalFormatting sqref="AO126">
    <cfRule type="cellIs" dxfId="2474" priority="63" stopIfTrue="1" operator="lessThan">
      <formula>0</formula>
    </cfRule>
  </conditionalFormatting>
  <conditionalFormatting sqref="AO129">
    <cfRule type="cellIs" dxfId="2473" priority="62" stopIfTrue="1" operator="lessThan">
      <formula>0</formula>
    </cfRule>
  </conditionalFormatting>
  <conditionalFormatting sqref="AO131">
    <cfRule type="cellIs" dxfId="2472" priority="61" stopIfTrue="1" operator="lessThan">
      <formula>0</formula>
    </cfRule>
  </conditionalFormatting>
  <conditionalFormatting sqref="AO134">
    <cfRule type="cellIs" dxfId="2471" priority="60" stopIfTrue="1" operator="lessThan">
      <formula>0</formula>
    </cfRule>
  </conditionalFormatting>
  <conditionalFormatting sqref="AO136:AO138">
    <cfRule type="cellIs" dxfId="2470" priority="59" stopIfTrue="1" operator="lessThan">
      <formula>0</formula>
    </cfRule>
  </conditionalFormatting>
  <conditionalFormatting sqref="AO141">
    <cfRule type="cellIs" dxfId="2469" priority="58" stopIfTrue="1" operator="lessThan">
      <formula>0</formula>
    </cfRule>
  </conditionalFormatting>
  <conditionalFormatting sqref="AO144:AO145">
    <cfRule type="cellIs" dxfId="2468" priority="57" stopIfTrue="1" operator="lessThan">
      <formula>0</formula>
    </cfRule>
  </conditionalFormatting>
  <conditionalFormatting sqref="AO147:AO149">
    <cfRule type="cellIs" dxfId="2467" priority="56" stopIfTrue="1" operator="lessThan">
      <formula>0</formula>
    </cfRule>
  </conditionalFormatting>
  <conditionalFormatting sqref="AO152:AO172">
    <cfRule type="cellIs" dxfId="2466" priority="55" stopIfTrue="1" operator="lessThan">
      <formula>0</formula>
    </cfRule>
  </conditionalFormatting>
  <conditionalFormatting sqref="AO176:AO183">
    <cfRule type="cellIs" dxfId="2465" priority="54" stopIfTrue="1" operator="lessThan">
      <formula>0</formula>
    </cfRule>
  </conditionalFormatting>
  <conditionalFormatting sqref="AO185">
    <cfRule type="cellIs" dxfId="2464" priority="53" stopIfTrue="1" operator="lessThan">
      <formula>0</formula>
    </cfRule>
  </conditionalFormatting>
  <conditionalFormatting sqref="AO188:AO189">
    <cfRule type="cellIs" dxfId="2463" priority="52" stopIfTrue="1" operator="lessThan">
      <formula>0</formula>
    </cfRule>
  </conditionalFormatting>
  <conditionalFormatting sqref="AO191:AO194">
    <cfRule type="cellIs" dxfId="2462" priority="51" stopIfTrue="1" operator="lessThan">
      <formula>0</formula>
    </cfRule>
  </conditionalFormatting>
  <conditionalFormatting sqref="AO196">
    <cfRule type="cellIs" dxfId="2461" priority="50" stopIfTrue="1" operator="lessThan">
      <formula>0</formula>
    </cfRule>
  </conditionalFormatting>
  <conditionalFormatting sqref="AO199:AO219">
    <cfRule type="cellIs" dxfId="2460" priority="49" stopIfTrue="1" operator="lessThan">
      <formula>0</formula>
    </cfRule>
  </conditionalFormatting>
  <conditionalFormatting sqref="AO221">
    <cfRule type="cellIs" dxfId="2459" priority="48" stopIfTrue="1" operator="lessThan">
      <formula>0</formula>
    </cfRule>
  </conditionalFormatting>
  <conditionalFormatting sqref="AO223">
    <cfRule type="cellIs" dxfId="2458" priority="47" stopIfTrue="1" operator="lessThan">
      <formula>0</formula>
    </cfRule>
  </conditionalFormatting>
  <conditionalFormatting sqref="AO229:AO231">
    <cfRule type="cellIs" dxfId="2457" priority="46" stopIfTrue="1" operator="lessThan">
      <formula>0</formula>
    </cfRule>
  </conditionalFormatting>
  <conditionalFormatting sqref="AO236">
    <cfRule type="cellIs" dxfId="2456" priority="45" stopIfTrue="1" operator="lessThan">
      <formula>0</formula>
    </cfRule>
  </conditionalFormatting>
  <conditionalFormatting sqref="AO239:AO240">
    <cfRule type="cellIs" dxfId="2455" priority="44" stopIfTrue="1" operator="lessThan">
      <formula>0</formula>
    </cfRule>
  </conditionalFormatting>
  <conditionalFormatting sqref="AO245:AO250">
    <cfRule type="cellIs" dxfId="2454" priority="43" stopIfTrue="1" operator="lessThan">
      <formula>0</formula>
    </cfRule>
  </conditionalFormatting>
  <conditionalFormatting sqref="AO253:AO256">
    <cfRule type="cellIs" dxfId="2453" priority="42" stopIfTrue="1" operator="lessThan">
      <formula>0</formula>
    </cfRule>
  </conditionalFormatting>
  <conditionalFormatting sqref="AO267:AO283">
    <cfRule type="cellIs" dxfId="2452" priority="41" stopIfTrue="1" operator="lessThan">
      <formula>0</formula>
    </cfRule>
  </conditionalFormatting>
  <conditionalFormatting sqref="Z915">
    <cfRule type="cellIs" dxfId="2451" priority="38" stopIfTrue="1" operator="notEqual">
      <formula>"O K"</formula>
    </cfRule>
  </conditionalFormatting>
  <conditionalFormatting sqref="AA915">
    <cfRule type="cellIs" dxfId="2450" priority="37" stopIfTrue="1" operator="notEqual">
      <formula>"O K"</formula>
    </cfRule>
  </conditionalFormatting>
  <conditionalFormatting sqref="S287:T287">
    <cfRule type="cellIs" dxfId="2449" priority="36" stopIfTrue="1" operator="lessThan">
      <formula>0</formula>
    </cfRule>
  </conditionalFormatting>
  <conditionalFormatting sqref="S288:T288">
    <cfRule type="cellIs" dxfId="2448" priority="35" stopIfTrue="1" operator="lessThan">
      <formula>0</formula>
    </cfRule>
  </conditionalFormatting>
  <conditionalFormatting sqref="Q286">
    <cfRule type="cellIs" dxfId="2447" priority="34" stopIfTrue="1" operator="lessThan">
      <formula>0</formula>
    </cfRule>
  </conditionalFormatting>
  <conditionalFormatting sqref="R286">
    <cfRule type="cellIs" dxfId="2446" priority="33" stopIfTrue="1" operator="lessThan">
      <formula>0</formula>
    </cfRule>
  </conditionalFormatting>
  <conditionalFormatting sqref="O289:P290">
    <cfRule type="cellIs" dxfId="2445" priority="32" stopIfTrue="1" operator="lessThan">
      <formula>0</formula>
    </cfRule>
  </conditionalFormatting>
  <conditionalFormatting sqref="Q289:Q290">
    <cfRule type="cellIs" dxfId="2444" priority="31" stopIfTrue="1" operator="lessThan">
      <formula>0</formula>
    </cfRule>
  </conditionalFormatting>
  <conditionalFormatting sqref="R289:R290">
    <cfRule type="cellIs" dxfId="2443" priority="30" stopIfTrue="1" operator="lessThan">
      <formula>0</formula>
    </cfRule>
  </conditionalFormatting>
  <conditionalFormatting sqref="O293:P293">
    <cfRule type="cellIs" dxfId="2442" priority="29" stopIfTrue="1" operator="lessThan">
      <formula>0</formula>
    </cfRule>
  </conditionalFormatting>
  <conditionalFormatting sqref="Q293">
    <cfRule type="cellIs" dxfId="2441" priority="28" stopIfTrue="1" operator="lessThan">
      <formula>0</formula>
    </cfRule>
  </conditionalFormatting>
  <conditionalFormatting sqref="R293">
    <cfRule type="cellIs" dxfId="2440" priority="27" stopIfTrue="1" operator="lessThan">
      <formula>0</formula>
    </cfRule>
  </conditionalFormatting>
  <conditionalFormatting sqref="P640">
    <cfRule type="cellIs" dxfId="2439" priority="26" stopIfTrue="1" operator="lessThan">
      <formula>0</formula>
    </cfRule>
  </conditionalFormatting>
  <conditionalFormatting sqref="Q640">
    <cfRule type="cellIs" dxfId="2438" priority="25" stopIfTrue="1" operator="lessThan">
      <formula>0</formula>
    </cfRule>
  </conditionalFormatting>
  <conditionalFormatting sqref="R640">
    <cfRule type="cellIs" dxfId="2437" priority="24" stopIfTrue="1" operator="lessThan">
      <formula>0</formula>
    </cfRule>
  </conditionalFormatting>
  <conditionalFormatting sqref="O640">
    <cfRule type="cellIs" dxfId="2436" priority="23" stopIfTrue="1" operator="lessThan">
      <formula>0</formula>
    </cfRule>
  </conditionalFormatting>
  <conditionalFormatting sqref="P667">
    <cfRule type="cellIs" dxfId="2435" priority="22" stopIfTrue="1" operator="lessThan">
      <formula>0</formula>
    </cfRule>
  </conditionalFormatting>
  <conditionalFormatting sqref="Q667">
    <cfRule type="cellIs" dxfId="2434" priority="21" stopIfTrue="1" operator="lessThan">
      <formula>0</formula>
    </cfRule>
  </conditionalFormatting>
  <conditionalFormatting sqref="R667">
    <cfRule type="cellIs" dxfId="2433" priority="20" stopIfTrue="1" operator="lessThan">
      <formula>0</formula>
    </cfRule>
  </conditionalFormatting>
  <conditionalFormatting sqref="O667">
    <cfRule type="cellIs" dxfId="2432" priority="19" stopIfTrue="1" operator="lessThan">
      <formula>0</formula>
    </cfRule>
  </conditionalFormatting>
  <conditionalFormatting sqref="S286">
    <cfRule type="cellIs" dxfId="2431" priority="18" stopIfTrue="1" operator="lessThan">
      <formula>0</formula>
    </cfRule>
  </conditionalFormatting>
  <conditionalFormatting sqref="S289:S290">
    <cfRule type="cellIs" dxfId="2430" priority="17" stopIfTrue="1" operator="lessThan">
      <formula>0</formula>
    </cfRule>
  </conditionalFormatting>
  <conditionalFormatting sqref="S293">
    <cfRule type="cellIs" dxfId="2429" priority="16" stopIfTrue="1" operator="lessThan">
      <formula>0</formula>
    </cfRule>
  </conditionalFormatting>
  <conditionalFormatting sqref="AV198">
    <cfRule type="cellIs" dxfId="2428" priority="14" operator="notEqual">
      <formula>0</formula>
    </cfRule>
  </conditionalFormatting>
  <conditionalFormatting sqref="AV197">
    <cfRule type="cellIs" dxfId="2427" priority="13" operator="notEqual">
      <formula>0</formula>
    </cfRule>
  </conditionalFormatting>
  <conditionalFormatting sqref="AP287:AP288">
    <cfRule type="cellIs" dxfId="2426" priority="11" stopIfTrue="1" operator="lessThan">
      <formula>0</formula>
    </cfRule>
  </conditionalFormatting>
  <conditionalFormatting sqref="AP286">
    <cfRule type="cellIs" dxfId="2425" priority="10" stopIfTrue="1" operator="lessThan">
      <formula>0</formula>
    </cfRule>
  </conditionalFormatting>
  <conditionalFormatting sqref="AV288">
    <cfRule type="cellIs" dxfId="2424" priority="9" operator="notEqual">
      <formula>0</formula>
    </cfRule>
  </conditionalFormatting>
  <conditionalFormatting sqref="AV667">
    <cfRule type="cellIs" dxfId="2423" priority="7" operator="equal">
      <formula>1</formula>
    </cfRule>
    <cfRule type="cellIs" dxfId="2422" priority="8" operator="notEqual">
      <formula>0</formula>
    </cfRule>
  </conditionalFormatting>
  <conditionalFormatting sqref="AV289:AV290">
    <cfRule type="cellIs" dxfId="2421" priority="6" operator="notEqual">
      <formula>0</formula>
    </cfRule>
  </conditionalFormatting>
  <conditionalFormatting sqref="AV293">
    <cfRule type="cellIs" dxfId="2420" priority="5" operator="notEqual">
      <formula>0</formula>
    </cfRule>
  </conditionalFormatting>
  <conditionalFormatting sqref="AO198">
    <cfRule type="cellIs" dxfId="2419" priority="4" stopIfTrue="1" operator="lessThan">
      <formula>0</formula>
    </cfRule>
  </conditionalFormatting>
  <conditionalFormatting sqref="AF115 AF117">
    <cfRule type="cellIs" dxfId="2418" priority="3" stopIfTrue="1" operator="lessThan">
      <formula>0</formula>
    </cfRule>
  </conditionalFormatting>
  <conditionalFormatting sqref="AF114">
    <cfRule type="cellIs" dxfId="2417" priority="2" stopIfTrue="1" operator="lessThan">
      <formula>0</formula>
    </cfRule>
  </conditionalFormatting>
  <conditionalFormatting sqref="AF116">
    <cfRule type="cellIs" dxfId="2416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O39"/>
  <sheetViews>
    <sheetView zoomScaleNormal="100" workbookViewId="0"/>
  </sheetViews>
  <sheetFormatPr defaultRowHeight="12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24.7109375" style="1392" customWidth="1"/>
    <col min="15" max="16384" width="9.140625" style="1392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45" t="s">
        <v>257</v>
      </c>
      <c r="B2" s="202"/>
      <c r="C2" s="203"/>
      <c r="D2" s="202"/>
      <c r="E2" s="2459">
        <f>+'TRIAL-BALANCE'!E2:L2</f>
        <v>0</v>
      </c>
      <c r="F2" s="2460"/>
      <c r="G2" s="2460"/>
      <c r="H2" s="2460"/>
      <c r="I2" s="2460"/>
      <c r="J2" s="2460"/>
      <c r="K2" s="2460"/>
      <c r="L2" s="2461"/>
      <c r="M2" s="46"/>
      <c r="N2" s="43"/>
      <c r="O2" s="43"/>
    </row>
    <row r="3" spans="1:1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43"/>
      <c r="O3" s="43"/>
    </row>
    <row r="4" spans="1:15" ht="16.5" customHeigh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43"/>
      <c r="O4" s="43"/>
    </row>
    <row r="5" spans="1:1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43"/>
      <c r="O5" s="43"/>
    </row>
    <row r="6" spans="1:15" ht="18" customHeight="1">
      <c r="A6" s="452" t="s">
        <v>792</v>
      </c>
      <c r="B6" s="202"/>
      <c r="C6" s="2462">
        <f>+'TRIAL-BALANCE'!C6:E6</f>
        <v>0</v>
      </c>
      <c r="D6" s="2463"/>
      <c r="E6" s="2464"/>
      <c r="F6" s="448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43"/>
      <c r="O6" s="43"/>
    </row>
    <row r="7" spans="1:15" ht="3.75" customHeight="1">
      <c r="A7" s="44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47" t="s">
        <v>258</v>
      </c>
      <c r="B8" s="206"/>
      <c r="C8" s="1056">
        <f>+'TRIAL-BALANCE'!C8</f>
        <v>0</v>
      </c>
      <c r="D8" s="207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43"/>
      <c r="O8" s="43"/>
    </row>
    <row r="9" spans="1:15" ht="3.75" customHeight="1">
      <c r="A9" s="446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7" t="s">
        <v>259</v>
      </c>
      <c r="B10" s="49"/>
      <c r="C10" s="965" t="str">
        <f>+'TRIAL-BALANCE'!C10</f>
        <v>/с б о р е н/</v>
      </c>
      <c r="D10" s="207" t="s">
        <v>261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457">
        <f>+'TRIAL-BALANCE'!K10:L10</f>
        <v>0</v>
      </c>
      <c r="L10" s="2458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407" t="s">
        <v>1267</v>
      </c>
      <c r="B13" s="1408"/>
      <c r="C13" s="1408"/>
      <c r="D13" s="1408"/>
      <c r="E13" s="1408"/>
      <c r="F13" s="1409" t="str">
        <f>+'TRIAL-BALANCE'!H12</f>
        <v>30 септември 2021 г.</v>
      </c>
      <c r="G13" s="1408"/>
      <c r="H13" s="1410"/>
      <c r="I13" s="1411" t="s">
        <v>1151</v>
      </c>
      <c r="J13" s="1412"/>
      <c r="K13" s="1413"/>
      <c r="L13" s="1414"/>
      <c r="M13" s="51" t="s">
        <v>265</v>
      </c>
      <c r="N13" s="1415" t="s">
        <v>1268</v>
      </c>
      <c r="O13" s="43"/>
    </row>
    <row r="14" spans="1:15" ht="15.75">
      <c r="A14" s="988"/>
      <c r="B14" s="981"/>
      <c r="C14" s="982"/>
      <c r="D14" s="982"/>
      <c r="E14" s="982"/>
      <c r="F14" s="982"/>
      <c r="G14" s="982"/>
      <c r="H14" s="982"/>
      <c r="I14" s="982"/>
      <c r="J14" s="982"/>
      <c r="K14" s="982"/>
      <c r="L14" s="989"/>
      <c r="M14" s="51"/>
      <c r="N14" s="994"/>
      <c r="O14" s="43"/>
    </row>
    <row r="15" spans="1:15" ht="15.75">
      <c r="A15" s="1000" t="s">
        <v>1987</v>
      </c>
      <c r="B15" s="984"/>
      <c r="C15" s="985"/>
      <c r="D15" s="985"/>
      <c r="E15" s="985"/>
      <c r="F15" s="985"/>
      <c r="G15" s="985"/>
      <c r="H15" s="985"/>
      <c r="I15" s="985"/>
      <c r="J15" s="985"/>
      <c r="K15" s="985"/>
      <c r="L15" s="990"/>
      <c r="M15" s="51" t="s">
        <v>265</v>
      </c>
      <c r="N15" s="1021"/>
      <c r="O15" s="43"/>
    </row>
    <row r="16" spans="1:15" ht="15.75">
      <c r="A16" s="991"/>
      <c r="B16" s="971"/>
      <c r="C16" s="610"/>
      <c r="D16" s="610"/>
      <c r="E16" s="610"/>
      <c r="F16" s="610"/>
      <c r="G16" s="987"/>
      <c r="H16" s="987"/>
      <c r="I16" s="987"/>
      <c r="J16" s="610"/>
      <c r="K16" s="610"/>
      <c r="L16" s="992"/>
      <c r="M16" s="51"/>
      <c r="N16" s="1022"/>
      <c r="O16" s="43"/>
    </row>
    <row r="17" spans="1:15" ht="15.75">
      <c r="A17" s="999" t="s">
        <v>1988</v>
      </c>
      <c r="B17" s="973"/>
      <c r="C17" s="609"/>
      <c r="D17" s="609"/>
      <c r="E17" s="609"/>
      <c r="F17" s="609"/>
      <c r="G17" s="609"/>
      <c r="H17" s="609"/>
      <c r="I17" s="609"/>
      <c r="J17" s="609"/>
      <c r="K17" s="609"/>
      <c r="L17" s="993"/>
      <c r="M17" s="51"/>
      <c r="N17" s="1023">
        <f>+SUM(N18:N21)</f>
        <v>0</v>
      </c>
      <c r="O17" s="43"/>
    </row>
    <row r="18" spans="1:15" ht="15.75">
      <c r="A18" s="1003"/>
      <c r="B18" s="1004"/>
      <c r="C18" s="1014"/>
      <c r="D18" s="1006" t="s">
        <v>1154</v>
      </c>
      <c r="E18" s="1007"/>
      <c r="F18" s="1007"/>
      <c r="G18" s="1007"/>
      <c r="H18" s="1007"/>
      <c r="I18" s="1007"/>
      <c r="J18" s="1007"/>
      <c r="K18" s="1007"/>
      <c r="L18" s="1008"/>
      <c r="M18" s="51"/>
      <c r="N18" s="1024"/>
      <c r="O18" s="43"/>
    </row>
    <row r="19" spans="1:15" ht="15.75">
      <c r="A19" s="1001" t="s">
        <v>1155</v>
      </c>
      <c r="B19" s="1002"/>
      <c r="C19" s="1015"/>
      <c r="D19" s="1009" t="s">
        <v>1153</v>
      </c>
      <c r="E19" s="573"/>
      <c r="F19" s="573"/>
      <c r="G19" s="573"/>
      <c r="H19" s="573"/>
      <c r="I19" s="573"/>
      <c r="J19" s="573"/>
      <c r="K19" s="573"/>
      <c r="L19" s="1010"/>
      <c r="M19" s="51"/>
      <c r="N19" s="1025"/>
      <c r="O19" s="43"/>
    </row>
    <row r="20" spans="1:15" ht="15.75">
      <c r="A20" s="1001"/>
      <c r="B20" s="1002"/>
      <c r="C20" s="1015"/>
      <c r="D20" s="1009" t="s">
        <v>1152</v>
      </c>
      <c r="E20" s="573"/>
      <c r="F20" s="573"/>
      <c r="G20" s="573"/>
      <c r="H20" s="573"/>
      <c r="I20" s="573"/>
      <c r="J20" s="573"/>
      <c r="K20" s="573"/>
      <c r="L20" s="1010"/>
      <c r="M20" s="51"/>
      <c r="N20" s="1025"/>
      <c r="O20" s="43"/>
    </row>
    <row r="21" spans="1:15" ht="15.75">
      <c r="A21" s="988"/>
      <c r="B21" s="1005"/>
      <c r="C21" s="1016"/>
      <c r="D21" s="1011" t="s">
        <v>1180</v>
      </c>
      <c r="E21" s="1012"/>
      <c r="F21" s="1012"/>
      <c r="G21" s="1012"/>
      <c r="H21" s="1012"/>
      <c r="I21" s="1012"/>
      <c r="J21" s="1012"/>
      <c r="K21" s="1012"/>
      <c r="L21" s="1013"/>
      <c r="M21" s="51"/>
      <c r="N21" s="1026"/>
      <c r="O21" s="43"/>
    </row>
    <row r="22" spans="1:15" ht="15.75">
      <c r="A22" s="991"/>
      <c r="B22" s="971"/>
      <c r="C22" s="610"/>
      <c r="D22" s="610"/>
      <c r="E22" s="610"/>
      <c r="F22" s="610"/>
      <c r="G22" s="982"/>
      <c r="H22" s="982"/>
      <c r="I22" s="982"/>
      <c r="J22" s="610"/>
      <c r="K22" s="610"/>
      <c r="L22" s="992"/>
      <c r="M22" s="51"/>
      <c r="N22" s="1022"/>
      <c r="O22" s="43"/>
    </row>
    <row r="23" spans="1:15" ht="15.75">
      <c r="A23" s="998" t="s">
        <v>1989</v>
      </c>
      <c r="B23" s="995"/>
      <c r="C23" s="996"/>
      <c r="D23" s="996"/>
      <c r="E23" s="996"/>
      <c r="F23" s="996"/>
      <c r="G23" s="996"/>
      <c r="H23" s="996"/>
      <c r="I23" s="996"/>
      <c r="J23" s="996"/>
      <c r="K23" s="996"/>
      <c r="L23" s="997"/>
      <c r="M23" s="51"/>
      <c r="N23" s="1027"/>
      <c r="O23" s="43"/>
    </row>
    <row r="24" spans="1:15" ht="15.75">
      <c r="A24" s="988"/>
      <c r="B24" s="981"/>
      <c r="C24" s="982"/>
      <c r="D24" s="982"/>
      <c r="E24" s="982"/>
      <c r="F24" s="982"/>
      <c r="G24" s="982"/>
      <c r="H24" s="982"/>
      <c r="I24" s="982"/>
      <c r="J24" s="982"/>
      <c r="K24" s="982"/>
      <c r="L24" s="989"/>
      <c r="M24" s="51"/>
      <c r="N24" s="1028"/>
      <c r="O24" s="43"/>
    </row>
    <row r="25" spans="1:15" ht="16.5" thickBot="1">
      <c r="A25" s="1017" t="s">
        <v>1156</v>
      </c>
      <c r="B25" s="1018"/>
      <c r="C25" s="1019"/>
      <c r="D25" s="1019"/>
      <c r="E25" s="1019"/>
      <c r="F25" s="1019"/>
      <c r="G25" s="1019"/>
      <c r="H25" s="1019"/>
      <c r="I25" s="1019"/>
      <c r="J25" s="1019"/>
      <c r="K25" s="1019"/>
      <c r="L25" s="1020"/>
      <c r="M25" s="51"/>
      <c r="N25" s="1029">
        <f>++ROUND(N15+N17+N23,2)</f>
        <v>0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71" t="s">
        <v>1157</v>
      </c>
      <c r="C27" s="1172"/>
      <c r="D27" s="1172"/>
      <c r="E27" s="1172"/>
      <c r="F27" s="1172"/>
      <c r="G27" s="1172"/>
      <c r="H27" s="1172"/>
      <c r="I27" s="1172"/>
      <c r="J27" s="1172"/>
      <c r="K27" s="1172"/>
      <c r="L27" s="1173"/>
      <c r="M27" s="44"/>
      <c r="N27" s="2456" t="str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Непопълнен ред в таблица 'Cash-deficit'!</v>
      </c>
      <c r="O27" s="43"/>
    </row>
    <row r="28" spans="1:15" ht="15.75">
      <c r="A28" s="43"/>
      <c r="B28" s="1174" t="s">
        <v>1158</v>
      </c>
      <c r="C28" s="1175"/>
      <c r="D28" s="1175"/>
      <c r="E28" s="1175"/>
      <c r="F28" s="1175"/>
      <c r="G28" s="1175"/>
      <c r="H28" s="1175"/>
      <c r="I28" s="1175"/>
      <c r="J28" s="1175"/>
      <c r="K28" s="1175"/>
      <c r="L28" s="1176"/>
      <c r="M28" s="44"/>
      <c r="N28" s="2456"/>
      <c r="O28" s="43"/>
    </row>
    <row r="29" spans="1:15" ht="15.75">
      <c r="A29" s="43"/>
      <c r="B29" s="1177" t="s">
        <v>1159</v>
      </c>
      <c r="C29" s="912"/>
      <c r="D29" s="912"/>
      <c r="E29" s="912"/>
      <c r="F29" s="912"/>
      <c r="G29" s="912"/>
      <c r="H29" s="912"/>
      <c r="I29" s="912"/>
      <c r="J29" s="912"/>
      <c r="K29" s="912"/>
      <c r="L29" s="1178"/>
      <c r="M29" s="44"/>
      <c r="N29" s="43"/>
      <c r="O29" s="43"/>
    </row>
    <row r="30" spans="1:15" ht="15.75">
      <c r="A30" s="43"/>
      <c r="B30" s="1920" t="s">
        <v>1952</v>
      </c>
      <c r="C30" s="1921"/>
      <c r="D30" s="1921"/>
      <c r="E30" s="1921"/>
      <c r="F30" s="1921"/>
      <c r="G30" s="1921"/>
      <c r="H30" s="1921"/>
      <c r="I30" s="1921"/>
      <c r="J30" s="1921"/>
      <c r="K30" s="1921"/>
      <c r="L30" s="1922"/>
      <c r="M30" s="44"/>
      <c r="N30" s="43"/>
      <c r="O30" s="43"/>
    </row>
    <row r="31" spans="1:15" ht="15.75">
      <c r="A31" s="43"/>
      <c r="B31" s="1923" t="s">
        <v>1963</v>
      </c>
      <c r="C31" s="1924"/>
      <c r="D31" s="1924"/>
      <c r="E31" s="1924"/>
      <c r="F31" s="1924"/>
      <c r="G31" s="1924"/>
      <c r="H31" s="1924"/>
      <c r="I31" s="1924"/>
      <c r="J31" s="1924"/>
      <c r="K31" s="1924"/>
      <c r="L31" s="1925"/>
      <c r="M31" s="44"/>
      <c r="N31" s="43"/>
      <c r="O31" s="43"/>
    </row>
    <row r="32" spans="1:15" ht="15.75">
      <c r="A32" s="43"/>
      <c r="B32" s="1923" t="s">
        <v>1954</v>
      </c>
      <c r="C32" s="1924"/>
      <c r="D32" s="1924"/>
      <c r="E32" s="1924"/>
      <c r="F32" s="1924"/>
      <c r="G32" s="1924"/>
      <c r="H32" s="1924"/>
      <c r="I32" s="1924"/>
      <c r="J32" s="1924"/>
      <c r="K32" s="1924"/>
      <c r="L32" s="1925"/>
      <c r="M32" s="44"/>
      <c r="N32" s="43"/>
      <c r="O32" s="43"/>
    </row>
    <row r="33" spans="1:15" ht="15.75">
      <c r="A33" s="43"/>
      <c r="B33" s="1923" t="s">
        <v>1953</v>
      </c>
      <c r="C33" s="1924"/>
      <c r="D33" s="1924"/>
      <c r="E33" s="1924"/>
      <c r="F33" s="1924"/>
      <c r="G33" s="1924"/>
      <c r="H33" s="1924"/>
      <c r="I33" s="1924"/>
      <c r="J33" s="1924"/>
      <c r="K33" s="1924"/>
      <c r="L33" s="1925"/>
      <c r="M33" s="44"/>
      <c r="N33" s="43"/>
      <c r="O33" s="43"/>
    </row>
    <row r="34" spans="1:15" ht="15.75">
      <c r="A34" s="43"/>
      <c r="B34" s="1923" t="s">
        <v>1945</v>
      </c>
      <c r="C34" s="1924"/>
      <c r="D34" s="1924"/>
      <c r="E34" s="1926" t="s">
        <v>1944</v>
      </c>
      <c r="F34" s="1924"/>
      <c r="G34" s="1924"/>
      <c r="H34" s="1924"/>
      <c r="I34" s="1924"/>
      <c r="J34" s="1924"/>
      <c r="K34" s="1927" t="s">
        <v>1946</v>
      </c>
      <c r="L34" s="1925"/>
      <c r="M34" s="44"/>
      <c r="N34" s="43"/>
      <c r="O34" s="43"/>
    </row>
    <row r="35" spans="1:15" ht="15.75">
      <c r="A35" s="43"/>
      <c r="B35" s="1928" t="s">
        <v>1947</v>
      </c>
      <c r="C35" s="1929"/>
      <c r="D35" s="1929"/>
      <c r="E35" s="1929"/>
      <c r="F35" s="1929"/>
      <c r="G35" s="1930"/>
      <c r="H35" s="1931"/>
      <c r="I35" s="1931"/>
      <c r="J35" s="1931"/>
      <c r="K35" s="1931"/>
      <c r="L35" s="1932"/>
      <c r="M35" s="44"/>
      <c r="N35" s="43"/>
      <c r="O35" s="43"/>
    </row>
    <row r="36" spans="1:15" ht="15.75">
      <c r="A36" s="43"/>
      <c r="B36" s="1171" t="s">
        <v>1948</v>
      </c>
      <c r="C36" s="1172"/>
      <c r="D36" s="1172"/>
      <c r="E36" s="1172"/>
      <c r="F36" s="1172"/>
      <c r="G36" s="1172"/>
      <c r="H36" s="1172"/>
      <c r="I36" s="1172"/>
      <c r="J36" s="1172"/>
      <c r="K36" s="1172"/>
      <c r="L36" s="1173"/>
      <c r="M36" s="44"/>
      <c r="N36" s="43"/>
      <c r="O36" s="43"/>
    </row>
    <row r="37" spans="1:15" ht="15.75">
      <c r="A37" s="43"/>
      <c r="B37" s="1174" t="s">
        <v>1949</v>
      </c>
      <c r="C37" s="1175"/>
      <c r="D37" s="1175"/>
      <c r="E37" s="1175"/>
      <c r="F37" s="1175"/>
      <c r="G37" s="1175"/>
      <c r="H37" s="1175"/>
      <c r="I37" s="1175"/>
      <c r="J37" s="1175"/>
      <c r="K37" s="1175"/>
      <c r="L37" s="1176"/>
      <c r="M37" s="44"/>
      <c r="N37" s="43"/>
      <c r="O37" s="43"/>
    </row>
    <row r="38" spans="1:15" ht="15.75">
      <c r="A38" s="43"/>
      <c r="B38" s="1177" t="s">
        <v>1509</v>
      </c>
      <c r="C38" s="912"/>
      <c r="D38" s="912"/>
      <c r="E38" s="912"/>
      <c r="F38" s="912"/>
      <c r="G38" s="912"/>
      <c r="H38" s="912"/>
      <c r="I38" s="912"/>
      <c r="J38" s="912"/>
      <c r="K38" s="912"/>
      <c r="L38" s="1178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 objects="1" scenarios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5" priority="52" stopIfTrue="1" operator="equal">
      <formula>0</formula>
    </cfRule>
  </conditionalFormatting>
  <conditionalFormatting sqref="G8:H8">
    <cfRule type="cellIs" dxfId="2414" priority="46" stopIfTrue="1" operator="equal">
      <formula>0</formula>
    </cfRule>
  </conditionalFormatting>
  <conditionalFormatting sqref="J8:L8">
    <cfRule type="cellIs" dxfId="2413" priority="45" stopIfTrue="1" operator="equal">
      <formula>0</formula>
    </cfRule>
  </conditionalFormatting>
  <conditionalFormatting sqref="C8 E2:L2">
    <cfRule type="cellIs" dxfId="2412" priority="44" stopIfTrue="1" operator="equal">
      <formula>0</formula>
    </cfRule>
  </conditionalFormatting>
  <conditionalFormatting sqref="N27">
    <cfRule type="cellIs" dxfId="2411" priority="43" operator="equal">
      <formula>"Непопълнен ред в таблица 'Cash-deficit'!"</formula>
    </cfRule>
  </conditionalFormatting>
  <conditionalFormatting sqref="D4">
    <cfRule type="cellIs" dxfId="2410" priority="4" stopIfTrue="1" operator="between">
      <formula>1000000000000</formula>
      <formula>9999999999999990</formula>
    </cfRule>
    <cfRule type="cellIs" dxfId="2409" priority="5" stopIfTrue="1" operator="between">
      <formula>1000000000</formula>
      <formula>999999999999</formula>
    </cfRule>
    <cfRule type="cellIs" dxfId="2408" priority="6" stopIfTrue="1" operator="between">
      <formula>10000</formula>
      <formula>99999999</formula>
    </cfRule>
    <cfRule type="cellIs" dxfId="2407" priority="7" stopIfTrue="1" operator="between">
      <formula>10</formula>
      <formula>9999</formula>
    </cfRule>
  </conditionalFormatting>
  <conditionalFormatting sqref="D4">
    <cfRule type="cellIs" dxfId="2406" priority="3" operator="equal">
      <formula>0</formula>
    </cfRule>
  </conditionalFormatting>
  <conditionalFormatting sqref="A3:C5">
    <cfRule type="cellIs" dxfId="2405" priority="2" operator="equal">
      <formula>"Код на общински разпоредител с бюджет"</formula>
    </cfRule>
  </conditionalFormatting>
  <conditionalFormatting sqref="G4:L4">
    <cfRule type="cellIs" dxfId="2404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9"/>
  <sheetViews>
    <sheetView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1" style="1397" customWidth="1"/>
    <col min="2" max="2" width="6.28515625" style="1397" customWidth="1"/>
    <col min="3" max="3" width="0.85546875" style="1397" customWidth="1"/>
    <col min="4" max="5" width="18.28515625" style="1397" customWidth="1"/>
    <col min="6" max="6" width="1" style="1397" customWidth="1"/>
    <col min="7" max="8" width="18.28515625" style="1397" customWidth="1"/>
    <col min="9" max="9" width="1" style="1397" customWidth="1"/>
    <col min="10" max="11" width="18.28515625" style="1397" customWidth="1"/>
    <col min="12" max="12" width="1" style="1397" customWidth="1"/>
    <col min="13" max="14" width="18.28515625" style="1397" customWidth="1"/>
    <col min="15" max="16384" width="9.140625" style="1397"/>
  </cols>
  <sheetData>
    <row r="1" spans="1:26" ht="16.5" customHeight="1">
      <c r="A1" s="2478">
        <f>+'TRIAL-BALANCE'!E2</f>
        <v>0</v>
      </c>
      <c r="B1" s="2479"/>
      <c r="C1" s="2479"/>
      <c r="D1" s="2480"/>
      <c r="E1" s="148" t="s">
        <v>1955</v>
      </c>
      <c r="F1" s="149"/>
      <c r="G1" s="2476">
        <f>+'TRIAL-BALANCE'!C6</f>
        <v>0</v>
      </c>
      <c r="H1" s="2477"/>
      <c r="I1" s="149"/>
      <c r="J1" s="150" t="s">
        <v>258</v>
      </c>
      <c r="K1" s="1742">
        <f>+'TRIAL-BALANCE'!C8</f>
        <v>0</v>
      </c>
      <c r="L1" s="149"/>
      <c r="M1" s="153" t="s">
        <v>1207</v>
      </c>
      <c r="N1" s="1267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99" t="s">
        <v>1085</v>
      </c>
      <c r="B2" s="2500"/>
      <c r="C2" s="2500"/>
      <c r="D2" s="2501"/>
      <c r="E2" s="151"/>
      <c r="F2" s="149"/>
      <c r="G2" s="151"/>
      <c r="H2" s="151"/>
      <c r="I2" s="149"/>
      <c r="J2" s="1268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481">
        <f>+'TRIAL-BALANCE'!G4</f>
        <v>0</v>
      </c>
      <c r="B3" s="2482"/>
      <c r="C3" s="2482"/>
      <c r="D3" s="2483"/>
      <c r="E3" s="1268" t="s">
        <v>2105</v>
      </c>
      <c r="F3" s="151"/>
      <c r="G3" s="2486">
        <f>+'TRIAL-BALANCE'!J8</f>
        <v>0</v>
      </c>
      <c r="H3" s="2487"/>
      <c r="I3" s="149"/>
      <c r="J3" s="2209" t="s">
        <v>2104</v>
      </c>
      <c r="K3" s="2486">
        <f>+'TRIAL-BALANCE'!G6</f>
        <v>0</v>
      </c>
      <c r="L3" s="2502"/>
      <c r="M3" s="2502"/>
      <c r="N3" s="2487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74" t="s">
        <v>209</v>
      </c>
      <c r="B5" s="156"/>
      <c r="C5" s="208"/>
      <c r="D5" s="209"/>
      <c r="E5" s="210" t="str">
        <f>+'TRIAL-BALANCE'!H12</f>
        <v>30 септември 2021 г.</v>
      </c>
      <c r="F5" s="210"/>
      <c r="G5" s="209"/>
      <c r="H5" s="1741">
        <f>+A1</f>
        <v>0</v>
      </c>
      <c r="I5" s="158"/>
      <c r="J5" s="157"/>
      <c r="K5" s="157"/>
      <c r="L5" s="159"/>
      <c r="M5" s="211" t="str">
        <f>+'TRIAL-BALANCE'!F10</f>
        <v>/СБОРНА/</v>
      </c>
      <c r="N5" s="1647" t="s">
        <v>1294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93" t="s">
        <v>2181</v>
      </c>
      <c r="C7" s="164"/>
      <c r="D7" s="165" t="s">
        <v>978</v>
      </c>
      <c r="E7" s="166"/>
      <c r="F7" s="164"/>
      <c r="G7" s="167" t="s">
        <v>1273</v>
      </c>
      <c r="H7" s="166"/>
      <c r="I7" s="164"/>
      <c r="J7" s="165" t="s">
        <v>708</v>
      </c>
      <c r="K7" s="168"/>
      <c r="L7" s="164"/>
      <c r="M7" s="2507" t="s">
        <v>398</v>
      </c>
      <c r="N7" s="2508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484" t="s">
        <v>564</v>
      </c>
      <c r="B8" s="2494"/>
      <c r="C8" s="164"/>
      <c r="D8" s="1416" t="s">
        <v>1274</v>
      </c>
      <c r="E8" s="169"/>
      <c r="F8" s="164"/>
      <c r="G8" s="1417" t="s">
        <v>264</v>
      </c>
      <c r="H8" s="169"/>
      <c r="I8" s="164" t="s">
        <v>265</v>
      </c>
      <c r="J8" s="1648" t="s">
        <v>2103</v>
      </c>
      <c r="K8" s="1418"/>
      <c r="L8" s="164"/>
      <c r="M8" s="2509"/>
      <c r="N8" s="2510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485"/>
      <c r="B9" s="2495"/>
      <c r="C9" s="154"/>
      <c r="D9" s="1064" t="s">
        <v>565</v>
      </c>
      <c r="E9" s="1065" t="s">
        <v>566</v>
      </c>
      <c r="F9" s="154"/>
      <c r="G9" s="1064" t="s">
        <v>565</v>
      </c>
      <c r="H9" s="1065" t="s">
        <v>566</v>
      </c>
      <c r="I9" s="154"/>
      <c r="J9" s="1064" t="s">
        <v>565</v>
      </c>
      <c r="K9" s="1065" t="s">
        <v>566</v>
      </c>
      <c r="L9" s="154"/>
      <c r="M9" s="1064" t="s">
        <v>565</v>
      </c>
      <c r="N9" s="1065" t="s">
        <v>566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62" t="s">
        <v>150</v>
      </c>
      <c r="B10" s="1063" t="s">
        <v>151</v>
      </c>
      <c r="C10" s="154"/>
      <c r="D10" s="1066">
        <v>1</v>
      </c>
      <c r="E10" s="1067">
        <v>2</v>
      </c>
      <c r="F10" s="154"/>
      <c r="G10" s="1066">
        <v>3</v>
      </c>
      <c r="H10" s="1067">
        <v>4</v>
      </c>
      <c r="I10" s="154"/>
      <c r="J10" s="1066">
        <v>5</v>
      </c>
      <c r="K10" s="1067">
        <v>6</v>
      </c>
      <c r="L10" s="154"/>
      <c r="M10" s="1066">
        <v>7</v>
      </c>
      <c r="N10" s="1067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67" t="s">
        <v>1258</v>
      </c>
      <c r="B11" s="171"/>
      <c r="C11" s="154"/>
      <c r="D11" s="256" t="str">
        <f>+IF(D76=0," ","НЕРАВНЕНИЕ !")</f>
        <v xml:space="preserve"> </v>
      </c>
      <c r="E11" s="468" t="str">
        <f>+IF(E76=0," ","НЕРАВНЕНИЕ !")</f>
        <v xml:space="preserve"> </v>
      </c>
      <c r="F11" s="214"/>
      <c r="G11" s="256" t="str">
        <f>+IF(G76=0," ","НЕРАВНЕНИЕ !")</f>
        <v xml:space="preserve"> </v>
      </c>
      <c r="H11" s="468" t="str">
        <f>+IF(H76=0," ","НЕРАВНЕНИЕ !")</f>
        <v xml:space="preserve"> </v>
      </c>
      <c r="I11" s="214"/>
      <c r="J11" s="256" t="str">
        <f>+IF(J76=0," ","НЕРАВНЕНИЕ !")</f>
        <v xml:space="preserve"> </v>
      </c>
      <c r="K11" s="468" t="str">
        <f>+IF(K76=0," ","НЕРАВНЕНИЕ !")</f>
        <v xml:space="preserve"> </v>
      </c>
      <c r="L11" s="214"/>
      <c r="M11" s="256" t="str">
        <f>+IF(M76=0," ","НЕРАВНЕНИЕ !")</f>
        <v xml:space="preserve"> </v>
      </c>
      <c r="N11" s="468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88" t="s">
        <v>170</v>
      </c>
      <c r="B12" s="470">
        <v>1061</v>
      </c>
      <c r="C12" s="154"/>
      <c r="D12" s="513"/>
      <c r="E12" s="471"/>
      <c r="F12" s="214"/>
      <c r="G12" s="513"/>
      <c r="H12" s="471"/>
      <c r="I12" s="214"/>
      <c r="J12" s="513"/>
      <c r="K12" s="471"/>
      <c r="L12" s="214"/>
      <c r="M12" s="472">
        <f>+D12+G12+J12</f>
        <v>0</v>
      </c>
      <c r="N12" s="473">
        <f>+E12+H12+K12</f>
        <v>0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89" t="s">
        <v>171</v>
      </c>
      <c r="B13" s="475">
        <v>1062</v>
      </c>
      <c r="C13" s="154"/>
      <c r="D13" s="514"/>
      <c r="E13" s="476"/>
      <c r="F13" s="214"/>
      <c r="G13" s="514"/>
      <c r="H13" s="476"/>
      <c r="I13" s="214"/>
      <c r="J13" s="477"/>
      <c r="K13" s="476"/>
      <c r="L13" s="214"/>
      <c r="M13" s="478">
        <f>+D13+G13+J13</f>
        <v>0</v>
      </c>
      <c r="N13" s="479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90" t="s">
        <v>1259</v>
      </c>
      <c r="B14" s="178">
        <v>1060</v>
      </c>
      <c r="C14" s="154"/>
      <c r="D14" s="215">
        <f>+D12+D13</f>
        <v>0</v>
      </c>
      <c r="E14" s="216">
        <f>+E12+E13</f>
        <v>0</v>
      </c>
      <c r="F14" s="214"/>
      <c r="G14" s="215">
        <f>+G12+G13</f>
        <v>0</v>
      </c>
      <c r="H14" s="216">
        <f>+H12+H13</f>
        <v>0</v>
      </c>
      <c r="I14" s="214"/>
      <c r="J14" s="215">
        <f>+J12+J13</f>
        <v>0</v>
      </c>
      <c r="K14" s="216">
        <f>+K12+K13</f>
        <v>0</v>
      </c>
      <c r="L14" s="214"/>
      <c r="M14" s="215">
        <f>+M12+M13</f>
        <v>0</v>
      </c>
      <c r="N14" s="216">
        <f>+N12+N13</f>
        <v>0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67" t="s">
        <v>1985</v>
      </c>
      <c r="B15" s="171"/>
      <c r="C15" s="154"/>
      <c r="D15" s="256" t="str">
        <f>+IF(D78=0," ","НЕРАВНЕНИЕ !")</f>
        <v>НЕРАВНЕНИЕ !</v>
      </c>
      <c r="E15" s="468" t="str">
        <f>+IF(E78=0," ","НЕРАВНЕНИЕ !")</f>
        <v>НЕРАВНЕНИЕ !</v>
      </c>
      <c r="F15" s="214"/>
      <c r="G15" s="256" t="str">
        <f>+IF(G78=0," ","НЕРАВНЕНИЕ !")</f>
        <v xml:space="preserve"> </v>
      </c>
      <c r="H15" s="468" t="str">
        <f>+IF(H78=0," ","НЕРАВНЕНИЕ !")</f>
        <v xml:space="preserve"> </v>
      </c>
      <c r="I15" s="214"/>
      <c r="J15" s="256" t="str">
        <f>+IF(J78=0," ","НЕРАВНЕНИЕ !")</f>
        <v xml:space="preserve"> </v>
      </c>
      <c r="K15" s="468" t="str">
        <f>+IF(K78=0," ","НЕРАВНЕНИЕ !")</f>
        <v xml:space="preserve"> </v>
      </c>
      <c r="L15" s="214"/>
      <c r="M15" s="256" t="str">
        <f>+IF(M78=0," ","НЕРАВНЕНИЕ !")</f>
        <v>НЕРАВНЕНИЕ !</v>
      </c>
      <c r="N15" s="468" t="str">
        <f>+IF(N78=0," ","НЕРАВНЕНИЕ !")</f>
        <v>НЕРАВНЕНИЕ !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60" t="s">
        <v>1983</v>
      </c>
      <c r="B16" s="470">
        <v>1071</v>
      </c>
      <c r="C16" s="154"/>
      <c r="D16" s="496"/>
      <c r="E16" s="471"/>
      <c r="F16" s="214"/>
      <c r="G16" s="496"/>
      <c r="H16" s="471"/>
      <c r="I16" s="214"/>
      <c r="J16" s="496"/>
      <c r="K16" s="471"/>
      <c r="L16" s="214"/>
      <c r="M16" s="472">
        <f t="shared" ref="M16:N21" si="0">+D16+G16+J16</f>
        <v>0</v>
      </c>
      <c r="N16" s="473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91" t="s">
        <v>173</v>
      </c>
      <c r="B17" s="483">
        <v>1072</v>
      </c>
      <c r="C17" s="154"/>
      <c r="D17" s="484"/>
      <c r="E17" s="485"/>
      <c r="F17" s="214"/>
      <c r="G17" s="484"/>
      <c r="H17" s="485"/>
      <c r="I17" s="214"/>
      <c r="J17" s="484"/>
      <c r="K17" s="485"/>
      <c r="L17" s="214"/>
      <c r="M17" s="486">
        <f t="shared" si="0"/>
        <v>0</v>
      </c>
      <c r="N17" s="487">
        <f t="shared" si="0"/>
        <v>0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91" t="s">
        <v>408</v>
      </c>
      <c r="B18" s="483">
        <v>1073</v>
      </c>
      <c r="C18" s="154"/>
      <c r="D18" s="484"/>
      <c r="E18" s="485"/>
      <c r="F18" s="214"/>
      <c r="G18" s="484"/>
      <c r="H18" s="485"/>
      <c r="I18" s="214"/>
      <c r="J18" s="484"/>
      <c r="K18" s="485"/>
      <c r="L18" s="214"/>
      <c r="M18" s="486">
        <f t="shared" si="0"/>
        <v>0</v>
      </c>
      <c r="N18" s="487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91" t="s">
        <v>409</v>
      </c>
      <c r="B19" s="483">
        <v>1074</v>
      </c>
      <c r="C19" s="154"/>
      <c r="D19" s="484"/>
      <c r="E19" s="485"/>
      <c r="F19" s="214"/>
      <c r="G19" s="484"/>
      <c r="H19" s="485"/>
      <c r="I19" s="214"/>
      <c r="J19" s="484"/>
      <c r="K19" s="485"/>
      <c r="L19" s="214"/>
      <c r="M19" s="486">
        <f t="shared" si="0"/>
        <v>0</v>
      </c>
      <c r="N19" s="487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91" t="s">
        <v>410</v>
      </c>
      <c r="B20" s="483">
        <v>1075</v>
      </c>
      <c r="C20" s="154"/>
      <c r="D20" s="488">
        <v>0</v>
      </c>
      <c r="E20" s="489">
        <v>0</v>
      </c>
      <c r="F20" s="214"/>
      <c r="G20" s="488">
        <v>0</v>
      </c>
      <c r="H20" s="489">
        <v>0</v>
      </c>
      <c r="I20" s="214"/>
      <c r="J20" s="488">
        <v>0</v>
      </c>
      <c r="K20" s="489">
        <v>0</v>
      </c>
      <c r="L20" s="214"/>
      <c r="M20" s="486">
        <f t="shared" si="0"/>
        <v>0</v>
      </c>
      <c r="N20" s="487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89" t="s">
        <v>411</v>
      </c>
      <c r="B21" s="475">
        <v>1076</v>
      </c>
      <c r="C21" s="154"/>
      <c r="D21" s="477"/>
      <c r="E21" s="476"/>
      <c r="F21" s="214"/>
      <c r="G21" s="477"/>
      <c r="H21" s="476"/>
      <c r="I21" s="214"/>
      <c r="J21" s="477"/>
      <c r="K21" s="476"/>
      <c r="L21" s="214"/>
      <c r="M21" s="478">
        <f t="shared" si="0"/>
        <v>0</v>
      </c>
      <c r="N21" s="479">
        <f t="shared" si="0"/>
        <v>0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90" t="s">
        <v>1986</v>
      </c>
      <c r="B22" s="178">
        <v>1070</v>
      </c>
      <c r="C22" s="154"/>
      <c r="D22" s="215">
        <f>+D16+D17+D18+D19+D20+D21</f>
        <v>0</v>
      </c>
      <c r="E22" s="216">
        <f>+E16+E17+E18+E19+E20+E21</f>
        <v>0</v>
      </c>
      <c r="F22" s="214"/>
      <c r="G22" s="215">
        <f>+G16+G17+G18+G19+G20+G21</f>
        <v>0</v>
      </c>
      <c r="H22" s="216">
        <f>+H16+H17+H18+H19+H20+H21</f>
        <v>0</v>
      </c>
      <c r="I22" s="214"/>
      <c r="J22" s="215">
        <f>+J16+J17+J18+J19+J20+J21</f>
        <v>0</v>
      </c>
      <c r="K22" s="216">
        <f>+K16+K17+K18+K19+K20+K21</f>
        <v>0</v>
      </c>
      <c r="L22" s="214"/>
      <c r="M22" s="215">
        <f>+M16+M17+M18+M19+M20+M21</f>
        <v>0</v>
      </c>
      <c r="N22" s="216">
        <f>+N16+N17+N18+N19+N20+N21</f>
        <v>0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67" t="s">
        <v>1260</v>
      </c>
      <c r="B23" s="171"/>
      <c r="C23" s="154"/>
      <c r="D23" s="256" t="str">
        <f>+IF(D80=0," ","НЕРАВНЕНИЕ !")</f>
        <v>НЕРАВНЕНИЕ !</v>
      </c>
      <c r="E23" s="468" t="str">
        <f>+IF(E80=0," ","НЕРАВНЕНИЕ !")</f>
        <v>НЕРАВНЕНИЕ !</v>
      </c>
      <c r="F23" s="214"/>
      <c r="G23" s="256" t="str">
        <f>+IF(G80=0," ","НЕРАВНЕНИЕ !")</f>
        <v xml:space="preserve"> </v>
      </c>
      <c r="H23" s="468" t="str">
        <f>+IF(H80=0," ","НЕРАВНЕНИЕ !")</f>
        <v xml:space="preserve"> </v>
      </c>
      <c r="I23" s="214"/>
      <c r="J23" s="256" t="str">
        <f>+IF(J80=0," ","НЕРАВНЕНИЕ !")</f>
        <v xml:space="preserve"> </v>
      </c>
      <c r="K23" s="468" t="str">
        <f>+IF(K80=0," ","НЕРАВНЕНИЕ !")</f>
        <v xml:space="preserve"> </v>
      </c>
      <c r="L23" s="214"/>
      <c r="M23" s="256" t="str">
        <f>+IF(M80=0," ","НЕРАВНЕНИЕ !")</f>
        <v>НЕРАВНЕНИЕ !</v>
      </c>
      <c r="N23" s="468" t="str">
        <f>+IF(N80=0," ","НЕРАВНЕНИЕ !")</f>
        <v>НЕРАВНЕНИЕ !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60" t="s">
        <v>1983</v>
      </c>
      <c r="B24" s="470">
        <v>1081</v>
      </c>
      <c r="C24" s="154"/>
      <c r="D24" s="496"/>
      <c r="E24" s="2061"/>
      <c r="F24" s="214"/>
      <c r="G24" s="496"/>
      <c r="H24" s="2061"/>
      <c r="I24" s="214"/>
      <c r="J24" s="496"/>
      <c r="K24" s="2061"/>
      <c r="L24" s="214"/>
      <c r="M24" s="472">
        <f t="shared" ref="M24:N29" si="1">+D24+G24+J24</f>
        <v>0</v>
      </c>
      <c r="N24" s="473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91" t="s">
        <v>173</v>
      </c>
      <c r="B25" s="483">
        <v>1082</v>
      </c>
      <c r="C25" s="154"/>
      <c r="D25" s="484"/>
      <c r="E25" s="511"/>
      <c r="F25" s="214"/>
      <c r="G25" s="484"/>
      <c r="H25" s="511"/>
      <c r="I25" s="214"/>
      <c r="J25" s="484"/>
      <c r="K25" s="511"/>
      <c r="L25" s="214"/>
      <c r="M25" s="486">
        <f t="shared" si="1"/>
        <v>0</v>
      </c>
      <c r="N25" s="487">
        <f t="shared" si="1"/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91" t="s">
        <v>408</v>
      </c>
      <c r="B26" s="483">
        <v>1083</v>
      </c>
      <c r="C26" s="154"/>
      <c r="D26" s="484"/>
      <c r="E26" s="511"/>
      <c r="F26" s="214"/>
      <c r="G26" s="484"/>
      <c r="H26" s="511"/>
      <c r="I26" s="214"/>
      <c r="J26" s="484"/>
      <c r="K26" s="511"/>
      <c r="L26" s="214"/>
      <c r="M26" s="486">
        <f t="shared" si="1"/>
        <v>0</v>
      </c>
      <c r="N26" s="487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91" t="s">
        <v>409</v>
      </c>
      <c r="B27" s="483">
        <v>1084</v>
      </c>
      <c r="C27" s="154"/>
      <c r="D27" s="484"/>
      <c r="E27" s="511"/>
      <c r="F27" s="214"/>
      <c r="G27" s="484"/>
      <c r="H27" s="511"/>
      <c r="I27" s="214"/>
      <c r="J27" s="484"/>
      <c r="K27" s="511"/>
      <c r="L27" s="214"/>
      <c r="M27" s="486">
        <f t="shared" si="1"/>
        <v>0</v>
      </c>
      <c r="N27" s="487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91" t="s">
        <v>410</v>
      </c>
      <c r="B28" s="483">
        <v>1085</v>
      </c>
      <c r="C28" s="154"/>
      <c r="D28" s="488">
        <v>0</v>
      </c>
      <c r="E28" s="489">
        <v>0</v>
      </c>
      <c r="F28" s="214"/>
      <c r="G28" s="488">
        <v>0</v>
      </c>
      <c r="H28" s="489">
        <v>0</v>
      </c>
      <c r="I28" s="214"/>
      <c r="J28" s="488">
        <v>0</v>
      </c>
      <c r="K28" s="489">
        <v>0</v>
      </c>
      <c r="L28" s="214"/>
      <c r="M28" s="486">
        <f t="shared" si="1"/>
        <v>0</v>
      </c>
      <c r="N28" s="487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89" t="s">
        <v>411</v>
      </c>
      <c r="B29" s="475">
        <v>1086</v>
      </c>
      <c r="C29" s="154"/>
      <c r="D29" s="484"/>
      <c r="E29" s="512"/>
      <c r="F29" s="214"/>
      <c r="G29" s="484"/>
      <c r="H29" s="512"/>
      <c r="I29" s="214"/>
      <c r="J29" s="484"/>
      <c r="K29" s="512"/>
      <c r="L29" s="214"/>
      <c r="M29" s="478">
        <f t="shared" si="1"/>
        <v>0</v>
      </c>
      <c r="N29" s="479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90" t="s">
        <v>1261</v>
      </c>
      <c r="B30" s="178">
        <v>1080</v>
      </c>
      <c r="C30" s="154"/>
      <c r="D30" s="215">
        <f>+D24+D25+D26+D27+D28+D29</f>
        <v>0</v>
      </c>
      <c r="E30" s="216">
        <f>+E24+E25+E26+E27+E28+E29</f>
        <v>0</v>
      </c>
      <c r="F30" s="214"/>
      <c r="G30" s="215">
        <f>+G24+G25+G26+G27+G28+G29</f>
        <v>0</v>
      </c>
      <c r="H30" s="216">
        <f>+H24+H25+H26+H27+H28+H29</f>
        <v>0</v>
      </c>
      <c r="I30" s="214"/>
      <c r="J30" s="215">
        <f>+J24+J25+J26+J27+J28+J29</f>
        <v>0</v>
      </c>
      <c r="K30" s="216">
        <f>+K24+K25+K26+K27+K28+K29</f>
        <v>0</v>
      </c>
      <c r="L30" s="214"/>
      <c r="M30" s="215">
        <f>+M24+M25+M26+M27+M28+M29</f>
        <v>0</v>
      </c>
      <c r="N30" s="216">
        <f>+N24+N25+N26+N27+N28+N29</f>
        <v>0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12"/>
      <c r="E31" s="213"/>
      <c r="F31" s="214"/>
      <c r="G31" s="212"/>
      <c r="H31" s="213"/>
      <c r="I31" s="214"/>
      <c r="J31" s="212"/>
      <c r="K31" s="213"/>
      <c r="L31" s="214"/>
      <c r="M31" s="212"/>
      <c r="N31" s="213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68" t="s">
        <v>210</v>
      </c>
      <c r="B32" s="251">
        <v>1200</v>
      </c>
      <c r="C32" s="154"/>
      <c r="D32" s="222">
        <f>+D14+D22+D30</f>
        <v>0</v>
      </c>
      <c r="E32" s="223">
        <f>+E14+E22+E30</f>
        <v>0</v>
      </c>
      <c r="F32" s="214"/>
      <c r="G32" s="222">
        <f>+G14+G22+G30</f>
        <v>0</v>
      </c>
      <c r="H32" s="223">
        <f>+H14+H22+H30</f>
        <v>0</v>
      </c>
      <c r="I32" s="214"/>
      <c r="J32" s="222">
        <f>+J14+J22+J30</f>
        <v>0</v>
      </c>
      <c r="K32" s="223">
        <f>+K14+K22+K30</f>
        <v>0</v>
      </c>
      <c r="L32" s="214"/>
      <c r="M32" s="222">
        <f>+M14+M22+M30</f>
        <v>0</v>
      </c>
      <c r="N32" s="223">
        <f>+N14+N22+N30</f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91"/>
      <c r="B33" s="181"/>
      <c r="C33" s="164"/>
      <c r="D33" s="217"/>
      <c r="E33" s="217"/>
      <c r="F33" s="218"/>
      <c r="G33" s="217"/>
      <c r="H33" s="217"/>
      <c r="I33" s="218"/>
      <c r="J33" s="217"/>
      <c r="K33" s="217"/>
      <c r="L33" s="218"/>
      <c r="M33" s="217"/>
      <c r="N33" s="217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91"/>
      <c r="B34" s="181"/>
      <c r="C34" s="154"/>
      <c r="D34" s="217"/>
      <c r="E34" s="217"/>
      <c r="F34" s="214"/>
      <c r="G34" s="217"/>
      <c r="H34" s="217"/>
      <c r="I34" s="214"/>
      <c r="J34" s="217"/>
      <c r="K34" s="217"/>
      <c r="L34" s="214"/>
      <c r="M34" s="217"/>
      <c r="N34" s="217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49"/>
      <c r="B35" s="2496" t="s">
        <v>2181</v>
      </c>
      <c r="C35" s="164"/>
      <c r="D35" s="165" t="s">
        <v>978</v>
      </c>
      <c r="E35" s="166"/>
      <c r="F35" s="218"/>
      <c r="G35" s="167" t="s">
        <v>1273</v>
      </c>
      <c r="H35" s="166"/>
      <c r="I35" s="218"/>
      <c r="J35" s="165" t="s">
        <v>708</v>
      </c>
      <c r="K35" s="168"/>
      <c r="L35" s="218"/>
      <c r="M35" s="2503" t="s">
        <v>398</v>
      </c>
      <c r="N35" s="2504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50" t="s">
        <v>559</v>
      </c>
      <c r="B36" s="2497"/>
      <c r="C36" s="164"/>
      <c r="D36" s="1416" t="s">
        <v>1274</v>
      </c>
      <c r="E36" s="169"/>
      <c r="F36" s="218"/>
      <c r="G36" s="1417" t="s">
        <v>264</v>
      </c>
      <c r="H36" s="169"/>
      <c r="I36" s="218" t="s">
        <v>265</v>
      </c>
      <c r="J36" s="1648" t="s">
        <v>2103</v>
      </c>
      <c r="K36" s="1418"/>
      <c r="L36" s="218"/>
      <c r="M36" s="2505"/>
      <c r="N36" s="2506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51" t="s">
        <v>197</v>
      </c>
      <c r="B37" s="2498"/>
      <c r="C37" s="154"/>
      <c r="D37" s="1654" t="s">
        <v>565</v>
      </c>
      <c r="E37" s="1656" t="s">
        <v>566</v>
      </c>
      <c r="F37" s="214"/>
      <c r="G37" s="1654" t="s">
        <v>565</v>
      </c>
      <c r="H37" s="1656" t="s">
        <v>566</v>
      </c>
      <c r="I37" s="214"/>
      <c r="J37" s="1654" t="s">
        <v>565</v>
      </c>
      <c r="K37" s="1656" t="s">
        <v>566</v>
      </c>
      <c r="L37" s="214"/>
      <c r="M37" s="1654" t="s">
        <v>565</v>
      </c>
      <c r="N37" s="1656" t="s">
        <v>566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52" t="s">
        <v>150</v>
      </c>
      <c r="B38" s="1653" t="s">
        <v>151</v>
      </c>
      <c r="C38" s="154"/>
      <c r="D38" s="1655">
        <v>1</v>
      </c>
      <c r="E38" s="1657">
        <v>2</v>
      </c>
      <c r="F38" s="221"/>
      <c r="G38" s="1655">
        <v>3</v>
      </c>
      <c r="H38" s="1657">
        <v>4</v>
      </c>
      <c r="I38" s="221"/>
      <c r="J38" s="1655">
        <v>5</v>
      </c>
      <c r="K38" s="1657">
        <v>6</v>
      </c>
      <c r="L38" s="221"/>
      <c r="M38" s="1655">
        <v>7</v>
      </c>
      <c r="N38" s="1657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5"/>
      <c r="C39" s="154"/>
      <c r="D39" s="256" t="str">
        <f>+IF(D82=0," ","НЕРАВНЕНИЕ !")</f>
        <v xml:space="preserve"> </v>
      </c>
      <c r="E39" s="257" t="str">
        <f>+IF(E82=0," ","НЕРАВНЕНИЕ !")</f>
        <v xml:space="preserve"> </v>
      </c>
      <c r="F39" s="214"/>
      <c r="G39" s="256" t="str">
        <f>+IF(G82=0," ","НЕРАВНЕНИЕ !")</f>
        <v xml:space="preserve"> </v>
      </c>
      <c r="H39" s="257" t="str">
        <f>+IF(H82=0," ","НЕРАВНЕНИЕ !")</f>
        <v xml:space="preserve"> </v>
      </c>
      <c r="I39" s="214"/>
      <c r="J39" s="256" t="str">
        <f>+IF(J82=0," ","НЕРАВНЕНИЕ !")</f>
        <v xml:space="preserve"> </v>
      </c>
      <c r="K39" s="257" t="str">
        <f>+IF(K82=0," ","НЕРАВНЕНИЕ !")</f>
        <v xml:space="preserve"> </v>
      </c>
      <c r="L39" s="214"/>
      <c r="M39" s="256" t="str">
        <f>+IF(M82=0," ","НЕРАВНЕНИЕ !")</f>
        <v xml:space="preserve"> </v>
      </c>
      <c r="N39" s="257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90" t="s">
        <v>1262</v>
      </c>
      <c r="B40" s="185"/>
      <c r="C40" s="154"/>
      <c r="D40" s="311"/>
      <c r="E40" s="493"/>
      <c r="F40" s="214"/>
      <c r="G40" s="311"/>
      <c r="H40" s="493"/>
      <c r="I40" s="214"/>
      <c r="J40" s="311"/>
      <c r="K40" s="493"/>
      <c r="L40" s="214"/>
      <c r="M40" s="311"/>
      <c r="N40" s="493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9" t="s">
        <v>693</v>
      </c>
      <c r="B41" s="491">
        <v>1511</v>
      </c>
      <c r="C41" s="154"/>
      <c r="D41" s="496"/>
      <c r="E41" s="497"/>
      <c r="F41" s="214"/>
      <c r="G41" s="480">
        <v>0</v>
      </c>
      <c r="H41" s="498">
        <v>0</v>
      </c>
      <c r="I41" s="214"/>
      <c r="J41" s="480">
        <v>0</v>
      </c>
      <c r="K41" s="498">
        <v>0</v>
      </c>
      <c r="L41" s="214"/>
      <c r="M41" s="472">
        <f t="shared" ref="M41:N46" si="2">+D41+G41+J41</f>
        <v>0</v>
      </c>
      <c r="N41" s="494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74" t="s">
        <v>694</v>
      </c>
      <c r="B42" s="492">
        <v>1521</v>
      </c>
      <c r="C42" s="154"/>
      <c r="D42" s="477"/>
      <c r="E42" s="499"/>
      <c r="F42" s="214"/>
      <c r="G42" s="500">
        <v>0</v>
      </c>
      <c r="H42" s="501">
        <v>0</v>
      </c>
      <c r="I42" s="214"/>
      <c r="J42" s="500">
        <v>0</v>
      </c>
      <c r="K42" s="501">
        <v>0</v>
      </c>
      <c r="L42" s="214"/>
      <c r="M42" s="478">
        <f>+D42+G42+J42</f>
        <v>0</v>
      </c>
      <c r="N42" s="495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2084</v>
      </c>
      <c r="B43" s="186">
        <v>1530</v>
      </c>
      <c r="C43" s="154"/>
      <c r="D43" s="215">
        <f>+D41+D42</f>
        <v>0</v>
      </c>
      <c r="E43" s="220">
        <f>+E41+E42</f>
        <v>0</v>
      </c>
      <c r="F43" s="214"/>
      <c r="G43" s="215">
        <f>+G41+G42</f>
        <v>0</v>
      </c>
      <c r="H43" s="220">
        <f>+H41+H42</f>
        <v>0</v>
      </c>
      <c r="I43" s="214"/>
      <c r="J43" s="215">
        <f>+J41+J42</f>
        <v>0</v>
      </c>
      <c r="K43" s="220">
        <f>+K41+K42</f>
        <v>0</v>
      </c>
      <c r="L43" s="214"/>
      <c r="M43" s="215">
        <f>+M41+M42</f>
        <v>0</v>
      </c>
      <c r="N43" s="220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502" t="s">
        <v>1263</v>
      </c>
      <c r="B44" s="185"/>
      <c r="C44" s="154"/>
      <c r="D44" s="503" t="str">
        <f>+IF(D84=0," ","НЕРАВНЕНИЕ !")</f>
        <v xml:space="preserve"> </v>
      </c>
      <c r="E44" s="504" t="str">
        <f>+IF(E84=0," ","НЕРАВНЕНИЕ !")</f>
        <v xml:space="preserve"> </v>
      </c>
      <c r="F44" s="214"/>
      <c r="G44" s="505" t="str">
        <f>+IF(G84=0," ","НЕРАВНЕНИЕ !")</f>
        <v xml:space="preserve"> </v>
      </c>
      <c r="H44" s="506" t="str">
        <f>+IF(H84=0," ","НЕРАВНЕНИЕ !")</f>
        <v xml:space="preserve"> </v>
      </c>
      <c r="I44" s="214"/>
      <c r="J44" s="505" t="str">
        <f>+IF(J84=0," ","НЕРАВНЕНИЕ !")</f>
        <v xml:space="preserve"> </v>
      </c>
      <c r="K44" s="506" t="str">
        <f>+IF(K84=0," ","НЕРАВНЕНИЕ !")</f>
        <v xml:space="preserve"> </v>
      </c>
      <c r="L44" s="214"/>
      <c r="M44" s="505" t="str">
        <f>+IF(M84=0," ","НЕРАВНЕНИЕ !")</f>
        <v xml:space="preserve"> </v>
      </c>
      <c r="N44" s="506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9" t="s">
        <v>693</v>
      </c>
      <c r="B45" s="491">
        <v>2511</v>
      </c>
      <c r="C45" s="154"/>
      <c r="D45" s="496"/>
      <c r="E45" s="497"/>
      <c r="F45" s="214"/>
      <c r="G45" s="480">
        <v>0</v>
      </c>
      <c r="H45" s="498">
        <v>0</v>
      </c>
      <c r="I45" s="214"/>
      <c r="J45" s="480">
        <v>0</v>
      </c>
      <c r="K45" s="498">
        <v>0</v>
      </c>
      <c r="L45" s="214"/>
      <c r="M45" s="472">
        <f t="shared" si="2"/>
        <v>0</v>
      </c>
      <c r="N45" s="494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74" t="s">
        <v>694</v>
      </c>
      <c r="B46" s="492">
        <v>2521</v>
      </c>
      <c r="C46" s="154"/>
      <c r="D46" s="477"/>
      <c r="E46" s="499"/>
      <c r="F46" s="214"/>
      <c r="G46" s="500">
        <v>0</v>
      </c>
      <c r="H46" s="501">
        <v>0</v>
      </c>
      <c r="I46" s="214"/>
      <c r="J46" s="500">
        <v>0</v>
      </c>
      <c r="K46" s="501">
        <v>0</v>
      </c>
      <c r="L46" s="214"/>
      <c r="M46" s="478">
        <f t="shared" si="2"/>
        <v>0</v>
      </c>
      <c r="N46" s="495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2085</v>
      </c>
      <c r="B47" s="186">
        <v>2530</v>
      </c>
      <c r="C47" s="154"/>
      <c r="D47" s="215">
        <f>+D45+D46</f>
        <v>0</v>
      </c>
      <c r="E47" s="220">
        <f>+E45+E46</f>
        <v>0</v>
      </c>
      <c r="F47" s="214"/>
      <c r="G47" s="215">
        <f>+G45+G46</f>
        <v>0</v>
      </c>
      <c r="H47" s="220">
        <f>+H45+H46</f>
        <v>0</v>
      </c>
      <c r="I47" s="214"/>
      <c r="J47" s="215">
        <f>+J45+J46</f>
        <v>0</v>
      </c>
      <c r="K47" s="220">
        <f>+K45+K46</f>
        <v>0</v>
      </c>
      <c r="L47" s="214"/>
      <c r="M47" s="215">
        <f>+M45+M46</f>
        <v>0</v>
      </c>
      <c r="N47" s="220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502" t="s">
        <v>2032</v>
      </c>
      <c r="B48" s="185"/>
      <c r="C48" s="154"/>
      <c r="D48" s="503" t="str">
        <f>+IF(D86=0," ","НЕРАВНЕНИЕ !")</f>
        <v xml:space="preserve"> </v>
      </c>
      <c r="E48" s="504" t="str">
        <f>+IF(E86=0," ","НЕРАВНЕНИЕ !")</f>
        <v xml:space="preserve"> </v>
      </c>
      <c r="F48" s="214"/>
      <c r="G48" s="503" t="str">
        <f>+IF(G86=0," ","НЕРАВНЕНИЕ !")</f>
        <v xml:space="preserve"> </v>
      </c>
      <c r="H48" s="504" t="str">
        <f>+IF(H86=0," ","НЕРАВНЕНИЕ !")</f>
        <v xml:space="preserve"> </v>
      </c>
      <c r="I48" s="214"/>
      <c r="J48" s="505" t="str">
        <f>+IF(J86=0," ","НЕРАВНЕНИЕ !")</f>
        <v xml:space="preserve"> </v>
      </c>
      <c r="K48" s="506" t="str">
        <f>+IF(K86=0," ","НЕРАВНЕНИЕ !")</f>
        <v xml:space="preserve"> </v>
      </c>
      <c r="L48" s="214"/>
      <c r="M48" s="505" t="str">
        <f>+IF(M86=0," ","НЕРАВНЕНИЕ !")</f>
        <v xml:space="preserve"> </v>
      </c>
      <c r="N48" s="506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9" t="s">
        <v>207</v>
      </c>
      <c r="B49" s="491">
        <v>3513</v>
      </c>
      <c r="C49" s="154"/>
      <c r="D49" s="496"/>
      <c r="E49" s="497"/>
      <c r="F49" s="214"/>
      <c r="G49" s="496"/>
      <c r="H49" s="497"/>
      <c r="I49" s="214"/>
      <c r="J49" s="480">
        <v>0</v>
      </c>
      <c r="K49" s="498">
        <v>0</v>
      </c>
      <c r="L49" s="214"/>
      <c r="M49" s="472">
        <f>+D49+G49+J49</f>
        <v>0</v>
      </c>
      <c r="N49" s="494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74" t="s">
        <v>208</v>
      </c>
      <c r="B50" s="492">
        <v>3521</v>
      </c>
      <c r="C50" s="154"/>
      <c r="D50" s="477"/>
      <c r="E50" s="499"/>
      <c r="F50" s="214"/>
      <c r="G50" s="477"/>
      <c r="H50" s="499"/>
      <c r="I50" s="214"/>
      <c r="J50" s="500">
        <v>0</v>
      </c>
      <c r="K50" s="501">
        <v>0</v>
      </c>
      <c r="L50" s="214"/>
      <c r="M50" s="478">
        <f>+D50+G50+J50</f>
        <v>0</v>
      </c>
      <c r="N50" s="495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1264</v>
      </c>
      <c r="B51" s="186">
        <v>3530</v>
      </c>
      <c r="C51" s="154"/>
      <c r="D51" s="215">
        <f>+D49+D50</f>
        <v>0</v>
      </c>
      <c r="E51" s="220">
        <f>+E49+E50</f>
        <v>0</v>
      </c>
      <c r="F51" s="214"/>
      <c r="G51" s="215">
        <f>+G49+G50</f>
        <v>0</v>
      </c>
      <c r="H51" s="220">
        <f>+H49+H50</f>
        <v>0</v>
      </c>
      <c r="I51" s="214"/>
      <c r="J51" s="215">
        <f>+J49+J50</f>
        <v>0</v>
      </c>
      <c r="K51" s="220">
        <f>+K49+K50</f>
        <v>0</v>
      </c>
      <c r="L51" s="214"/>
      <c r="M51" s="215">
        <f>+M49+M50</f>
        <v>0</v>
      </c>
      <c r="N51" s="220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502" t="s">
        <v>1265</v>
      </c>
      <c r="B52" s="185"/>
      <c r="C52" s="154"/>
      <c r="D52" s="503" t="str">
        <f>+IF(D88=0," ","НЕРАВНЕНИЕ !")</f>
        <v xml:space="preserve"> </v>
      </c>
      <c r="E52" s="504" t="str">
        <f>+IF(E88=0," ","НЕРАВНЕНИЕ !")</f>
        <v xml:space="preserve"> </v>
      </c>
      <c r="F52" s="214"/>
      <c r="G52" s="503" t="str">
        <f>+IF(G88=0," ","НЕРАВНЕНИЕ !")</f>
        <v xml:space="preserve"> </v>
      </c>
      <c r="H52" s="504" t="str">
        <f>+IF(H88=0," ","НЕРАВНЕНИЕ !")</f>
        <v xml:space="preserve"> </v>
      </c>
      <c r="I52" s="214"/>
      <c r="J52" s="505" t="str">
        <f>+IF(J88=0," ","НЕРАВНЕНИЕ !")</f>
        <v xml:space="preserve"> </v>
      </c>
      <c r="K52" s="506" t="str">
        <f>+IF(K88=0," ","НЕРАВНЕНИЕ !")</f>
        <v xml:space="preserve"> </v>
      </c>
      <c r="L52" s="214"/>
      <c r="M52" s="505" t="str">
        <f>+IF(M88=0," ","НЕРАВНЕНИЕ !")</f>
        <v xml:space="preserve"> </v>
      </c>
      <c r="N52" s="506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9" t="s">
        <v>267</v>
      </c>
      <c r="B53" s="491">
        <v>3813</v>
      </c>
      <c r="C53" s="154"/>
      <c r="D53" s="496"/>
      <c r="E53" s="497"/>
      <c r="F53" s="214"/>
      <c r="G53" s="496"/>
      <c r="H53" s="497"/>
      <c r="I53" s="214"/>
      <c r="J53" s="480">
        <v>0</v>
      </c>
      <c r="K53" s="498">
        <v>0</v>
      </c>
      <c r="L53" s="214"/>
      <c r="M53" s="472">
        <f t="shared" ref="M53:N55" si="3">+D53+G53+J53</f>
        <v>0</v>
      </c>
      <c r="N53" s="494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82" t="s">
        <v>795</v>
      </c>
      <c r="B54" s="507">
        <v>3821</v>
      </c>
      <c r="C54" s="154"/>
      <c r="D54" s="484"/>
      <c r="E54" s="508"/>
      <c r="F54" s="214"/>
      <c r="G54" s="484"/>
      <c r="H54" s="508"/>
      <c r="I54" s="214"/>
      <c r="J54" s="488">
        <v>0</v>
      </c>
      <c r="K54" s="1807">
        <v>0</v>
      </c>
      <c r="L54" s="214"/>
      <c r="M54" s="486">
        <f t="shared" si="3"/>
        <v>0</v>
      </c>
      <c r="N54" s="509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74" t="s">
        <v>174</v>
      </c>
      <c r="B55" s="492">
        <v>3829</v>
      </c>
      <c r="C55" s="154"/>
      <c r="D55" s="477"/>
      <c r="E55" s="510"/>
      <c r="F55" s="214"/>
      <c r="G55" s="477"/>
      <c r="H55" s="510"/>
      <c r="I55" s="214"/>
      <c r="J55" s="500">
        <v>0</v>
      </c>
      <c r="K55" s="501">
        <v>0</v>
      </c>
      <c r="L55" s="214"/>
      <c r="M55" s="478">
        <f t="shared" si="3"/>
        <v>0</v>
      </c>
      <c r="N55" s="495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1266</v>
      </c>
      <c r="B56" s="186">
        <v>3830</v>
      </c>
      <c r="C56" s="154"/>
      <c r="D56" s="215">
        <f>+SUM(D53:D55)</f>
        <v>0</v>
      </c>
      <c r="E56" s="220">
        <f>+SUM(E53:E55)</f>
        <v>0</v>
      </c>
      <c r="F56" s="214"/>
      <c r="G56" s="215">
        <f>+SUM(G53:G55)</f>
        <v>0</v>
      </c>
      <c r="H56" s="220">
        <f>+SUM(H53:H55)</f>
        <v>0</v>
      </c>
      <c r="I56" s="214"/>
      <c r="J56" s="215">
        <f>+SUM(J53:J55)</f>
        <v>0</v>
      </c>
      <c r="K56" s="220">
        <f>+SUM(K53:K55)</f>
        <v>0</v>
      </c>
      <c r="L56" s="214"/>
      <c r="M56" s="215">
        <f>+SUM(M53:M55)</f>
        <v>0</v>
      </c>
      <c r="N56" s="220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69" t="s">
        <v>1860</v>
      </c>
      <c r="B57" s="171"/>
      <c r="C57" s="154"/>
      <c r="D57" s="256" t="str">
        <f>+IF(D90=0," ","НЕРАВНЕНИЕ !")</f>
        <v xml:space="preserve"> </v>
      </c>
      <c r="E57" s="468" t="str">
        <f>+IF(E90=0," ","НЕРАВНЕНИЕ !")</f>
        <v xml:space="preserve"> </v>
      </c>
      <c r="F57" s="214"/>
      <c r="G57" s="256" t="str">
        <f>+IF(G90=0," ","НЕРАВНЕНИЕ !")</f>
        <v xml:space="preserve"> </v>
      </c>
      <c r="H57" s="468" t="str">
        <f>+IF(H90=0," ","НЕРАВНЕНИЕ !")</f>
        <v xml:space="preserve"> </v>
      </c>
      <c r="I57" s="214"/>
      <c r="J57" s="256" t="str">
        <f>+IF(J90=0," ","НЕРАВНЕНИЕ !")</f>
        <v xml:space="preserve"> </v>
      </c>
      <c r="K57" s="468" t="str">
        <f>+IF(K90=0," ","НЕРАВНЕНИЕ !")</f>
        <v xml:space="preserve"> </v>
      </c>
      <c r="L57" s="214"/>
      <c r="M57" s="256" t="str">
        <f>+IF(M90=0," ","НЕРАВНЕНИЕ !")</f>
        <v xml:space="preserve"> </v>
      </c>
      <c r="N57" s="468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60" t="s">
        <v>368</v>
      </c>
      <c r="B58" s="470">
        <v>3991</v>
      </c>
      <c r="C58" s="154"/>
      <c r="D58" s="480">
        <v>0</v>
      </c>
      <c r="E58" s="481">
        <v>0</v>
      </c>
      <c r="F58" s="214"/>
      <c r="G58" s="480">
        <v>0</v>
      </c>
      <c r="H58" s="481">
        <v>0</v>
      </c>
      <c r="I58" s="214"/>
      <c r="J58" s="480">
        <v>0</v>
      </c>
      <c r="K58" s="481">
        <v>0</v>
      </c>
      <c r="L58" s="214"/>
      <c r="M58" s="472">
        <f t="shared" ref="M58:M66" si="4">+D58+G58+J58</f>
        <v>0</v>
      </c>
      <c r="N58" s="473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34" t="s">
        <v>422</v>
      </c>
      <c r="B59" s="483">
        <f>1+B58</f>
        <v>3992</v>
      </c>
      <c r="C59" s="154"/>
      <c r="D59" s="484"/>
      <c r="E59" s="511"/>
      <c r="F59" s="214"/>
      <c r="G59" s="484"/>
      <c r="H59" s="511"/>
      <c r="I59" s="214"/>
      <c r="J59" s="484"/>
      <c r="K59" s="511"/>
      <c r="L59" s="214"/>
      <c r="M59" s="486">
        <f t="shared" si="4"/>
        <v>0</v>
      </c>
      <c r="N59" s="487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423</v>
      </c>
      <c r="B60" s="483">
        <f t="shared" ref="B60:B66" si="6">1+B59</f>
        <v>3993</v>
      </c>
      <c r="C60" s="154"/>
      <c r="D60" s="484"/>
      <c r="E60" s="511"/>
      <c r="F60" s="214"/>
      <c r="G60" s="484"/>
      <c r="H60" s="511"/>
      <c r="I60" s="214"/>
      <c r="J60" s="484"/>
      <c r="K60" s="511"/>
      <c r="L60" s="214"/>
      <c r="M60" s="486">
        <f t="shared" si="4"/>
        <v>0</v>
      </c>
      <c r="N60" s="487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4" t="s">
        <v>369</v>
      </c>
      <c r="B61" s="483">
        <f t="shared" si="6"/>
        <v>3994</v>
      </c>
      <c r="C61" s="154"/>
      <c r="D61" s="484"/>
      <c r="E61" s="511"/>
      <c r="F61" s="214"/>
      <c r="G61" s="484"/>
      <c r="H61" s="511"/>
      <c r="I61" s="214"/>
      <c r="J61" s="484"/>
      <c r="K61" s="511"/>
      <c r="L61" s="214"/>
      <c r="M61" s="486">
        <f t="shared" si="4"/>
        <v>0</v>
      </c>
      <c r="N61" s="487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34" t="s">
        <v>424</v>
      </c>
      <c r="B62" s="483">
        <f t="shared" si="6"/>
        <v>3995</v>
      </c>
      <c r="C62" s="154"/>
      <c r="D62" s="488">
        <v>0</v>
      </c>
      <c r="E62" s="489">
        <v>0</v>
      </c>
      <c r="F62" s="214"/>
      <c r="G62" s="488">
        <v>0</v>
      </c>
      <c r="H62" s="489">
        <v>0</v>
      </c>
      <c r="I62" s="214"/>
      <c r="J62" s="488">
        <v>0</v>
      </c>
      <c r="K62" s="489">
        <v>0</v>
      </c>
      <c r="L62" s="214"/>
      <c r="M62" s="486">
        <f t="shared" si="4"/>
        <v>0</v>
      </c>
      <c r="N62" s="487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87" t="s">
        <v>1015</v>
      </c>
      <c r="B63" s="483">
        <f t="shared" si="6"/>
        <v>3996</v>
      </c>
      <c r="C63" s="154"/>
      <c r="D63" s="488">
        <v>0</v>
      </c>
      <c r="E63" s="489">
        <v>0</v>
      </c>
      <c r="F63" s="214"/>
      <c r="G63" s="488">
        <v>0</v>
      </c>
      <c r="H63" s="489">
        <v>0</v>
      </c>
      <c r="I63" s="214"/>
      <c r="J63" s="488">
        <v>0</v>
      </c>
      <c r="K63" s="489">
        <v>0</v>
      </c>
      <c r="L63" s="214"/>
      <c r="M63" s="486">
        <f t="shared" ref="M63:N65" si="7">+D63+G63+J63</f>
        <v>0</v>
      </c>
      <c r="N63" s="487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87" t="s">
        <v>425</v>
      </c>
      <c r="B64" s="483">
        <f t="shared" si="6"/>
        <v>3997</v>
      </c>
      <c r="C64" s="154"/>
      <c r="D64" s="488">
        <v>0</v>
      </c>
      <c r="E64" s="489">
        <v>0</v>
      </c>
      <c r="F64" s="214"/>
      <c r="G64" s="488">
        <v>0</v>
      </c>
      <c r="H64" s="489">
        <v>0</v>
      </c>
      <c r="I64" s="214"/>
      <c r="J64" s="488">
        <v>0</v>
      </c>
      <c r="K64" s="489">
        <v>0</v>
      </c>
      <c r="L64" s="214"/>
      <c r="M64" s="486">
        <f t="shared" si="7"/>
        <v>0</v>
      </c>
      <c r="N64" s="487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87" t="s">
        <v>1861</v>
      </c>
      <c r="B65" s="483">
        <f t="shared" si="6"/>
        <v>3998</v>
      </c>
      <c r="C65" s="154"/>
      <c r="D65" s="488">
        <v>0</v>
      </c>
      <c r="E65" s="489">
        <v>0</v>
      </c>
      <c r="F65" s="214"/>
      <c r="G65" s="488">
        <v>0</v>
      </c>
      <c r="H65" s="489">
        <v>0</v>
      </c>
      <c r="I65" s="214"/>
      <c r="J65" s="488">
        <v>0</v>
      </c>
      <c r="K65" s="489">
        <v>0</v>
      </c>
      <c r="L65" s="214"/>
      <c r="M65" s="486">
        <f t="shared" si="7"/>
        <v>0</v>
      </c>
      <c r="N65" s="487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36" t="s">
        <v>426</v>
      </c>
      <c r="B66" s="475">
        <f t="shared" si="6"/>
        <v>3999</v>
      </c>
      <c r="C66" s="154"/>
      <c r="D66" s="486">
        <f>+ROUND(+'TRIAL-BALANCE'!P274-'TRIAL-BALANCE'!O274,2)-SUM(D58:D65)</f>
        <v>0</v>
      </c>
      <c r="E66" s="1880">
        <f>+ROUND(+'TRIAL-BALANCE'!T274-'TRIAL-BALANCE'!S274,2)-SUM(E58:E65)</f>
        <v>0</v>
      </c>
      <c r="F66" s="214"/>
      <c r="G66" s="486">
        <f>+ROUND(+'TRIAL-BALANCE'!W274-'TRIAL-BALANCE'!V274,2)-SUM(G58:G65)</f>
        <v>-1073833.43</v>
      </c>
      <c r="H66" s="1880">
        <f>+ROUND(+'TRIAL-BALANCE'!AA274-'TRIAL-BALANCE'!Z274,2)-SUM(H58:H65)</f>
        <v>-1088612.93</v>
      </c>
      <c r="I66" s="214"/>
      <c r="J66" s="486">
        <f>+ROUND(+'TRIAL-BALANCE'!AD274-'TRIAL-BALANCE'!AC274,2)-SUM(J58:J65)</f>
        <v>0</v>
      </c>
      <c r="K66" s="1880">
        <f>+ROUND(+'TRIAL-BALANCE'!AH274-'TRIAL-BALANCE'!AG274,2)-SUM(K58:K65)</f>
        <v>0</v>
      </c>
      <c r="L66" s="214"/>
      <c r="M66" s="478">
        <f t="shared" si="4"/>
        <v>-1073833.43</v>
      </c>
      <c r="N66" s="479">
        <f t="shared" si="5"/>
        <v>-1088612.93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90" t="s">
        <v>1862</v>
      </c>
      <c r="B67" s="178">
        <v>3990</v>
      </c>
      <c r="C67" s="154"/>
      <c r="D67" s="215">
        <f>+D58+D59+D60+D61+D62+D66</f>
        <v>0</v>
      </c>
      <c r="E67" s="216">
        <f>+E58+E59+E60+E61+E62+E66</f>
        <v>0</v>
      </c>
      <c r="F67" s="214"/>
      <c r="G67" s="215">
        <f>+G58+G59+G60+G61+G62+G66</f>
        <v>-1073833.43</v>
      </c>
      <c r="H67" s="216">
        <f>+H58+H59+H60+H61+H62+H66</f>
        <v>-1088612.93</v>
      </c>
      <c r="I67" s="214"/>
      <c r="J67" s="215">
        <f>+J58+J59+J60+J61+J62+J66</f>
        <v>0</v>
      </c>
      <c r="K67" s="216">
        <f>+K58+K59+K60+K61+K62+K66</f>
        <v>0</v>
      </c>
      <c r="L67" s="214"/>
      <c r="M67" s="215">
        <f>SUM(M58:M66)</f>
        <v>-1073833.43</v>
      </c>
      <c r="N67" s="216">
        <f>SUM(N58:N66)</f>
        <v>-1088612.93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7"/>
      <c r="C68" s="154"/>
      <c r="D68" s="212"/>
      <c r="E68" s="219"/>
      <c r="F68" s="214"/>
      <c r="G68" s="212"/>
      <c r="H68" s="219"/>
      <c r="I68" s="214"/>
      <c r="J68" s="212"/>
      <c r="K68" s="219"/>
      <c r="L68" s="214"/>
      <c r="M68" s="212"/>
      <c r="N68" s="219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58" t="s">
        <v>1858</v>
      </c>
      <c r="B69" s="1659">
        <v>4000</v>
      </c>
      <c r="C69" s="154"/>
      <c r="D69" s="222">
        <f>+D43+D47+D51+D56+D67</f>
        <v>0</v>
      </c>
      <c r="E69" s="252">
        <f>+E43+E47+E51+E56+E67</f>
        <v>0</v>
      </c>
      <c r="F69" s="214"/>
      <c r="G69" s="222">
        <f>+G43+G47+G51+G56+G67</f>
        <v>-1073833.43</v>
      </c>
      <c r="H69" s="252">
        <f>+H43+H47+H51+H56+H67</f>
        <v>-1088612.93</v>
      </c>
      <c r="I69" s="214"/>
      <c r="J69" s="222">
        <f>+J43+J47+J51+J56+J67</f>
        <v>0</v>
      </c>
      <c r="K69" s="252">
        <f>+K43+K47+K51+K56+K67</f>
        <v>0</v>
      </c>
      <c r="L69" s="214"/>
      <c r="M69" s="222">
        <f>+M43+M47+M51+M56+M67</f>
        <v>-1073833.43</v>
      </c>
      <c r="N69" s="252">
        <f>+N43+N47+N51+N56+N67</f>
        <v>-1088612.93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91"/>
      <c r="B70" s="164"/>
      <c r="C70" s="154"/>
      <c r="D70" s="182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91"/>
      <c r="B71" s="164"/>
      <c r="C71" s="154"/>
      <c r="D71" s="182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1996</v>
      </c>
      <c r="B72" s="192"/>
      <c r="C72" s="154"/>
      <c r="D72" s="2095">
        <f>+'TRIAL-BALANCE'!K10</f>
        <v>0</v>
      </c>
      <c r="E72" s="148" t="s">
        <v>797</v>
      </c>
      <c r="F72" s="154"/>
      <c r="G72" s="148"/>
      <c r="H72" s="457"/>
      <c r="I72" s="457"/>
      <c r="J72" s="457"/>
      <c r="K72" s="148" t="s">
        <v>796</v>
      </c>
      <c r="L72" s="154"/>
      <c r="M72" s="197"/>
      <c r="N72" s="197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58"/>
      <c r="B73" s="459"/>
      <c r="C73" s="164"/>
      <c r="D73" s="459"/>
      <c r="E73" s="460"/>
      <c r="F73" s="164"/>
      <c r="G73" s="209"/>
      <c r="H73" s="2490"/>
      <c r="I73" s="2491"/>
      <c r="J73" s="2492"/>
      <c r="K73" s="209"/>
      <c r="L73" s="164"/>
      <c r="M73" s="2488"/>
      <c r="N73" s="2489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58"/>
      <c r="B74" s="458"/>
      <c r="C74" s="458"/>
      <c r="D74" s="458"/>
      <c r="E74" s="458"/>
      <c r="F74" s="458"/>
      <c r="G74" s="458"/>
      <c r="H74" s="2128" t="s">
        <v>2033</v>
      </c>
      <c r="I74" s="458"/>
      <c r="J74" s="458"/>
      <c r="K74" s="458"/>
      <c r="L74" s="458"/>
      <c r="M74" s="2128" t="s">
        <v>2034</v>
      </c>
      <c r="N74" s="458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8"/>
      <c r="D75" s="152"/>
      <c r="E75" s="152"/>
      <c r="F75" s="198"/>
      <c r="G75" s="152"/>
      <c r="H75" s="152"/>
      <c r="I75" s="198"/>
      <c r="J75" s="152"/>
      <c r="K75" s="152"/>
      <c r="L75" s="198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92" customFormat="1" ht="15.75">
      <c r="A76" s="1660" t="s">
        <v>900</v>
      </c>
      <c r="B76" s="1661"/>
      <c r="C76" s="198"/>
      <c r="D76" s="1662">
        <f>+ROUND(+D14-SUM('TRIAL-BALANCE'!P364:P367)-SUM('TRIAL-BALANCE'!P380:P382),2)</f>
        <v>0</v>
      </c>
      <c r="E76" s="1663">
        <f>+ROUND(+E14-SUM('TRIAL-BALANCE'!T364:T367)-SUM('TRIAL-BALANCE'!T380:T382),2)</f>
        <v>0</v>
      </c>
      <c r="F76" s="253"/>
      <c r="G76" s="1662">
        <f>+ROUND(+G14-SUM('TRIAL-BALANCE'!W364:W367)-SUM('TRIAL-BALANCE'!W380:W382),2)</f>
        <v>0</v>
      </c>
      <c r="H76" s="1663">
        <f>+ROUND(+H14-SUM('TRIAL-BALANCE'!AA364:AA367)-SUM('TRIAL-BALANCE'!AA380:AA382),2)</f>
        <v>0</v>
      </c>
      <c r="I76" s="253"/>
      <c r="J76" s="1662">
        <f>+ROUND(+J14-SUM('TRIAL-BALANCE'!AD364:AD367)-SUM('TRIAL-BALANCE'!AD380:AD382),2)</f>
        <v>0</v>
      </c>
      <c r="K76" s="1663">
        <f>+ROUND(+K14-SUM('TRIAL-BALANCE'!AH364:AH367)-SUM('TRIAL-BALANCE'!AH380:AH382),2)</f>
        <v>0</v>
      </c>
      <c r="L76" s="253"/>
      <c r="M76" s="1662">
        <f>+ROUND(+D76+G76+J76,2)</f>
        <v>0</v>
      </c>
      <c r="N76" s="1663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97"/>
      <c r="AB76" s="1397"/>
      <c r="AC76" s="1397"/>
      <c r="AD76" s="1397"/>
      <c r="AE76" s="1397"/>
      <c r="AF76" s="1397"/>
      <c r="AG76" s="1397"/>
      <c r="AH76" s="1397"/>
      <c r="AI76" s="1397"/>
      <c r="AJ76" s="1397"/>
    </row>
    <row r="77" spans="1:36" s="1392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97"/>
      <c r="AB77" s="1397"/>
      <c r="AC77" s="1397"/>
      <c r="AD77" s="1397"/>
      <c r="AE77" s="1397"/>
      <c r="AF77" s="1397"/>
      <c r="AG77" s="1397"/>
      <c r="AH77" s="1397"/>
      <c r="AI77" s="1397"/>
      <c r="AJ77" s="1397"/>
    </row>
    <row r="78" spans="1:36" s="1392" customFormat="1" ht="15.75">
      <c r="A78" s="1660" t="s">
        <v>2031</v>
      </c>
      <c r="B78" s="1661"/>
      <c r="C78" s="198"/>
      <c r="D78" s="1662">
        <f>+ROUND(+D22-'TRIAL-BALANCE'!P261-'TRIAL-BALANCE'!P262-'TRIAL-BALANCE'!P263-'TRIAL-BALANCE'!P264-'TRIAL-BALANCE'!P265,2)</f>
        <v>-64375.35</v>
      </c>
      <c r="E78" s="1663">
        <f>+ROUND(+E22-'TRIAL-BALANCE'!T261-'TRIAL-BALANCE'!T262-'TRIAL-BALANCE'!T263-'TRIAL-BALANCE'!T264-'TRIAL-BALANCE'!T265,2)</f>
        <v>-64375.35</v>
      </c>
      <c r="F78" s="253"/>
      <c r="G78" s="1662">
        <f>+ROUND(+G22-'TRIAL-BALANCE'!W261-'TRIAL-BALANCE'!W262-'TRIAL-BALANCE'!W263-'TRIAL-BALANCE'!W264-'TRIAL-BALANCE'!W265,2)</f>
        <v>0</v>
      </c>
      <c r="H78" s="1663">
        <f>+ROUND(+H22-'TRIAL-BALANCE'!AA261-'TRIAL-BALANCE'!AA262-'TRIAL-BALANCE'!AA263-'TRIAL-BALANCE'!AA264-'TRIAL-BALANCE'!AA265,2)</f>
        <v>0</v>
      </c>
      <c r="I78" s="253"/>
      <c r="J78" s="1662">
        <f>+ROUND(+J22-'TRIAL-BALANCE'!AD261-'TRIAL-BALANCE'!AD262-'TRIAL-BALANCE'!AD263-'TRIAL-BALANCE'!AD264-'TRIAL-BALANCE'!AD265,2)</f>
        <v>0</v>
      </c>
      <c r="K78" s="1663">
        <f>+ROUND(+K22-'TRIAL-BALANCE'!AH261-'TRIAL-BALANCE'!AH262-'TRIAL-BALANCE'!AH263-'TRIAL-BALANCE'!AH264-'TRIAL-BALANCE'!AH265,2)</f>
        <v>0</v>
      </c>
      <c r="L78" s="253"/>
      <c r="M78" s="1662">
        <f>+ROUND(+D78+G78+J78,2)</f>
        <v>-64375.35</v>
      </c>
      <c r="N78" s="1663">
        <f>+ROUND(+E78+H78+K78,2)</f>
        <v>-64375.35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97"/>
      <c r="AB78" s="1397"/>
      <c r="AC78" s="1397"/>
      <c r="AD78" s="1397"/>
      <c r="AE78" s="1397"/>
      <c r="AF78" s="1397"/>
      <c r="AG78" s="1397"/>
      <c r="AH78" s="1397"/>
      <c r="AI78" s="1397"/>
      <c r="AJ78" s="1397"/>
    </row>
    <row r="79" spans="1:36" s="1392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97"/>
      <c r="AB79" s="1397"/>
      <c r="AC79" s="1397"/>
      <c r="AD79" s="1397"/>
      <c r="AE79" s="1397"/>
      <c r="AF79" s="1397"/>
      <c r="AG79" s="1397"/>
      <c r="AH79" s="1397"/>
      <c r="AI79" s="1397"/>
      <c r="AJ79" s="1397"/>
    </row>
    <row r="80" spans="1:36" s="1392" customFormat="1" ht="15.75">
      <c r="A80" s="1660" t="s">
        <v>211</v>
      </c>
      <c r="B80" s="1661"/>
      <c r="C80" s="198"/>
      <c r="D80" s="1662">
        <f>+ROUND(+D30-(+'TRIAL-BALANCE'!O271+'TRIAL-BALANCE'!O272+'TRIAL-BALANCE'!O273-'TRIAL-BALANCE'!P271-'TRIAL-BALANCE'!P272-'TRIAL-BALANCE'!P273),2)</f>
        <v>-23243.47</v>
      </c>
      <c r="E80" s="1663">
        <f>+ROUND(+E30-(+'TRIAL-BALANCE'!S271+'TRIAL-BALANCE'!S272+'TRIAL-BALANCE'!S273-'TRIAL-BALANCE'!T271-'TRIAL-BALANCE'!T272-'TRIAL-BALANCE'!T273),2)</f>
        <v>-247</v>
      </c>
      <c r="F80" s="253"/>
      <c r="G80" s="1662">
        <f>+ROUND(+G30-(+'TRIAL-BALANCE'!V271+'TRIAL-BALANCE'!V272+'TRIAL-BALANCE'!V273-'TRIAL-BALANCE'!W271-'TRIAL-BALANCE'!W272-'TRIAL-BALANCE'!W273),2)</f>
        <v>0</v>
      </c>
      <c r="H80" s="1663">
        <f>+ROUND(+H30-(+'TRIAL-BALANCE'!Z271+'TRIAL-BALANCE'!Z272+'TRIAL-BALANCE'!Z273-'TRIAL-BALANCE'!AA271-'TRIAL-BALANCE'!AA272-'TRIAL-BALANCE'!AA273),2)</f>
        <v>0</v>
      </c>
      <c r="I80" s="253"/>
      <c r="J80" s="1662">
        <f>+ROUND(+J30-(+'TRIAL-BALANCE'!AC271+'TRIAL-BALANCE'!AC272+'TRIAL-BALANCE'!AC273-'TRIAL-BALANCE'!AD271-'TRIAL-BALANCE'!AD272-'TRIAL-BALANCE'!AD273),2)</f>
        <v>0</v>
      </c>
      <c r="K80" s="1663">
        <f>+ROUND(+K30-(+'TRIAL-BALANCE'!AG271+'TRIAL-BALANCE'!AG272+'TRIAL-BALANCE'!AG273-'TRIAL-BALANCE'!AH271-'TRIAL-BALANCE'!AH272-'TRIAL-BALANCE'!AH273),2)</f>
        <v>0</v>
      </c>
      <c r="L80" s="253"/>
      <c r="M80" s="1662">
        <f>+ROUND(+D80+G80+J80,2)</f>
        <v>-23243.47</v>
      </c>
      <c r="N80" s="1663">
        <f>+ROUND(+E80+H80+K80,2)</f>
        <v>-247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97"/>
      <c r="AB80" s="1397"/>
      <c r="AC80" s="1397"/>
      <c r="AD80" s="1397"/>
      <c r="AE80" s="1397"/>
      <c r="AF80" s="1397"/>
      <c r="AG80" s="1397"/>
      <c r="AH80" s="1397"/>
      <c r="AI80" s="1397"/>
      <c r="AJ80" s="1397"/>
    </row>
    <row r="81" spans="1:36" s="1392" customFormat="1" ht="7.5" customHeight="1">
      <c r="A81" s="43"/>
      <c r="B81" s="43"/>
      <c r="C81" s="43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97"/>
      <c r="AB81" s="1397"/>
      <c r="AC81" s="1397"/>
      <c r="AD81" s="1397"/>
      <c r="AE81" s="1397"/>
      <c r="AF81" s="1397"/>
      <c r="AG81" s="1397"/>
      <c r="AH81" s="1397"/>
      <c r="AI81" s="1397"/>
      <c r="AJ81" s="1397"/>
    </row>
    <row r="82" spans="1:36" s="1392" customFormat="1" ht="15.75">
      <c r="A82" s="1660" t="s">
        <v>2086</v>
      </c>
      <c r="B82" s="1661"/>
      <c r="C82" s="198"/>
      <c r="D82" s="1662">
        <f>+ROUND(+D43-SUM('TRIAL-BALANCE'!O25-'TRIAL-BALANCE'!P25),2)</f>
        <v>0</v>
      </c>
      <c r="E82" s="1663">
        <f>+ROUND(+E43-SUM(+'TRIAL-BALANCE'!S25-'TRIAL-BALANCE'!T25),2)</f>
        <v>0</v>
      </c>
      <c r="F82" s="253"/>
      <c r="G82" s="1662">
        <f>+ROUND(+G43-SUM('TRIAL-BALANCE'!V25-'TRIAL-BALANCE'!W25),2)</f>
        <v>0</v>
      </c>
      <c r="H82" s="1663">
        <f>+ROUND(+H43-SUM(+'TRIAL-BALANCE'!Z25-'TRIAL-BALANCE'!AA25),2)</f>
        <v>0</v>
      </c>
      <c r="I82" s="253"/>
      <c r="J82" s="1662">
        <f>+ROUND(+J43-SUM('TRIAL-BALANCE'!AC25-'TRIAL-BALANCE'!AD25),2)</f>
        <v>0</v>
      </c>
      <c r="K82" s="1663">
        <f>+ROUND(+K43-SUM(+'TRIAL-BALANCE'!AG25-'TRIAL-BALANCE'!AH25),2)</f>
        <v>0</v>
      </c>
      <c r="L82" s="253"/>
      <c r="M82" s="1662">
        <f>+ROUND(+D82+G82+J82,2)</f>
        <v>0</v>
      </c>
      <c r="N82" s="1663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97"/>
      <c r="AB82" s="1397"/>
      <c r="AC82" s="1397"/>
      <c r="AD82" s="1397"/>
      <c r="AE82" s="1397"/>
      <c r="AF82" s="1397"/>
      <c r="AG82" s="1397"/>
      <c r="AH82" s="1397"/>
      <c r="AI82" s="1397"/>
      <c r="AJ82" s="1397"/>
    </row>
    <row r="83" spans="1:36" s="1392" customFormat="1" ht="7.5" customHeight="1">
      <c r="A83" s="43"/>
      <c r="B83" s="43"/>
      <c r="C83" s="43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97"/>
      <c r="AB83" s="1397"/>
      <c r="AC83" s="1397"/>
      <c r="AD83" s="1397"/>
      <c r="AE83" s="1397"/>
      <c r="AF83" s="1397"/>
      <c r="AG83" s="1397"/>
      <c r="AH83" s="1397"/>
      <c r="AI83" s="1397"/>
      <c r="AJ83" s="1397"/>
    </row>
    <row r="84" spans="1:36" s="1392" customFormat="1" ht="15.75">
      <c r="A84" s="1660" t="s">
        <v>2087</v>
      </c>
      <c r="B84" s="1661"/>
      <c r="C84" s="198"/>
      <c r="D84" s="1662">
        <f>+ROUND(+D47-'TRIAL-BALANCE'!O21,2)</f>
        <v>0</v>
      </c>
      <c r="E84" s="1663">
        <f>+ROUND(+E47-'TRIAL-BALANCE'!S21,2)</f>
        <v>0</v>
      </c>
      <c r="F84" s="253"/>
      <c r="G84" s="1662">
        <f>+ROUND(+G47-'TRIAL-BALANCE'!V21,2)</f>
        <v>0</v>
      </c>
      <c r="H84" s="1663">
        <f>+ROUND(+H47-'TRIAL-BALANCE'!Z21,2)</f>
        <v>0</v>
      </c>
      <c r="I84" s="253"/>
      <c r="J84" s="1662">
        <f>+ROUND(+J47-'TRIAL-BALANCE'!AC21,2)</f>
        <v>0</v>
      </c>
      <c r="K84" s="1663">
        <f>+ROUND(+K47-'TRIAL-BALANCE'!AG21,2)</f>
        <v>0</v>
      </c>
      <c r="L84" s="253"/>
      <c r="M84" s="1662">
        <f>+ROUND(+D84+G84+J84,2)</f>
        <v>0</v>
      </c>
      <c r="N84" s="1663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97"/>
      <c r="AB84" s="1397"/>
      <c r="AC84" s="1397"/>
      <c r="AD84" s="1397"/>
      <c r="AE84" s="1397"/>
      <c r="AF84" s="1397"/>
      <c r="AG84" s="1397"/>
      <c r="AH84" s="1397"/>
      <c r="AI84" s="1397"/>
      <c r="AJ84" s="1397"/>
    </row>
    <row r="85" spans="1:36" s="1392" customFormat="1" ht="7.5" customHeight="1">
      <c r="A85" s="43"/>
      <c r="B85" s="43"/>
      <c r="C85" s="43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97"/>
      <c r="AB85" s="1397"/>
      <c r="AC85" s="1397"/>
      <c r="AD85" s="1397"/>
      <c r="AE85" s="1397"/>
      <c r="AF85" s="1397"/>
      <c r="AG85" s="1397"/>
      <c r="AH85" s="1397"/>
      <c r="AI85" s="1397"/>
      <c r="AJ85" s="1397"/>
    </row>
    <row r="86" spans="1:36" s="1392" customFormat="1" ht="15.75">
      <c r="A86" s="1660" t="s">
        <v>901</v>
      </c>
      <c r="B86" s="1661"/>
      <c r="C86" s="198"/>
      <c r="D86" s="1662">
        <f>+ROUND(+D51-'TRIAL-BALANCE'!O54-'TRIAL-BALANCE'!O55,2)</f>
        <v>0</v>
      </c>
      <c r="E86" s="1663">
        <f>+ROUND(+E51-'TRIAL-BALANCE'!S54-'TRIAL-BALANCE'!S55,2)</f>
        <v>0</v>
      </c>
      <c r="F86" s="253"/>
      <c r="G86" s="1662">
        <f>+ROUND(+G51-'TRIAL-BALANCE'!V54-'TRIAL-BALANCE'!V55,2)</f>
        <v>0</v>
      </c>
      <c r="H86" s="1663">
        <f>+ROUND(+H51-'TRIAL-BALANCE'!Z54-'TRIAL-BALANCE'!Z55,2)</f>
        <v>0</v>
      </c>
      <c r="I86" s="253"/>
      <c r="J86" s="1662">
        <f>+ROUND(+J51-'TRIAL-BALANCE'!AC54-'TRIAL-BALANCE'!AC55,2)</f>
        <v>0</v>
      </c>
      <c r="K86" s="1663">
        <f>+ROUND(+K51-'TRIAL-BALANCE'!AG54-'TRIAL-BALANCE'!AG55,2)</f>
        <v>0</v>
      </c>
      <c r="L86" s="253"/>
      <c r="M86" s="1662">
        <f>+ROUND(+D86+G86+J86,2)</f>
        <v>0</v>
      </c>
      <c r="N86" s="1663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97"/>
      <c r="AB86" s="1397"/>
      <c r="AC86" s="1397"/>
      <c r="AD86" s="1397"/>
      <c r="AE86" s="1397"/>
      <c r="AF86" s="1397"/>
      <c r="AG86" s="1397"/>
      <c r="AH86" s="1397"/>
      <c r="AI86" s="1397"/>
      <c r="AJ86" s="1397"/>
    </row>
    <row r="87" spans="1:36" s="1392" customFormat="1" ht="7.5" customHeight="1">
      <c r="A87" s="43"/>
      <c r="B87" s="43"/>
      <c r="C87" s="43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97"/>
      <c r="AB87" s="1397"/>
      <c r="AC87" s="1397"/>
      <c r="AD87" s="1397"/>
      <c r="AE87" s="1397"/>
      <c r="AF87" s="1397"/>
      <c r="AG87" s="1397"/>
      <c r="AH87" s="1397"/>
      <c r="AI87" s="1397"/>
      <c r="AJ87" s="1397"/>
    </row>
    <row r="88" spans="1:36" s="1392" customFormat="1" ht="15.75">
      <c r="A88" s="1660" t="s">
        <v>266</v>
      </c>
      <c r="B88" s="1661"/>
      <c r="C88" s="198"/>
      <c r="D88" s="1662">
        <f>+ROUND(+D56-('TRIAL-BALANCE'!O60+'TRIAL-BALANCE'!O61-'TRIAL-BALANCE'!P60-'TRIAL-BALANCE'!P61),2)</f>
        <v>0</v>
      </c>
      <c r="E88" s="1663">
        <f>+ROUND(+E56-('TRIAL-BALANCE'!S60+'TRIAL-BALANCE'!S61-'TRIAL-BALANCE'!T60-'TRIAL-BALANCE'!T61),2)</f>
        <v>0</v>
      </c>
      <c r="F88" s="253"/>
      <c r="G88" s="1662">
        <f>+ROUND(+G56-('TRIAL-BALANCE'!V60+'TRIAL-BALANCE'!V61-'TRIAL-BALANCE'!W60-'TRIAL-BALANCE'!W61),2)</f>
        <v>0</v>
      </c>
      <c r="H88" s="1663">
        <f>+ROUND(+H56-('TRIAL-BALANCE'!Z60+'TRIAL-BALANCE'!Z61-'TRIAL-BALANCE'!AA60-'TRIAL-BALANCE'!AA61),2)</f>
        <v>0</v>
      </c>
      <c r="I88" s="253"/>
      <c r="J88" s="1662">
        <f>+ROUND(+J56-('TRIAL-BALANCE'!AC60+'TRIAL-BALANCE'!AC61-'TRIAL-BALANCE'!AD60-'TRIAL-BALANCE'!AD61),2)</f>
        <v>0</v>
      </c>
      <c r="K88" s="1663">
        <f>+ROUND(+K56-('TRIAL-BALANCE'!AG60+'TRIAL-BALANCE'!AG61-'TRIAL-BALANCE'!AH60-'TRIAL-BALANCE'!AH61),2)</f>
        <v>0</v>
      </c>
      <c r="L88" s="253"/>
      <c r="M88" s="1662">
        <f>+ROUND(+D88+G88+J88,2)</f>
        <v>0</v>
      </c>
      <c r="N88" s="1663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97"/>
      <c r="AB88" s="1397"/>
      <c r="AC88" s="1397"/>
      <c r="AD88" s="1397"/>
      <c r="AE88" s="1397"/>
      <c r="AF88" s="1397"/>
      <c r="AG88" s="1397"/>
      <c r="AH88" s="1397"/>
      <c r="AI88" s="1397"/>
      <c r="AJ88" s="1397"/>
    </row>
    <row r="89" spans="1:36" s="1392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97"/>
      <c r="AB89" s="1397"/>
      <c r="AC89" s="1397"/>
      <c r="AD89" s="1397"/>
      <c r="AE89" s="1397"/>
      <c r="AF89" s="1397"/>
      <c r="AG89" s="1397"/>
      <c r="AH89" s="1397"/>
      <c r="AI89" s="1397"/>
      <c r="AJ89" s="1397"/>
    </row>
    <row r="90" spans="1:36" s="1392" customFormat="1" ht="15.75">
      <c r="A90" s="1660" t="s">
        <v>1859</v>
      </c>
      <c r="B90" s="1661"/>
      <c r="C90" s="198"/>
      <c r="D90" s="1662">
        <f>+ROUND(+D67,2)-ROUND(+'TRIAL-BALANCE'!P274-'TRIAL-BALANCE'!O274,2)</f>
        <v>0</v>
      </c>
      <c r="E90" s="1663">
        <f>+ROUND(+E67,2)-ROUND(+'TRIAL-BALANCE'!T274-'TRIAL-BALANCE'!S274,2)</f>
        <v>0</v>
      </c>
      <c r="F90" s="253"/>
      <c r="G90" s="1662">
        <f>+ROUND(+G67,2)-ROUND(+'TRIAL-BALANCE'!W274-'TRIAL-BALANCE'!V274,2)</f>
        <v>0</v>
      </c>
      <c r="H90" s="1663">
        <f>+ROUND(+H67,2)-ROUND(+'TRIAL-BALANCE'!AA274-'TRIAL-BALANCE'!Z274,2)</f>
        <v>0</v>
      </c>
      <c r="I90" s="253"/>
      <c r="J90" s="1662">
        <f>+ROUND(+J67,2)-ROUND(+'TRIAL-BALANCE'!AD274-'TRIAL-BALANCE'!AC274,2)</f>
        <v>0</v>
      </c>
      <c r="K90" s="1663">
        <f>+ROUND(+K67,2)-ROUND(+'TRIAL-BALANCE'!AH274-'TRIAL-BALANCE'!AG274,2)</f>
        <v>0</v>
      </c>
      <c r="L90" s="253"/>
      <c r="M90" s="1662">
        <f>+ROUND(+D90+G90+J90,2)</f>
        <v>0</v>
      </c>
      <c r="N90" s="1663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97"/>
      <c r="AB90" s="1397"/>
      <c r="AC90" s="1397"/>
      <c r="AD90" s="1397"/>
      <c r="AE90" s="1397"/>
      <c r="AF90" s="1397"/>
      <c r="AG90" s="1397"/>
      <c r="AH90" s="1397"/>
      <c r="AI90" s="1397"/>
      <c r="AJ90" s="1397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 objects="1" scenarios="1"/>
  <mergeCells count="13">
    <mergeCell ref="M73:N73"/>
    <mergeCell ref="H73:J73"/>
    <mergeCell ref="B7:B9"/>
    <mergeCell ref="B35:B37"/>
    <mergeCell ref="A2:D2"/>
    <mergeCell ref="K3:N3"/>
    <mergeCell ref="M35:N36"/>
    <mergeCell ref="M7:N8"/>
    <mergeCell ref="G1:H1"/>
    <mergeCell ref="A1:D1"/>
    <mergeCell ref="A3:D3"/>
    <mergeCell ref="A8:A9"/>
    <mergeCell ref="G3:H3"/>
  </mergeCells>
  <phoneticPr fontId="0" type="noConversion"/>
  <conditionalFormatting sqref="D72 A1:D1 A3:D3 G1:H1 G3:H3 H5 M5 N1 K1">
    <cfRule type="cellIs" dxfId="2403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2" priority="6" stopIfTrue="1" operator="equal">
      <formula>"НЕРАВНЕНИЕ !"</formula>
    </cfRule>
  </conditionalFormatting>
  <conditionalFormatting sqref="E5">
    <cfRule type="cellIs" dxfId="2401" priority="7" stopIfTrue="1" operator="equal">
      <formula>0</formula>
    </cfRule>
  </conditionalFormatting>
  <conditionalFormatting sqref="K3">
    <cfRule type="cellIs" dxfId="2400" priority="4" stopIfTrue="1" operator="equal">
      <formula>0</formula>
    </cfRule>
  </conditionalFormatting>
  <conditionalFormatting sqref="D57:E57 G57:H57 J57:K57 M57:N57">
    <cfRule type="cellIs" dxfId="2399" priority="3" stopIfTrue="1" operator="equal">
      <formula>"НЕРАВНЕНИЕ !"</formula>
    </cfRule>
  </conditionalFormatting>
  <dataValidations disablePrompts="1"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Z673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28515625" style="1396" customWidth="1"/>
    <col min="15" max="16" width="34" style="1393" customWidth="1"/>
    <col min="17" max="17" width="1.85546875" style="1392" customWidth="1"/>
    <col min="18" max="19" width="32.42578125" style="1393" customWidth="1"/>
    <col min="20" max="21" width="9" style="1393" customWidth="1"/>
    <col min="22" max="23" width="9" style="1392" customWidth="1"/>
    <col min="24" max="25" width="9" style="1393" customWidth="1"/>
    <col min="26" max="27" width="9" style="1392" customWidth="1"/>
    <col min="28" max="16384" width="9.140625" style="1392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50" t="s">
        <v>257</v>
      </c>
      <c r="B2" s="202"/>
      <c r="C2" s="203"/>
      <c r="D2" s="202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204"/>
      <c r="O2" s="1207" t="str">
        <f>+IF(+COUNTIF(O64:O81,"O K")=15,"O K","ГРЕШКА - превишава нач. ДТ с/до")</f>
        <v>O K</v>
      </c>
      <c r="P2" s="1208" t="str">
        <f>+IF(+COUNTIF(P64:P81,"O K")=15,"O K","ГРЕШКА - превишава нач. КТ с/до")</f>
        <v>O K</v>
      </c>
      <c r="Q2" s="43"/>
      <c r="R2" s="1207" t="str">
        <f>+IF(+COUNTIF(R64:R81,"O K")=15,"O K","ГРЕШКА - превишава кр. ДТ с/до")</f>
        <v>O K</v>
      </c>
      <c r="S2" s="1208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204"/>
      <c r="O4" s="1422" t="str">
        <f>+IF(ROUND(P34,2)=0,"O K","НЕРАВНЕНИЕ м/у Дт и Кт!")</f>
        <v>O K</v>
      </c>
      <c r="P4" s="1425" t="str">
        <f>+IF(ROUND(P34,2)=0,"O K",P34)</f>
        <v>O K</v>
      </c>
      <c r="Q4" s="43"/>
      <c r="R4" s="1422" t="str">
        <f>+IF(ROUND(S34,2)=0,"O K","НЕРАВНЕНИЕ м/у Дт и Кт!")</f>
        <v>O K</v>
      </c>
      <c r="S4" s="1425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204"/>
      <c r="O5" s="204"/>
      <c r="P5" s="204"/>
      <c r="Q5" s="43"/>
      <c r="R5" s="204"/>
      <c r="S5" s="204"/>
      <c r="T5" s="43"/>
      <c r="U5" s="43"/>
      <c r="V5" s="43"/>
      <c r="W5" s="43"/>
      <c r="X5" s="43"/>
      <c r="Y5" s="43"/>
      <c r="Z5" s="43"/>
    </row>
    <row r="6" spans="1:26" ht="18" customHeight="1">
      <c r="A6" s="452" t="s">
        <v>792</v>
      </c>
      <c r="B6" s="202"/>
      <c r="C6" s="2462">
        <f>+'TRIAL-BALANCE'!C6:E6</f>
        <v>0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204"/>
      <c r="O6" s="1426" t="str">
        <f>+IF(+AND(Status!K4="ДА",+ROUND(P51,2)-ROUND(P53,2)&lt;&gt;0),"сумите за елиминиране не са равни!","O K")</f>
        <v>O K</v>
      </c>
      <c r="P6" s="1427" t="str">
        <f>+IF(+AND(Status!K4="ДА",+ROUND(P55,2)-ROUND(P57,2)&lt;&gt;0),"сумите за елиминиране не са равни!","O K")</f>
        <v>O K</v>
      </c>
      <c r="Q6" s="43"/>
      <c r="R6" s="1426" t="str">
        <f>+IF(+AND(Status!K4="ДА",+ROUND(S51,2)-ROUND(S53,2)&lt;&gt;0),"сумите за елиминиране не са равни!","O K")</f>
        <v>O K</v>
      </c>
      <c r="S6" s="1427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52" t="s">
        <v>258</v>
      </c>
      <c r="B8" s="206"/>
      <c r="C8" s="1056">
        <f>+'TRIAL-BALANCE'!C8</f>
        <v>0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0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179" t="s">
        <v>1186</v>
      </c>
      <c r="P8" s="1113"/>
      <c r="Q8" s="43"/>
      <c r="R8" s="1179" t="s">
        <v>1187</v>
      </c>
      <c r="S8" s="1113"/>
      <c r="T8" s="43"/>
      <c r="U8" s="43"/>
      <c r="V8" s="43"/>
      <c r="W8" s="43"/>
      <c r="X8" s="43"/>
      <c r="Y8" s="43"/>
      <c r="Z8" s="43"/>
    </row>
    <row r="9" spans="1:26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0</v>
      </c>
      <c r="L10" s="2519"/>
      <c r="M10" s="48"/>
      <c r="N10" s="1564">
        <f>+$C8</f>
        <v>0</v>
      </c>
      <c r="O10" s="950" t="s">
        <v>1290</v>
      </c>
      <c r="P10" s="146"/>
      <c r="Q10" s="43"/>
      <c r="R10" s="950" t="s">
        <v>1188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69"/>
      <c r="O11" s="371"/>
      <c r="P11" s="136"/>
      <c r="Q11" s="43"/>
      <c r="R11" s="371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31" t="s">
        <v>1182</v>
      </c>
      <c r="B12" s="1069"/>
      <c r="C12" s="1433"/>
      <c r="D12" s="1071"/>
      <c r="E12" s="1434"/>
      <c r="F12" s="1434"/>
      <c r="G12" s="1435" t="s">
        <v>1003</v>
      </c>
      <c r="H12" s="2520" t="str">
        <f>+'TRIAL-BALANCE'!H12:K12</f>
        <v>30 септември 2021 г.</v>
      </c>
      <c r="I12" s="2520"/>
      <c r="J12" s="2520"/>
      <c r="K12" s="2520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82" t="s">
        <v>1181</v>
      </c>
      <c r="B13" s="1583"/>
      <c r="C13" s="1584"/>
      <c r="D13" s="1584"/>
      <c r="E13" s="1584"/>
      <c r="F13" s="1584"/>
      <c r="G13" s="1584"/>
      <c r="H13" s="1584"/>
      <c r="I13" s="1584"/>
      <c r="J13" s="1584"/>
      <c r="K13" s="1584"/>
      <c r="L13" s="1585"/>
      <c r="M13" s="49"/>
      <c r="N13" s="1771"/>
      <c r="O13" s="1772" t="s">
        <v>1452</v>
      </c>
      <c r="P13" s="1770"/>
      <c r="Q13" s="1770"/>
      <c r="R13" s="1770"/>
      <c r="S13" s="1773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76" t="s">
        <v>226</v>
      </c>
      <c r="C14" s="85"/>
      <c r="D14" s="1291"/>
      <c r="E14" s="1291"/>
      <c r="F14" s="1291"/>
      <c r="G14" s="1291"/>
      <c r="H14" s="1291"/>
      <c r="I14" s="1291"/>
      <c r="J14" s="1291"/>
      <c r="K14" s="1291"/>
      <c r="L14" s="1292"/>
      <c r="M14" s="51" t="s">
        <v>265</v>
      </c>
      <c r="N14" s="113">
        <f>+A14</f>
        <v>4501</v>
      </c>
      <c r="O14" s="593"/>
      <c r="P14" s="1419"/>
      <c r="Q14" s="43"/>
      <c r="R14" s="593"/>
      <c r="S14" s="1419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33" t="s">
        <v>227</v>
      </c>
      <c r="C15" s="88"/>
      <c r="D15" s="1195"/>
      <c r="E15" s="1195"/>
      <c r="F15" s="1195"/>
      <c r="G15" s="1195"/>
      <c r="H15" s="1195"/>
      <c r="I15" s="1195"/>
      <c r="J15" s="1195"/>
      <c r="K15" s="1195"/>
      <c r="L15" s="590"/>
      <c r="M15" s="51" t="s">
        <v>265</v>
      </c>
      <c r="N15" s="113">
        <f>+A15</f>
        <v>4502</v>
      </c>
      <c r="O15" s="593"/>
      <c r="P15" s="1419"/>
      <c r="Q15" s="43"/>
      <c r="R15" s="593"/>
      <c r="S15" s="1419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33" t="s">
        <v>228</v>
      </c>
      <c r="C16" s="88"/>
      <c r="D16" s="1195"/>
      <c r="E16" s="1195"/>
      <c r="F16" s="1195"/>
      <c r="G16" s="1195"/>
      <c r="H16" s="1195"/>
      <c r="I16" s="1195"/>
      <c r="J16" s="1195"/>
      <c r="K16" s="1195"/>
      <c r="L16" s="590"/>
      <c r="M16" s="51" t="s">
        <v>265</v>
      </c>
      <c r="N16" s="113">
        <f>+A16</f>
        <v>4503</v>
      </c>
      <c r="O16" s="593"/>
      <c r="P16" s="1419"/>
      <c r="Q16" s="43"/>
      <c r="R16" s="593"/>
      <c r="S16" s="1419"/>
      <c r="T16" s="38"/>
      <c r="U16" s="38"/>
      <c r="V16" s="43"/>
      <c r="W16" s="43"/>
      <c r="X16" s="38"/>
      <c r="Y16" s="38"/>
      <c r="Z16" s="43"/>
    </row>
    <row r="17" spans="1:26" ht="15.75" customHeight="1">
      <c r="A17" s="1185" t="s">
        <v>1184</v>
      </c>
      <c r="B17" s="1187" t="s">
        <v>1185</v>
      </c>
      <c r="C17" s="1196"/>
      <c r="D17" s="1196"/>
      <c r="E17" s="1196"/>
      <c r="F17" s="1196"/>
      <c r="G17" s="1196"/>
      <c r="H17" s="1196"/>
      <c r="I17" s="1196"/>
      <c r="J17" s="1196"/>
      <c r="K17" s="1196"/>
      <c r="L17" s="1186"/>
      <c r="M17" s="51" t="s">
        <v>265</v>
      </c>
      <c r="N17" s="611" t="str">
        <f t="shared" ref="N17:N31" si="0">+A17</f>
        <v>46XX</v>
      </c>
      <c r="O17" s="1188"/>
      <c r="P17" s="1420"/>
      <c r="Q17" s="43"/>
      <c r="R17" s="1188"/>
      <c r="S17" s="1420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78" t="s">
        <v>884</v>
      </c>
      <c r="C18" s="88"/>
      <c r="D18" s="1197"/>
      <c r="E18" s="1197"/>
      <c r="F18" s="1197"/>
      <c r="G18" s="1197"/>
      <c r="H18" s="1197"/>
      <c r="I18" s="1197"/>
      <c r="J18" s="1197"/>
      <c r="K18" s="1197"/>
      <c r="L18" s="590"/>
      <c r="M18" s="51" t="s">
        <v>265</v>
      </c>
      <c r="N18" s="113">
        <f>+A18</f>
        <v>4659</v>
      </c>
      <c r="O18" s="593"/>
      <c r="P18" s="1419"/>
      <c r="Q18" s="43"/>
      <c r="R18" s="593"/>
      <c r="S18" s="1419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34" t="s">
        <v>886</v>
      </c>
      <c r="C19" s="88"/>
      <c r="D19" s="1197"/>
      <c r="E19" s="1197"/>
      <c r="F19" s="1197"/>
      <c r="G19" s="1197"/>
      <c r="H19" s="1197"/>
      <c r="I19" s="1197"/>
      <c r="J19" s="1197"/>
      <c r="K19" s="1197"/>
      <c r="L19" s="590"/>
      <c r="M19" s="51" t="s">
        <v>265</v>
      </c>
      <c r="N19" s="113">
        <f t="shared" si="0"/>
        <v>4672</v>
      </c>
      <c r="O19" s="593"/>
      <c r="P19" s="1419"/>
      <c r="Q19" s="43"/>
      <c r="R19" s="593"/>
      <c r="S19" s="1419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34" t="s">
        <v>887</v>
      </c>
      <c r="C20" s="88"/>
      <c r="D20" s="1033"/>
      <c r="E20" s="1033"/>
      <c r="F20" s="1033"/>
      <c r="G20" s="1033"/>
      <c r="H20" s="1033"/>
      <c r="I20" s="1033"/>
      <c r="J20" s="1033"/>
      <c r="K20" s="1033"/>
      <c r="L20" s="574"/>
      <c r="M20" s="51" t="s">
        <v>265</v>
      </c>
      <c r="N20" s="113">
        <f t="shared" si="0"/>
        <v>4674</v>
      </c>
      <c r="O20" s="593"/>
      <c r="P20" s="1419"/>
      <c r="Q20" s="43"/>
      <c r="R20" s="593"/>
      <c r="S20" s="1419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78" t="s">
        <v>888</v>
      </c>
      <c r="C21" s="88"/>
      <c r="D21" s="1197"/>
      <c r="E21" s="1197"/>
      <c r="F21" s="1197"/>
      <c r="G21" s="1197"/>
      <c r="H21" s="1197"/>
      <c r="I21" s="1033"/>
      <c r="J21" s="1033"/>
      <c r="K21" s="1033"/>
      <c r="L21" s="574"/>
      <c r="M21" s="51"/>
      <c r="N21" s="113">
        <f t="shared" si="0"/>
        <v>4675</v>
      </c>
      <c r="O21" s="593"/>
      <c r="P21" s="1419"/>
      <c r="Q21" s="43"/>
      <c r="R21" s="593"/>
      <c r="S21" s="1419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34" t="s">
        <v>889</v>
      </c>
      <c r="C22" s="88"/>
      <c r="D22" s="1033"/>
      <c r="E22" s="1033"/>
      <c r="F22" s="1033"/>
      <c r="G22" s="1033"/>
      <c r="H22" s="1033"/>
      <c r="I22" s="1033"/>
      <c r="J22" s="1033"/>
      <c r="K22" s="1033"/>
      <c r="L22" s="574"/>
      <c r="M22" s="51" t="s">
        <v>265</v>
      </c>
      <c r="N22" s="113">
        <f t="shared" si="0"/>
        <v>4679</v>
      </c>
      <c r="O22" s="593"/>
      <c r="P22" s="1419"/>
      <c r="Q22" s="43"/>
      <c r="R22" s="593"/>
      <c r="S22" s="1419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34" t="s">
        <v>890</v>
      </c>
      <c r="C23" s="88"/>
      <c r="D23" s="1033"/>
      <c r="E23" s="1033"/>
      <c r="F23" s="1033"/>
      <c r="G23" s="1033"/>
      <c r="H23" s="1033"/>
      <c r="I23" s="1033"/>
      <c r="J23" s="1033"/>
      <c r="K23" s="1033"/>
      <c r="L23" s="574"/>
      <c r="M23" s="51" t="s">
        <v>265</v>
      </c>
      <c r="N23" s="113">
        <f t="shared" si="0"/>
        <v>4682</v>
      </c>
      <c r="O23" s="593"/>
      <c r="P23" s="1419"/>
      <c r="Q23" s="43"/>
      <c r="R23" s="593"/>
      <c r="S23" s="1419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34" t="s">
        <v>891</v>
      </c>
      <c r="C24" s="88"/>
      <c r="D24" s="1033"/>
      <c r="E24" s="1033"/>
      <c r="F24" s="1033"/>
      <c r="G24" s="1033"/>
      <c r="H24" s="1033"/>
      <c r="I24" s="1033"/>
      <c r="J24" s="1033"/>
      <c r="K24" s="1033"/>
      <c r="L24" s="574"/>
      <c r="M24" s="51" t="s">
        <v>265</v>
      </c>
      <c r="N24" s="113">
        <f t="shared" si="0"/>
        <v>4684</v>
      </c>
      <c r="O24" s="593"/>
      <c r="P24" s="1419"/>
      <c r="Q24" s="43"/>
      <c r="R24" s="593"/>
      <c r="S24" s="1419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34" t="s">
        <v>892</v>
      </c>
      <c r="C25" s="88"/>
      <c r="D25" s="1197"/>
      <c r="E25" s="1197"/>
      <c r="F25" s="1197"/>
      <c r="G25" s="1197"/>
      <c r="H25" s="1197"/>
      <c r="I25" s="1197"/>
      <c r="J25" s="1197"/>
      <c r="K25" s="1197"/>
      <c r="L25" s="590"/>
      <c r="M25" s="51" t="s">
        <v>265</v>
      </c>
      <c r="N25" s="113">
        <f t="shared" si="0"/>
        <v>4685</v>
      </c>
      <c r="O25" s="593"/>
      <c r="P25" s="1419"/>
      <c r="Q25" s="43"/>
      <c r="R25" s="593"/>
      <c r="S25" s="1419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34" t="s">
        <v>893</v>
      </c>
      <c r="C26" s="88"/>
      <c r="D26" s="1033"/>
      <c r="E26" s="1033"/>
      <c r="F26" s="1033"/>
      <c r="G26" s="1033"/>
      <c r="H26" s="1033"/>
      <c r="I26" s="1033"/>
      <c r="J26" s="1033"/>
      <c r="K26" s="1033"/>
      <c r="L26" s="574"/>
      <c r="M26" s="51" t="s">
        <v>265</v>
      </c>
      <c r="N26" s="113">
        <f t="shared" si="0"/>
        <v>4691</v>
      </c>
      <c r="O26" s="593"/>
      <c r="P26" s="1205">
        <v>0</v>
      </c>
      <c r="Q26" s="43"/>
      <c r="R26" s="593"/>
      <c r="S26" s="1205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34" t="s">
        <v>894</v>
      </c>
      <c r="C27" s="88"/>
      <c r="D27" s="1033"/>
      <c r="E27" s="1033"/>
      <c r="F27" s="1033"/>
      <c r="G27" s="1033"/>
      <c r="H27" s="1033"/>
      <c r="I27" s="1033"/>
      <c r="J27" s="1033"/>
      <c r="K27" s="1033"/>
      <c r="L27" s="574"/>
      <c r="M27" s="51" t="s">
        <v>265</v>
      </c>
      <c r="N27" s="113">
        <f t="shared" si="0"/>
        <v>4692</v>
      </c>
      <c r="O27" s="1204">
        <v>0</v>
      </c>
      <c r="P27" s="1419"/>
      <c r="Q27" s="43"/>
      <c r="R27" s="1204">
        <v>0</v>
      </c>
      <c r="S27" s="1419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34" t="s">
        <v>895</v>
      </c>
      <c r="C28" s="88"/>
      <c r="D28" s="1033"/>
      <c r="E28" s="1033"/>
      <c r="F28" s="1033"/>
      <c r="G28" s="1033"/>
      <c r="H28" s="1033"/>
      <c r="I28" s="1033"/>
      <c r="J28" s="1033"/>
      <c r="K28" s="1033"/>
      <c r="L28" s="574"/>
      <c r="M28" s="51" t="s">
        <v>265</v>
      </c>
      <c r="N28" s="113">
        <f t="shared" si="0"/>
        <v>4693</v>
      </c>
      <c r="O28" s="581"/>
      <c r="P28" s="1205">
        <v>0</v>
      </c>
      <c r="Q28" s="43"/>
      <c r="R28" s="593"/>
      <c r="S28" s="1205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34" t="s">
        <v>268</v>
      </c>
      <c r="C29" s="88"/>
      <c r="D29" s="1033"/>
      <c r="E29" s="1033"/>
      <c r="F29" s="1033"/>
      <c r="G29" s="1033"/>
      <c r="H29" s="1033"/>
      <c r="I29" s="1033"/>
      <c r="J29" s="1033"/>
      <c r="K29" s="1033"/>
      <c r="L29" s="574"/>
      <c r="M29" s="51" t="s">
        <v>265</v>
      </c>
      <c r="N29" s="113">
        <f t="shared" si="0"/>
        <v>4694</v>
      </c>
      <c r="O29" s="1204">
        <v>0</v>
      </c>
      <c r="P29" s="1419"/>
      <c r="Q29" s="43"/>
      <c r="R29" s="1204">
        <v>0</v>
      </c>
      <c r="S29" s="1419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34" t="s">
        <v>269</v>
      </c>
      <c r="C30" s="88"/>
      <c r="D30" s="1033"/>
      <c r="E30" s="1033"/>
      <c r="F30" s="1033"/>
      <c r="G30" s="1033"/>
      <c r="H30" s="1033"/>
      <c r="I30" s="1033"/>
      <c r="J30" s="1033"/>
      <c r="K30" s="1033"/>
      <c r="L30" s="574"/>
      <c r="M30" s="51" t="s">
        <v>265</v>
      </c>
      <c r="N30" s="113">
        <f t="shared" si="0"/>
        <v>4695</v>
      </c>
      <c r="O30" s="581"/>
      <c r="P30" s="1205">
        <v>0</v>
      </c>
      <c r="Q30" s="43"/>
      <c r="R30" s="593"/>
      <c r="S30" s="1205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34" t="s">
        <v>270</v>
      </c>
      <c r="C31" s="88"/>
      <c r="D31" s="1033"/>
      <c r="E31" s="1033"/>
      <c r="F31" s="1033"/>
      <c r="G31" s="1033"/>
      <c r="H31" s="1033"/>
      <c r="I31" s="1033"/>
      <c r="J31" s="1033"/>
      <c r="K31" s="1033"/>
      <c r="L31" s="574"/>
      <c r="M31" s="51" t="s">
        <v>265</v>
      </c>
      <c r="N31" s="116">
        <f t="shared" si="0"/>
        <v>4696</v>
      </c>
      <c r="O31" s="1204">
        <v>0</v>
      </c>
      <c r="P31" s="1419"/>
      <c r="Q31" s="43"/>
      <c r="R31" s="1204">
        <v>0</v>
      </c>
      <c r="S31" s="1419"/>
      <c r="T31" s="38"/>
      <c r="U31" s="38"/>
      <c r="V31" s="43"/>
      <c r="W31" s="43"/>
      <c r="X31" s="43"/>
      <c r="Y31" s="43"/>
      <c r="Z31" s="43"/>
    </row>
    <row r="32" spans="1:26" ht="16.5" thickBot="1">
      <c r="A32" s="1307" t="s">
        <v>1183</v>
      </c>
      <c r="B32" s="1308"/>
      <c r="C32" s="1309"/>
      <c r="D32" s="1309"/>
      <c r="E32" s="1309"/>
      <c r="F32" s="1309"/>
      <c r="G32" s="1309"/>
      <c r="H32" s="1309"/>
      <c r="I32" s="1309"/>
      <c r="J32" s="1309"/>
      <c r="K32" s="1309"/>
      <c r="L32" s="1310"/>
      <c r="M32" s="51" t="s">
        <v>265</v>
      </c>
      <c r="N32" s="1437" t="s">
        <v>665</v>
      </c>
      <c r="O32" s="1192">
        <f>+ROUND(+SUM(O14:O31),2)</f>
        <v>0</v>
      </c>
      <c r="P32" s="1194">
        <f>+ROUND(+SUM(P14:P31),2)</f>
        <v>0</v>
      </c>
      <c r="Q32" s="43"/>
      <c r="R32" s="1192">
        <f>+ROUND(+SUM(R14:R31),2)</f>
        <v>0</v>
      </c>
      <c r="S32" s="1194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97" t="s">
        <v>1279</v>
      </c>
      <c r="E34" s="1698"/>
      <c r="F34" s="1698"/>
      <c r="G34" s="1698"/>
      <c r="H34" s="1699"/>
      <c r="I34" s="1700"/>
      <c r="J34" s="43"/>
      <c r="K34" s="43"/>
      <c r="L34" s="43"/>
      <c r="M34" s="44"/>
      <c r="N34" s="119"/>
      <c r="O34" s="1430">
        <f>+IF(+AND(Status!K4="ДА",+ROUND(P34,2)&lt;&gt;0),"НЕРАВНЕНИЕ м/у Дт и Кт!",0)</f>
        <v>0</v>
      </c>
      <c r="P34" s="1421">
        <f>+IF(+AND(Status!K4="ДА",+ROUND(+O32-P32,2)&lt;&gt;0),+ROUND(+O37+O38+O43+O44-O40-O41-O46-O47,2),0)</f>
        <v>0</v>
      </c>
      <c r="Q34" s="43"/>
      <c r="R34" s="1430">
        <f>+IF(+AND(Status!K4="ДА",+ROUND(S34,2)&lt;&gt;0),"НЕРАВНЕНИЕ м/у Дт и Кт!",0)</f>
        <v>0</v>
      </c>
      <c r="S34" s="1421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701" t="s">
        <v>1304</v>
      </c>
      <c r="E35" s="1702"/>
      <c r="F35" s="1702"/>
      <c r="G35" s="1702"/>
      <c r="H35" s="1702"/>
      <c r="I35" s="1703"/>
      <c r="J35" s="43"/>
      <c r="K35" s="43"/>
      <c r="L35" s="43"/>
      <c r="M35" s="44"/>
      <c r="N35" s="119"/>
      <c r="O35" s="1428">
        <f>+IF(+AND(Status!K4="ДА",+ROUND(+O37+O38+O43+O44-O40-O41-O46-O47,2)&lt;&gt;0),"направи корекции",0)</f>
        <v>0</v>
      </c>
      <c r="P35" s="1429">
        <f>+IF(+AND(Status!K4="ДА",+ROUND(+O37+O38+O43+O44-O40-O41-O46-O47,2)&lt;&gt;0),"за равняване на Дт и Кт салда",0)</f>
        <v>0</v>
      </c>
      <c r="Q35" s="43"/>
      <c r="R35" s="1428">
        <f>+IF(+AND(Status!K4="ДА",+ROUND(+R37+R38+R43+R44-R40-R41-R46-R47,2)&lt;&gt;0),"направи корекции",0)</f>
        <v>0</v>
      </c>
      <c r="S35" s="1429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51" t="s">
        <v>1291</v>
      </c>
      <c r="C37" s="1252"/>
      <c r="D37" s="1252"/>
      <c r="E37" s="1253"/>
      <c r="F37" s="1252"/>
      <c r="G37" s="1253"/>
      <c r="H37" s="1253"/>
      <c r="I37" s="1253"/>
      <c r="J37" s="1253"/>
      <c r="K37" s="1254"/>
      <c r="L37" s="1255"/>
      <c r="M37" s="44"/>
      <c r="N37" s="119"/>
      <c r="O37" s="1382">
        <f>+ROUND(+O17,2)</f>
        <v>0</v>
      </c>
      <c r="P37" s="1726"/>
      <c r="Q37" s="43"/>
      <c r="R37" s="1382">
        <f>+ROUND(+R17,2)</f>
        <v>0</v>
      </c>
      <c r="S37" s="1726"/>
      <c r="T37" s="38"/>
      <c r="U37" s="38"/>
      <c r="V37" s="43"/>
      <c r="W37" s="43"/>
      <c r="X37" s="38"/>
      <c r="Y37" s="38"/>
      <c r="Z37" s="43"/>
    </row>
    <row r="38" spans="1:26" s="1393" customFormat="1" ht="15.75">
      <c r="A38" s="1338"/>
      <c r="B38" s="1728"/>
      <c r="C38" s="1727" t="s">
        <v>1347</v>
      </c>
      <c r="D38" s="1727"/>
      <c r="E38" s="1727"/>
      <c r="F38" s="1727"/>
      <c r="G38" s="1727"/>
      <c r="H38" s="1727"/>
      <c r="I38" s="1727"/>
      <c r="J38" s="1727"/>
      <c r="K38" s="1727"/>
      <c r="L38" s="2148"/>
      <c r="M38" s="44"/>
      <c r="N38" s="1344"/>
      <c r="O38" s="1375"/>
      <c r="P38" s="1726"/>
      <c r="Q38" s="43"/>
      <c r="R38" s="1375"/>
      <c r="S38" s="1726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726"/>
      <c r="Q39" s="43"/>
      <c r="R39" s="38"/>
      <c r="S39" s="1726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56" t="s">
        <v>1215</v>
      </c>
      <c r="C40" s="1252"/>
      <c r="D40" s="1252"/>
      <c r="E40" s="1253"/>
      <c r="F40" s="1252"/>
      <c r="G40" s="1253"/>
      <c r="H40" s="1253"/>
      <c r="I40" s="1253"/>
      <c r="J40" s="1253"/>
      <c r="K40" s="1254"/>
      <c r="L40" s="1255"/>
      <c r="M40" s="44"/>
      <c r="N40" s="119"/>
      <c r="O40" s="1383">
        <f>+ROUND(+P17,2)</f>
        <v>0</v>
      </c>
      <c r="P40" s="1726"/>
      <c r="Q40" s="43"/>
      <c r="R40" s="1383">
        <f>+ROUND(+S17,2)</f>
        <v>0</v>
      </c>
      <c r="S40" s="1726"/>
      <c r="T40" s="38"/>
      <c r="U40" s="38"/>
      <c r="V40" s="43"/>
      <c r="W40" s="43"/>
      <c r="X40" s="38"/>
      <c r="Y40" s="38"/>
      <c r="Z40" s="43"/>
    </row>
    <row r="41" spans="1:26" s="1393" customFormat="1" ht="15.75">
      <c r="A41" s="1338"/>
      <c r="B41" s="1728"/>
      <c r="C41" s="1727" t="s">
        <v>1347</v>
      </c>
      <c r="D41" s="1727"/>
      <c r="E41" s="1727"/>
      <c r="F41" s="1727"/>
      <c r="G41" s="1727"/>
      <c r="H41" s="1727"/>
      <c r="I41" s="1727"/>
      <c r="J41" s="1727"/>
      <c r="K41" s="1727"/>
      <c r="L41" s="2148"/>
      <c r="M41" s="44"/>
      <c r="N41" s="1344"/>
      <c r="O41" s="1375"/>
      <c r="P41" s="1726"/>
      <c r="Q41" s="43"/>
      <c r="R41" s="1375"/>
      <c r="S41" s="1726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726"/>
      <c r="Q42" s="43"/>
      <c r="R42" s="38"/>
      <c r="S42" s="1726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51" t="s">
        <v>1216</v>
      </c>
      <c r="C43" s="1252"/>
      <c r="D43" s="1252"/>
      <c r="E43" s="1253"/>
      <c r="F43" s="1252"/>
      <c r="G43" s="1253"/>
      <c r="H43" s="1253"/>
      <c r="I43" s="1253"/>
      <c r="J43" s="1253"/>
      <c r="K43" s="1254"/>
      <c r="L43" s="1255"/>
      <c r="M43" s="44"/>
      <c r="N43" s="119"/>
      <c r="O43" s="1382">
        <f>+ROUND(+SUM(O14:O16)+SUM(O18:O31),2)</f>
        <v>0</v>
      </c>
      <c r="P43" s="1726"/>
      <c r="Q43" s="43"/>
      <c r="R43" s="1382">
        <f>+ROUND(+SUM(R14:R16)+SUM(R18:R31),2)</f>
        <v>0</v>
      </c>
      <c r="S43" s="1726"/>
      <c r="T43" s="38"/>
      <c r="U43" s="38"/>
      <c r="V43" s="43"/>
      <c r="W43" s="43"/>
      <c r="X43" s="38"/>
      <c r="Y43" s="38"/>
      <c r="Z43" s="43"/>
    </row>
    <row r="44" spans="1:26" s="1393" customFormat="1" ht="15.75">
      <c r="A44" s="1338"/>
      <c r="B44" s="1728"/>
      <c r="C44" s="1727" t="s">
        <v>1347</v>
      </c>
      <c r="D44" s="1727"/>
      <c r="E44" s="1727"/>
      <c r="F44" s="1727"/>
      <c r="G44" s="1727"/>
      <c r="H44" s="1727"/>
      <c r="I44" s="1727"/>
      <c r="J44" s="1727"/>
      <c r="K44" s="1727"/>
      <c r="L44" s="2148"/>
      <c r="M44" s="44"/>
      <c r="N44" s="1344"/>
      <c r="O44" s="1375"/>
      <c r="P44" s="1726"/>
      <c r="Q44" s="43"/>
      <c r="R44" s="1375"/>
      <c r="S44" s="1726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726"/>
      <c r="Q45" s="43"/>
      <c r="R45" s="38"/>
      <c r="S45" s="1726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56" t="s">
        <v>1217</v>
      </c>
      <c r="C46" s="1252"/>
      <c r="D46" s="1252"/>
      <c r="E46" s="1253"/>
      <c r="F46" s="1252"/>
      <c r="G46" s="1253"/>
      <c r="H46" s="1253"/>
      <c r="I46" s="1253"/>
      <c r="J46" s="1253"/>
      <c r="K46" s="1254"/>
      <c r="L46" s="1255"/>
      <c r="M46" s="44"/>
      <c r="N46" s="119"/>
      <c r="O46" s="1383">
        <f>+ROUND(+SUM(P14:P16)+SUM(P18:P31),2)</f>
        <v>0</v>
      </c>
      <c r="P46" s="1726"/>
      <c r="Q46" s="43"/>
      <c r="R46" s="1383">
        <f>+ROUND(+SUM(S14:S16)+SUM(S18:S31),2)</f>
        <v>0</v>
      </c>
      <c r="S46" s="1726"/>
      <c r="T46" s="38"/>
      <c r="U46" s="38"/>
      <c r="V46" s="43"/>
      <c r="W46" s="43"/>
      <c r="X46" s="38"/>
      <c r="Y46" s="38"/>
      <c r="Z46" s="43"/>
    </row>
    <row r="47" spans="1:26" s="1393" customFormat="1" ht="15.75">
      <c r="A47" s="1338"/>
      <c r="B47" s="1728"/>
      <c r="C47" s="1727" t="s">
        <v>1347</v>
      </c>
      <c r="D47" s="1727"/>
      <c r="E47" s="1727"/>
      <c r="F47" s="1727"/>
      <c r="G47" s="1727"/>
      <c r="H47" s="1727"/>
      <c r="I47" s="1727"/>
      <c r="J47" s="1727"/>
      <c r="K47" s="1727"/>
      <c r="L47" s="2148"/>
      <c r="M47" s="44"/>
      <c r="N47" s="1344"/>
      <c r="O47" s="1375"/>
      <c r="P47" s="1726"/>
      <c r="Q47" s="43"/>
      <c r="R47" s="1375"/>
      <c r="S47" s="1726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45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51" t="s">
        <v>1214</v>
      </c>
      <c r="C51" s="1252"/>
      <c r="D51" s="1252"/>
      <c r="E51" s="1253"/>
      <c r="F51" s="1252"/>
      <c r="G51" s="1253"/>
      <c r="H51" s="1253"/>
      <c r="I51" s="1253"/>
      <c r="J51" s="1253"/>
      <c r="K51" s="1254"/>
      <c r="L51" s="1255"/>
      <c r="M51" s="44"/>
      <c r="N51" s="119"/>
      <c r="O51" s="2514" t="s">
        <v>1218</v>
      </c>
      <c r="P51" s="1206">
        <f>+ROUND(+SUM(O37:O38),2)</f>
        <v>0</v>
      </c>
      <c r="Q51" s="43"/>
      <c r="R51" s="2514" t="s">
        <v>1280</v>
      </c>
      <c r="S51" s="1206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15"/>
      <c r="P52" s="38"/>
      <c r="Q52" s="43"/>
      <c r="R52" s="2515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56" t="s">
        <v>1215</v>
      </c>
      <c r="C53" s="1252"/>
      <c r="D53" s="1252"/>
      <c r="E53" s="1253"/>
      <c r="F53" s="1252"/>
      <c r="G53" s="1253"/>
      <c r="H53" s="1253"/>
      <c r="I53" s="1253"/>
      <c r="J53" s="1253"/>
      <c r="K53" s="1254"/>
      <c r="L53" s="1255"/>
      <c r="M53" s="44"/>
      <c r="N53" s="119"/>
      <c r="O53" s="2515"/>
      <c r="P53" s="1432">
        <f>+ROUND(+SUM(O40:O41),2)</f>
        <v>0</v>
      </c>
      <c r="Q53" s="43"/>
      <c r="R53" s="2515"/>
      <c r="S53" s="1432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15"/>
      <c r="P54" s="38"/>
      <c r="Q54" s="43"/>
      <c r="R54" s="2515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51" t="s">
        <v>1216</v>
      </c>
      <c r="C55" s="1252"/>
      <c r="D55" s="1252"/>
      <c r="E55" s="1253"/>
      <c r="F55" s="1252"/>
      <c r="G55" s="1253"/>
      <c r="H55" s="1253"/>
      <c r="I55" s="1253"/>
      <c r="J55" s="1253"/>
      <c r="K55" s="1254"/>
      <c r="L55" s="1255"/>
      <c r="M55" s="44"/>
      <c r="N55" s="119"/>
      <c r="O55" s="2515"/>
      <c r="P55" s="1206">
        <f>+ROUND(+SUM(O43:O44),2)</f>
        <v>0</v>
      </c>
      <c r="Q55" s="43"/>
      <c r="R55" s="2515"/>
      <c r="S55" s="1206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15"/>
      <c r="P56" s="38"/>
      <c r="Q56" s="43"/>
      <c r="R56" s="2515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56" t="s">
        <v>1217</v>
      </c>
      <c r="C57" s="1252"/>
      <c r="D57" s="1252"/>
      <c r="E57" s="1253"/>
      <c r="F57" s="1252"/>
      <c r="G57" s="1253"/>
      <c r="H57" s="1253"/>
      <c r="I57" s="1253"/>
      <c r="J57" s="1253"/>
      <c r="K57" s="1254"/>
      <c r="L57" s="1255"/>
      <c r="M57" s="44"/>
      <c r="N57" s="119"/>
      <c r="O57" s="2516"/>
      <c r="P57" s="1432">
        <f>+ROUND(+SUM(O46:O47),2)</f>
        <v>0</v>
      </c>
      <c r="Q57" s="43"/>
      <c r="R57" s="2516"/>
      <c r="S57" s="1432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17">
        <f>+IF(+AND(Status!K4="ДА",+ROUND(P51,2)-ROUND(P53,2)&lt;&gt;0),"ГРЕШКА! - сумите за елиминиране от шифри 0075 и 0528 следва да са равни!",0)</f>
        <v>0</v>
      </c>
      <c r="P59" s="2517"/>
      <c r="Q59" s="43"/>
      <c r="R59" s="2517">
        <f>+IF(+AND(Status!K4="ДА",+ROUND(S51,2)-ROUND(S53,2)&lt;&gt;0),"ГРЕШКА! - сумите за елиминиране от шифри 0075 и 0528 следва да са равни!",0)</f>
        <v>0</v>
      </c>
      <c r="S59" s="2517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607"/>
      <c r="P60" s="43"/>
      <c r="Q60" s="43"/>
      <c r="R60" s="607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17">
        <f>+IF(AND(Status!K4="ДА",+ROUND(P55,2)-ROUND(P57,2)&lt;&gt;0),"ГРЕШКА! - сумите за елиминиране от шифри 0076 и 0529 следва да са равни!",0)</f>
        <v>0</v>
      </c>
      <c r="P61" s="2517"/>
      <c r="Q61" s="43"/>
      <c r="R61" s="2517">
        <f>+IF(AND(Status!K4="ДА",+ROUND(S55,2)-ROUND(S57,2)&lt;&gt;0),"ГРЕШКА! - сумите за елиминиране от шифри 0076 и 0529 следва да са равни!",0)</f>
        <v>0</v>
      </c>
      <c r="S61" s="2517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81"/>
      <c r="P62" s="1380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80" t="s">
        <v>1189</v>
      </c>
      <c r="C63" s="1271"/>
      <c r="D63" s="1271"/>
      <c r="E63" s="1271"/>
      <c r="F63" s="1281"/>
      <c r="G63" s="43"/>
      <c r="H63" s="43"/>
      <c r="I63" s="43"/>
      <c r="J63" s="43"/>
      <c r="K63" s="43"/>
      <c r="L63" s="43"/>
      <c r="M63" s="44"/>
      <c r="N63" s="1193"/>
      <c r="O63" s="1424" t="s">
        <v>1275</v>
      </c>
      <c r="P63" s="1424" t="s">
        <v>1276</v>
      </c>
      <c r="Q63" s="607"/>
      <c r="R63" s="1424" t="s">
        <v>1277</v>
      </c>
      <c r="S63" s="1424" t="s">
        <v>1278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43" t="s">
        <v>1441</v>
      </c>
      <c r="C64" s="1744"/>
      <c r="D64" s="1744"/>
      <c r="E64" s="1744"/>
      <c r="F64" s="1745"/>
      <c r="G64" s="1744"/>
      <c r="H64" s="1744"/>
      <c r="I64" s="1744"/>
      <c r="J64" s="1744"/>
      <c r="K64" s="1746"/>
      <c r="L64" s="43"/>
      <c r="M64" s="44"/>
      <c r="N64" s="1198">
        <f>+'TRIAL-BALANCE'!A177</f>
        <v>4501</v>
      </c>
      <c r="O64" s="1189" t="str">
        <f>+IF(O14&gt;+ROUND('TRIAL-BALANCE'!O177+'TRIAL-BALANCE'!V177,2),"ГРЕШКА - превишава нач. ДТ с/до", "O K")</f>
        <v>O K</v>
      </c>
      <c r="P64" s="1189" t="str">
        <f>+IF(P14&gt;+ROUND('TRIAL-BALANCE'!P177+'TRIAL-BALANCE'!W177,2),"ГРЕШКА - превишава нач. КТ с/до", "O K")</f>
        <v>O K</v>
      </c>
      <c r="Q64" s="43"/>
      <c r="R64" s="1282" t="str">
        <f>+IF(R14&gt;+ROUND('TRIAL-BALANCE'!S177+'TRIAL-BALANCE'!Z177,2),"ГРЕШКА - превишава кр. ДТ с/до", "O K")</f>
        <v>O K</v>
      </c>
      <c r="S64" s="1282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71" t="s">
        <v>1312</v>
      </c>
      <c r="C65" s="1271"/>
      <c r="D65" s="1271"/>
      <c r="E65" s="1271"/>
      <c r="F65" s="1272"/>
      <c r="G65" s="1271"/>
      <c r="H65" s="1271"/>
      <c r="I65" s="1271"/>
      <c r="J65" s="1271"/>
      <c r="K65" s="1273"/>
      <c r="L65" s="43"/>
      <c r="M65" s="44"/>
      <c r="N65" s="1199">
        <f>+'TRIAL-BALANCE'!A178</f>
        <v>4502</v>
      </c>
      <c r="O65" s="1190" t="str">
        <f>+IF(O15&gt;+ROUND('TRIAL-BALANCE'!O178+'TRIAL-BALANCE'!AC178,2),"ГРЕШКА - превишава нач. ДТ с/до", "O K")</f>
        <v>O K</v>
      </c>
      <c r="P65" s="1190" t="str">
        <f>+IF(P15&gt;+ROUND('TRIAL-BALANCE'!P178+'TRIAL-BALANCE'!AD178,2),"ГРЕШКА - превишава нач. КТ с/до", "O K")</f>
        <v>O K</v>
      </c>
      <c r="Q65" s="43"/>
      <c r="R65" s="1283" t="str">
        <f>+IF(R15&gt;+ROUND('TRIAL-BALANCE'!S178+'TRIAL-BALANCE'!AG178,2),"ГРЕШКА - превишава кр. ДТ с/до", "O K")</f>
        <v>O K</v>
      </c>
      <c r="S65" s="1283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74" t="s">
        <v>1313</v>
      </c>
      <c r="C66" s="1274"/>
      <c r="D66" s="1274"/>
      <c r="E66" s="1274"/>
      <c r="F66" s="1278"/>
      <c r="G66" s="1274"/>
      <c r="H66" s="1274"/>
      <c r="I66" s="1274"/>
      <c r="J66" s="1274"/>
      <c r="K66" s="1275"/>
      <c r="L66" s="43"/>
      <c r="M66" s="44"/>
      <c r="N66" s="1199">
        <f>+'TRIAL-BALANCE'!A179</f>
        <v>4503</v>
      </c>
      <c r="O66" s="1190" t="str">
        <f>+IF(O16&gt;+ROUND('TRIAL-BALANCE'!V179+'TRIAL-BALANCE'!AC179,2),"ГРЕШКА - превишава нач. ДТ с/до", "O K")</f>
        <v>O K</v>
      </c>
      <c r="P66" s="1190" t="str">
        <f>+IF(P16&gt;+ROUND('TRIAL-BALANCE'!W179+'TRIAL-BALANCE'!AD179,2),"ГРЕШКА - превишава нач. КТ с/до", "O K")</f>
        <v>O K</v>
      </c>
      <c r="Q66" s="43"/>
      <c r="R66" s="1283" t="str">
        <f>+IF(R16&gt;+ROUND('TRIAL-BALANCE'!Z179+'TRIAL-BALANCE'!AG179,2),"ГРЕШКА - превишава кр. ДТ с/до", "O K")</f>
        <v>O K</v>
      </c>
      <c r="S66" s="1283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74" t="s">
        <v>1314</v>
      </c>
      <c r="C67" s="1274"/>
      <c r="D67" s="1274"/>
      <c r="E67" s="1274"/>
      <c r="F67" s="1278"/>
      <c r="G67" s="1274"/>
      <c r="H67" s="1274"/>
      <c r="I67" s="1274"/>
      <c r="J67" s="1274"/>
      <c r="K67" s="1275"/>
      <c r="L67" s="43"/>
      <c r="M67" s="44"/>
      <c r="N67" s="1200" t="str">
        <f>+N17</f>
        <v>46XX</v>
      </c>
      <c r="O67" s="1190" t="str">
        <f>+IF(O17&gt;+ROUND('BALANCE-SHEET-2021-leva'!E44+'BALANCE-SHEET-2021-leva'!H44+'BALANCE-SHEET-2021-leva'!K44-'TRIAL-BALANCE'!O200-'TRIAL-BALANCE'!V200-'TRIAL-BALANCE'!AC200,2),"ГРЕШКА - превишава нач. ДТ с/до", "O K")</f>
        <v>O K</v>
      </c>
      <c r="P67" s="1190" t="str">
        <f>+IF(P17&gt;+ROUND('BALANCE-SHEET-2021-leva'!E81+'BALANCE-SHEET-2021-leva'!H81+'BALANCE-SHEET-2021-leva'!K81-'TRIAL-BALANCE'!P200-'TRIAL-BALANCE'!W200-'TRIAL-BALANCE'!AD200,2),"ГРЕШКА - превишава нач. КТ с/до", "O K")</f>
        <v>O K</v>
      </c>
      <c r="Q67" s="43"/>
      <c r="R67" s="1283" t="str">
        <f>+IF(R17&gt;+ROUND('BALANCE-SHEET-2021-leva'!D44+'BALANCE-SHEET-2021-leva'!G44+'BALANCE-SHEET-2021-leva'!J44-'TRIAL-BALANCE'!S200-'TRIAL-BALANCE'!Z200-'TRIAL-BALANCE'!AG200,2),"ГРЕШКА - превишава кр. ДТ с/до", "O K")</f>
        <v>O K</v>
      </c>
      <c r="S67" s="1283" t="str">
        <f>+IF(S17&gt;+ROUND('BALANCE-SHEET-2021-leva'!D81+'BALANCE-SHEET-2021-leva'!G81+'BALANCE-SHEET-2021-leva'!J81-'TRIAL-BALANCE'!T200-'TRIAL-BALANCE'!AA200-'TRIAL-BALANCE'!AH200,2),"ГРЕШКА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74" t="s">
        <v>1315</v>
      </c>
      <c r="C68" s="1274"/>
      <c r="D68" s="1274"/>
      <c r="E68" s="1274"/>
      <c r="F68" s="1278"/>
      <c r="G68" s="1274"/>
      <c r="H68" s="1274"/>
      <c r="I68" s="1274"/>
      <c r="J68" s="1274"/>
      <c r="K68" s="1275"/>
      <c r="L68" s="43"/>
      <c r="M68" s="44"/>
      <c r="N68" s="1199">
        <f>+'TRIAL-BALANCE'!A210</f>
        <v>4659</v>
      </c>
      <c r="O68" s="1190" t="str">
        <f>+IF(O18&gt;+ROUND(+'TRIAL-BALANCE'!O210+'TRIAL-BALANCE'!V210+'TRIAL-BALANCE'!AC210,2),"ГРЕШКА - превишава нач. ДТ с/до", "O K")</f>
        <v>O K</v>
      </c>
      <c r="P68" s="1190" t="str">
        <f>+IF(P18&gt;+ROUND(+'TRIAL-BALANCE'!P210+'TRIAL-BALANCE'!W210+'TRIAL-BALANCE'!AD210,2),"ГРЕШКА - превишава нач. КТ с/до", "O K")</f>
        <v>O K</v>
      </c>
      <c r="Q68" s="43"/>
      <c r="R68" s="1283" t="str">
        <f>+IF(R18&gt;+ROUND(+'TRIAL-BALANCE'!S210+'TRIAL-BALANCE'!Z210+'TRIAL-BALANCE'!AG210,2),"ГРЕШКА - превишава кр. ДТ с/до", "O K")</f>
        <v>O K</v>
      </c>
      <c r="S68" s="1283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74" t="s">
        <v>1316</v>
      </c>
      <c r="C69" s="1274"/>
      <c r="D69" s="1274"/>
      <c r="E69" s="1274"/>
      <c r="F69" s="1278"/>
      <c r="G69" s="1274"/>
      <c r="H69" s="1274"/>
      <c r="I69" s="1274"/>
      <c r="J69" s="1274"/>
      <c r="K69" s="1275"/>
      <c r="L69" s="43"/>
      <c r="M69" s="44"/>
      <c r="N69" s="1199">
        <f>+'TRIAL-BALANCE'!A212</f>
        <v>4672</v>
      </c>
      <c r="O69" s="1190" t="str">
        <f>+IF(O19&gt;+ROUND(+'TRIAL-BALANCE'!O212+'TRIAL-BALANCE'!V212+'TRIAL-BALANCE'!AC212,2),"ГРЕШКА - превишава нач. ДТ с/до", "O K")</f>
        <v>O K</v>
      </c>
      <c r="P69" s="1190" t="str">
        <f>+IF(P19&gt;+ROUND(+'TRIAL-BALANCE'!P212+'TRIAL-BALANCE'!W212+'TRIAL-BALANCE'!AD212,2),"ГРЕШКА - превишава нач. КТ с/до", "O K")</f>
        <v>O K</v>
      </c>
      <c r="Q69" s="43"/>
      <c r="R69" s="1283" t="str">
        <f>+IF(R19&gt;+ROUND(+'TRIAL-BALANCE'!S212+'TRIAL-BALANCE'!Z212+'TRIAL-BALANCE'!AG212,2),"ГРЕШКА - превишава кр. ДТ с/до", "O K")</f>
        <v>O K</v>
      </c>
      <c r="S69" s="1283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74" t="s">
        <v>1354</v>
      </c>
      <c r="C70" s="1274"/>
      <c r="D70" s="1274"/>
      <c r="E70" s="1274"/>
      <c r="F70" s="1278"/>
      <c r="G70" s="1274"/>
      <c r="H70" s="1274"/>
      <c r="I70" s="1274"/>
      <c r="J70" s="1274"/>
      <c r="K70" s="1275"/>
      <c r="L70" s="43"/>
      <c r="M70" s="44"/>
      <c r="N70" s="1199">
        <f>+'TRIAL-BALANCE'!A213</f>
        <v>4674</v>
      </c>
      <c r="O70" s="1190" t="str">
        <f>+IF(O20&gt;+ROUND(+'TRIAL-BALANCE'!O213+'TRIAL-BALANCE'!V213+'TRIAL-BALANCE'!AC213,2),"ГРЕШКА - превишава нач. ДТ с/до", "O K")</f>
        <v>O K</v>
      </c>
      <c r="P70" s="1190" t="str">
        <f>+IF(P20&gt;+ROUND(+'TRIAL-BALANCE'!P213+'TRIAL-BALANCE'!W213+'TRIAL-BALANCE'!AD213,2),"ГРЕШКА - превишава нач. КТ с/до", "O K")</f>
        <v>O K</v>
      </c>
      <c r="Q70" s="43"/>
      <c r="R70" s="1283" t="str">
        <f>+IF(R20&gt;+ROUND(+'TRIAL-BALANCE'!S213+'TRIAL-BALANCE'!Z213+'TRIAL-BALANCE'!AG213,2),"ГРЕШКА - превишава кр. ДТ с/до", "O K")</f>
        <v>O K</v>
      </c>
      <c r="S70" s="1283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74" t="s">
        <v>1355</v>
      </c>
      <c r="C71" s="1274"/>
      <c r="D71" s="1274"/>
      <c r="E71" s="1274"/>
      <c r="F71" s="1274"/>
      <c r="G71" s="1274"/>
      <c r="H71" s="1274"/>
      <c r="I71" s="1274"/>
      <c r="J71" s="1274"/>
      <c r="K71" s="1275"/>
      <c r="L71" s="43"/>
      <c r="M71" s="44"/>
      <c r="N71" s="1199">
        <f>+'TRIAL-BALANCE'!A214</f>
        <v>4675</v>
      </c>
      <c r="O71" s="1190" t="str">
        <f>+IF(O21&gt;+ROUND(+'TRIAL-BALANCE'!O214+'TRIAL-BALANCE'!V214+'TRIAL-BALANCE'!AC214,2),"ГРЕШКА - превишава нач. ДТ с/до", "O K")</f>
        <v>O K</v>
      </c>
      <c r="P71" s="1190" t="str">
        <f>+IF(P21&gt;+ROUND(+'TRIAL-BALANCE'!P214+'TRIAL-BALANCE'!W214+'TRIAL-BALANCE'!AD214,2),"ГРЕШКА - превишава нач. КТ с/до", "O K")</f>
        <v>O K</v>
      </c>
      <c r="Q71" s="43"/>
      <c r="R71" s="1283" t="str">
        <f>+IF(R21&gt;+ROUND(+'TRIAL-BALANCE'!S214+'TRIAL-BALANCE'!Z214+'TRIAL-BALANCE'!AG214,2),"ГРЕШКА - превишава кр. ДТ с/до", "O K")</f>
        <v>O K</v>
      </c>
      <c r="S71" s="1283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79" t="s">
        <v>1317</v>
      </c>
      <c r="C72" s="1274"/>
      <c r="D72" s="1274"/>
      <c r="E72" s="1274"/>
      <c r="F72" s="1274"/>
      <c r="G72" s="1274"/>
      <c r="H72" s="1274"/>
      <c r="I72" s="1274"/>
      <c r="J72" s="1274"/>
      <c r="K72" s="1275"/>
      <c r="L72" s="43"/>
      <c r="M72" s="44"/>
      <c r="N72" s="1199">
        <f>+'TRIAL-BALANCE'!A215</f>
        <v>4679</v>
      </c>
      <c r="O72" s="1190" t="str">
        <f>+IF(O22&gt;+ROUND(+'TRIAL-BALANCE'!O215+'TRIAL-BALANCE'!V215+'TRIAL-BALANCE'!AC215,2),"ГРЕШКА - превишава нач. ДТ с/до", "O K")</f>
        <v>O K</v>
      </c>
      <c r="P72" s="1190" t="str">
        <f>+IF(P22&gt;+ROUND(+'TRIAL-BALANCE'!P215+'TRIAL-BALANCE'!W215+'TRIAL-BALANCE'!AD215,2),"ГРЕШКА - превишава нач. КТ с/до", "O K")</f>
        <v>O K</v>
      </c>
      <c r="Q72" s="43"/>
      <c r="R72" s="1283" t="str">
        <f>+IF(R22&gt;+ROUND(+'TRIAL-BALANCE'!S215+'TRIAL-BALANCE'!Z215+'TRIAL-BALANCE'!AG215,2),"ГРЕШКА - превишава кр. ДТ с/до", "O K")</f>
        <v>O K</v>
      </c>
      <c r="S72" s="1283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74" t="s">
        <v>1318</v>
      </c>
      <c r="C73" s="1274"/>
      <c r="D73" s="1274"/>
      <c r="E73" s="1274"/>
      <c r="F73" s="1274"/>
      <c r="G73" s="1274"/>
      <c r="H73" s="1274"/>
      <c r="I73" s="1274"/>
      <c r="J73" s="1274"/>
      <c r="K73" s="1275"/>
      <c r="L73" s="43"/>
      <c r="M73" s="44"/>
      <c r="N73" s="1199">
        <f>+'TRIAL-BALANCE'!A216</f>
        <v>4682</v>
      </c>
      <c r="O73" s="1190" t="str">
        <f>+IF(O23&gt;+ROUND(+'TRIAL-BALANCE'!O216+'TRIAL-BALANCE'!V216+'TRIAL-BALANCE'!AC216,2),"ГРЕШКА - превишава нач. ДТ с/до", "O K")</f>
        <v>O K</v>
      </c>
      <c r="P73" s="1190" t="str">
        <f>+IF(P23&gt;+ROUND(+'TRIAL-BALANCE'!P216+'TRIAL-BALANCE'!W216+'TRIAL-BALANCE'!AD216,2),"ГРЕШКА - превишава нач. КТ с/до", "O K")</f>
        <v>O K</v>
      </c>
      <c r="Q73" s="43"/>
      <c r="R73" s="1283" t="str">
        <f>+IF(R23&gt;+ROUND(+'TRIAL-BALANCE'!S216+'TRIAL-BALANCE'!Z216+'TRIAL-BALANCE'!AG216,2),"ГРЕШКА - превишава кр. ДТ с/до", "O K")</f>
        <v>O K</v>
      </c>
      <c r="S73" s="1283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74" t="s">
        <v>1319</v>
      </c>
      <c r="C74" s="1274"/>
      <c r="D74" s="1274"/>
      <c r="E74" s="1274"/>
      <c r="F74" s="1274"/>
      <c r="G74" s="1274"/>
      <c r="H74" s="1274"/>
      <c r="I74" s="1274"/>
      <c r="J74" s="1274"/>
      <c r="K74" s="1275"/>
      <c r="L74" s="43"/>
      <c r="M74" s="44"/>
      <c r="N74" s="1199">
        <f>+'TRIAL-BALANCE'!A217</f>
        <v>4684</v>
      </c>
      <c r="O74" s="1190" t="str">
        <f>+IF(O24&gt;+ROUND(+'TRIAL-BALANCE'!O217+'TRIAL-BALANCE'!V217+'TRIAL-BALANCE'!AC217,2),"ГРЕШКА - превишава нач. ДТ с/до", "O K")</f>
        <v>O K</v>
      </c>
      <c r="P74" s="1190" t="str">
        <f>+IF(P24&gt;+ROUND(+'TRIAL-BALANCE'!P217+'TRIAL-BALANCE'!W217+'TRIAL-BALANCE'!AD217,2),"ГРЕШКА - превишава нач. КТ с/до", "O K")</f>
        <v>O K</v>
      </c>
      <c r="Q74" s="43"/>
      <c r="R74" s="1283" t="str">
        <f>+IF(R24&gt;+ROUND(+'TRIAL-BALANCE'!S217+'TRIAL-BALANCE'!Z217+'TRIAL-BALANCE'!AG217,2),"ГРЕШКА - превишава кр. ДТ с/до", "O K")</f>
        <v>O K</v>
      </c>
      <c r="S74" s="1283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77" t="s">
        <v>1353</v>
      </c>
      <c r="C75" s="1276"/>
      <c r="D75" s="1276"/>
      <c r="E75" s="1276"/>
      <c r="F75" s="1276"/>
      <c r="G75" s="1276"/>
      <c r="H75" s="1276"/>
      <c r="I75" s="1276"/>
      <c r="J75" s="1276"/>
      <c r="K75" s="1277"/>
      <c r="L75" s="43"/>
      <c r="M75" s="44"/>
      <c r="N75" s="1199">
        <f>+'TRIAL-BALANCE'!A218</f>
        <v>4685</v>
      </c>
      <c r="O75" s="1190" t="str">
        <f>+IF(O25&gt;+ROUND(+'TRIAL-BALANCE'!O218+'TRIAL-BALANCE'!V218+'TRIAL-BALANCE'!AC218,2),"ГРЕШКА - превишава нач. ДТ с/до", "O K")</f>
        <v>O K</v>
      </c>
      <c r="P75" s="1190" t="str">
        <f>+IF(P25&gt;+ROUND(+'TRIAL-BALANCE'!P218+'TRIAL-BALANCE'!W218+'TRIAL-BALANCE'!AD218,2),"ГРЕШКА - превишава нач. КТ с/до", "O K")</f>
        <v>O K</v>
      </c>
      <c r="Q75" s="43"/>
      <c r="R75" s="1283" t="str">
        <f>+IF(R25&gt;+ROUND(+'TRIAL-BALANCE'!S218+'TRIAL-BALANCE'!Z218+'TRIAL-BALANCE'!AG218,2),"ГРЕШКА - превишава кр. ДТ с/до", "O K")</f>
        <v>O K</v>
      </c>
      <c r="S75" s="1283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71" t="s">
        <v>1320</v>
      </c>
      <c r="C76" s="1271"/>
      <c r="D76" s="1271"/>
      <c r="E76" s="1271"/>
      <c r="F76" s="1271"/>
      <c r="G76" s="1271"/>
      <c r="H76" s="1271"/>
      <c r="I76" s="1271"/>
      <c r="J76" s="1271"/>
      <c r="K76" s="1273"/>
      <c r="L76" s="43"/>
      <c r="M76" s="44"/>
      <c r="N76" s="1199">
        <f>+'TRIAL-BALANCE'!A219</f>
        <v>4691</v>
      </c>
      <c r="O76" s="1190" t="str">
        <f>+IF(O26&gt;+ROUND(+'TRIAL-BALANCE'!O219+'TRIAL-BALANCE'!V219+'TRIAL-BALANCE'!AC219,2),"ГРЕШКА - превишава нач. ДТ с/до", "O K")</f>
        <v>O K</v>
      </c>
      <c r="P76" s="1202">
        <v>0</v>
      </c>
      <c r="Q76" s="43"/>
      <c r="R76" s="1284" t="str">
        <f>+IF(R26&gt;+ROUND(+'TRIAL-BALANCE'!S219+'TRIAL-BALANCE'!Z219+'TRIAL-BALANCE'!AG219,2),"ГРЕШКА - превишава кр. ДТ с/до", "O K")</f>
        <v>O K</v>
      </c>
      <c r="S76" s="1202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74" t="s">
        <v>1321</v>
      </c>
      <c r="C77" s="1274"/>
      <c r="D77" s="1274"/>
      <c r="E77" s="1274"/>
      <c r="F77" s="1274"/>
      <c r="G77" s="1274"/>
      <c r="H77" s="1274"/>
      <c r="I77" s="1274"/>
      <c r="J77" s="1274"/>
      <c r="K77" s="1275"/>
      <c r="L77" s="43"/>
      <c r="M77" s="44"/>
      <c r="N77" s="1199">
        <f>+'TRIAL-BALANCE'!A220</f>
        <v>4692</v>
      </c>
      <c r="O77" s="1202">
        <v>0</v>
      </c>
      <c r="P77" s="1190" t="str">
        <f>+IF(P27&gt;+ROUND(+'TRIAL-BALANCE'!P220+'TRIAL-BALANCE'!W220+'TRIAL-BALANCE'!AD220,2),"ГРЕШКА - превишава нач. КТ с/до", "O K")</f>
        <v>O K</v>
      </c>
      <c r="Q77" s="43"/>
      <c r="R77" s="1202">
        <v>0</v>
      </c>
      <c r="S77" s="1284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74" t="s">
        <v>1322</v>
      </c>
      <c r="C78" s="1274"/>
      <c r="D78" s="1274"/>
      <c r="E78" s="1274"/>
      <c r="F78" s="1278"/>
      <c r="G78" s="1274"/>
      <c r="H78" s="1274"/>
      <c r="I78" s="1274"/>
      <c r="J78" s="1274"/>
      <c r="K78" s="1275"/>
      <c r="L78" s="43"/>
      <c r="M78" s="44"/>
      <c r="N78" s="1199">
        <f>+'TRIAL-BALANCE'!A221</f>
        <v>4693</v>
      </c>
      <c r="O78" s="1190" t="str">
        <f>+IF(O28&gt;+ROUND(+'TRIAL-BALANCE'!O221+'TRIAL-BALANCE'!V221+'TRIAL-BALANCE'!AC221,2),"ГРЕШКА - превишава нач. ДТ с/до", "O K")</f>
        <v>O K</v>
      </c>
      <c r="P78" s="1202">
        <v>0</v>
      </c>
      <c r="Q78" s="43"/>
      <c r="R78" s="1284" t="str">
        <f>+IF(R28&gt;+ROUND(+'TRIAL-BALANCE'!S221+'TRIAL-BALANCE'!Z221+'TRIAL-BALANCE'!AG221,2),"ГРЕШКА - превишава кр. ДТ с/до", "O K")</f>
        <v>O K</v>
      </c>
      <c r="S78" s="1202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74" t="s">
        <v>1323</v>
      </c>
      <c r="C79" s="1274"/>
      <c r="D79" s="1274"/>
      <c r="E79" s="1274"/>
      <c r="F79" s="1274"/>
      <c r="G79" s="1274"/>
      <c r="H79" s="1274"/>
      <c r="I79" s="1274"/>
      <c r="J79" s="1274"/>
      <c r="K79" s="1275"/>
      <c r="L79" s="43"/>
      <c r="M79" s="44"/>
      <c r="N79" s="1199">
        <f>+'TRIAL-BALANCE'!A222</f>
        <v>4694</v>
      </c>
      <c r="O79" s="1202">
        <v>0</v>
      </c>
      <c r="P79" s="1190" t="str">
        <f>+IF(P29&gt;+ROUND(+'TRIAL-BALANCE'!P222+'TRIAL-BALANCE'!W222+'TRIAL-BALANCE'!AD222,2),"ГРЕШКА - превишава нач. КТ с/до", "O K")</f>
        <v>O K</v>
      </c>
      <c r="Q79" s="43"/>
      <c r="R79" s="1202">
        <v>0</v>
      </c>
      <c r="S79" s="1284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607" t="s">
        <v>265</v>
      </c>
      <c r="B80" s="1174" t="s">
        <v>1324</v>
      </c>
      <c r="C80" s="1274"/>
      <c r="D80" s="1274"/>
      <c r="E80" s="1274"/>
      <c r="F80" s="1274"/>
      <c r="G80" s="1274"/>
      <c r="H80" s="1274"/>
      <c r="I80" s="1274"/>
      <c r="J80" s="1274"/>
      <c r="K80" s="1275"/>
      <c r="L80" s="43"/>
      <c r="M80" s="44"/>
      <c r="N80" s="1199">
        <f>+'TRIAL-BALANCE'!A223</f>
        <v>4695</v>
      </c>
      <c r="O80" s="1190" t="str">
        <f>+IF(O30&gt;+ROUND(+'TRIAL-BALANCE'!O223+'TRIAL-BALANCE'!V223+'TRIAL-BALANCE'!AC223,2),"ГРЕШКА - превишава нач. ДТ с/до", "O K")</f>
        <v>O K</v>
      </c>
      <c r="P80" s="1202">
        <v>0</v>
      </c>
      <c r="Q80" s="43"/>
      <c r="R80" s="1284" t="str">
        <f>+IF(R30&gt;+ROUND(+'TRIAL-BALANCE'!S223+'TRIAL-BALANCE'!Z223+'TRIAL-BALANCE'!AG223,2),"ГРЕШКА - превишава кр. ДТ с/до", "O K")</f>
        <v>O K</v>
      </c>
      <c r="S80" s="1202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74" t="s">
        <v>1325</v>
      </c>
      <c r="C81" s="1274"/>
      <c r="D81" s="1274"/>
      <c r="E81" s="1274"/>
      <c r="F81" s="1278"/>
      <c r="G81" s="1274"/>
      <c r="H81" s="1274"/>
      <c r="I81" s="1274"/>
      <c r="J81" s="1274"/>
      <c r="K81" s="1275"/>
      <c r="L81" s="43"/>
      <c r="M81" s="44"/>
      <c r="N81" s="1201">
        <f>+'TRIAL-BALANCE'!A224</f>
        <v>4696</v>
      </c>
      <c r="O81" s="1203">
        <v>0</v>
      </c>
      <c r="P81" s="1191" t="str">
        <f>+IF(P31&gt;+ROUND(+'TRIAL-BALANCE'!P224+'TRIAL-BALANCE'!W224+'TRIAL-BALANCE'!AD224,2),"ГРЕШКА - превишава нач. КТ с/до", "O K")</f>
        <v>O K</v>
      </c>
      <c r="Q81" s="43"/>
      <c r="R81" s="1203">
        <v>0</v>
      </c>
      <c r="S81" s="1285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74" t="s">
        <v>1219</v>
      </c>
      <c r="C82" s="1274"/>
      <c r="D82" s="1274"/>
      <c r="E82" s="1274"/>
      <c r="F82" s="1274"/>
      <c r="G82" s="1274"/>
      <c r="H82" s="1274"/>
      <c r="I82" s="1274"/>
      <c r="J82" s="1274"/>
      <c r="K82" s="1275"/>
      <c r="L82" s="43"/>
      <c r="M82" s="44"/>
      <c r="N82" s="43"/>
      <c r="O82" s="1423" t="s">
        <v>1275</v>
      </c>
      <c r="P82" s="1423" t="s">
        <v>1276</v>
      </c>
      <c r="Q82" s="607"/>
      <c r="R82" s="1423" t="s">
        <v>1277</v>
      </c>
      <c r="S82" s="1423" t="s">
        <v>1278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74" t="s">
        <v>1221</v>
      </c>
      <c r="C83" s="1274"/>
      <c r="D83" s="1274"/>
      <c r="E83" s="1274"/>
      <c r="F83" s="1274"/>
      <c r="G83" s="1274"/>
      <c r="H83" s="1274"/>
      <c r="I83" s="1274"/>
      <c r="J83" s="1274"/>
      <c r="K83" s="1275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74" t="s">
        <v>1350</v>
      </c>
      <c r="C84" s="1274"/>
      <c r="D84" s="1274"/>
      <c r="E84" s="1274"/>
      <c r="F84" s="1274"/>
      <c r="G84" s="1274"/>
      <c r="H84" s="1274"/>
      <c r="I84" s="1274"/>
      <c r="J84" s="1274"/>
      <c r="K84" s="1275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74" t="s">
        <v>1351</v>
      </c>
      <c r="C85" s="1274"/>
      <c r="D85" s="1274"/>
      <c r="E85" s="1274"/>
      <c r="F85" s="1274"/>
      <c r="G85" s="1274"/>
      <c r="H85" s="1274"/>
      <c r="I85" s="1274"/>
      <c r="J85" s="1274"/>
      <c r="K85" s="1275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74" t="s">
        <v>1222</v>
      </c>
      <c r="C86" s="1274"/>
      <c r="D86" s="1274"/>
      <c r="E86" s="1274"/>
      <c r="F86" s="1274"/>
      <c r="G86" s="1274"/>
      <c r="H86" s="1274"/>
      <c r="I86" s="1274"/>
      <c r="J86" s="1274"/>
      <c r="K86" s="1275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74" t="s">
        <v>1352</v>
      </c>
      <c r="C87" s="1274"/>
      <c r="D87" s="1274"/>
      <c r="E87" s="1274"/>
      <c r="F87" s="1274"/>
      <c r="G87" s="1274"/>
      <c r="H87" s="1274"/>
      <c r="I87" s="1274"/>
      <c r="J87" s="1274"/>
      <c r="K87" s="1275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74" t="s">
        <v>1220</v>
      </c>
      <c r="C88" s="1274"/>
      <c r="D88" s="1274"/>
      <c r="E88" s="1274"/>
      <c r="F88" s="1274"/>
      <c r="G88" s="1274"/>
      <c r="H88" s="1274"/>
      <c r="I88" s="1274"/>
      <c r="J88" s="1274"/>
      <c r="K88" s="1275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74" t="s">
        <v>1326</v>
      </c>
      <c r="C89" s="1274"/>
      <c r="D89" s="1274"/>
      <c r="E89" s="1274"/>
      <c r="F89" s="1274"/>
      <c r="G89" s="1274"/>
      <c r="H89" s="1274"/>
      <c r="I89" s="1274"/>
      <c r="J89" s="1274"/>
      <c r="K89" s="1275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74" t="s">
        <v>1469</v>
      </c>
      <c r="C90" s="1274"/>
      <c r="D90" s="1274"/>
      <c r="E90" s="1274"/>
      <c r="F90" s="1274"/>
      <c r="G90" s="1274"/>
      <c r="H90" s="1274"/>
      <c r="I90" s="1274"/>
      <c r="J90" s="1274"/>
      <c r="K90" s="1275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74" t="s">
        <v>1470</v>
      </c>
      <c r="C91" s="1274"/>
      <c r="D91" s="1274"/>
      <c r="E91" s="1274"/>
      <c r="F91" s="1274"/>
      <c r="G91" s="1274"/>
      <c r="H91" s="1274"/>
      <c r="I91" s="1274"/>
      <c r="J91" s="1274"/>
      <c r="K91" s="1275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74" t="s">
        <v>1471</v>
      </c>
      <c r="C92" s="1274"/>
      <c r="D92" s="1274"/>
      <c r="E92" s="1274"/>
      <c r="F92" s="1274"/>
      <c r="G92" s="1274"/>
      <c r="H92" s="1274"/>
      <c r="I92" s="1274"/>
      <c r="J92" s="1274"/>
      <c r="K92" s="1275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74" t="s">
        <v>1472</v>
      </c>
      <c r="C93" s="1274"/>
      <c r="D93" s="1274"/>
      <c r="E93" s="1274"/>
      <c r="F93" s="1274"/>
      <c r="G93" s="1274"/>
      <c r="H93" s="1274"/>
      <c r="I93" s="1274"/>
      <c r="J93" s="1274"/>
      <c r="K93" s="1275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74" t="s">
        <v>1473</v>
      </c>
      <c r="C94" s="1274"/>
      <c r="D94" s="1274"/>
      <c r="E94" s="1274"/>
      <c r="F94" s="1274"/>
      <c r="G94" s="1274"/>
      <c r="H94" s="1274"/>
      <c r="I94" s="1274"/>
      <c r="J94" s="1274"/>
      <c r="K94" s="1275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74" t="s">
        <v>1474</v>
      </c>
      <c r="C95" s="1274"/>
      <c r="D95" s="1274"/>
      <c r="E95" s="1274"/>
      <c r="F95" s="1274"/>
      <c r="G95" s="1274"/>
      <c r="H95" s="1274"/>
      <c r="I95" s="1274"/>
      <c r="J95" s="1274"/>
      <c r="K95" s="1275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74" t="s">
        <v>1475</v>
      </c>
      <c r="C96" s="1274"/>
      <c r="D96" s="1274"/>
      <c r="E96" s="1274"/>
      <c r="F96" s="1274"/>
      <c r="G96" s="1274"/>
      <c r="H96" s="1274"/>
      <c r="I96" s="1274"/>
      <c r="J96" s="1274"/>
      <c r="K96" s="1275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74" t="s">
        <v>1476</v>
      </c>
      <c r="C97" s="1274"/>
      <c r="D97" s="1274"/>
      <c r="E97" s="1274"/>
      <c r="F97" s="1274"/>
      <c r="G97" s="1274"/>
      <c r="H97" s="1274"/>
      <c r="I97" s="1274"/>
      <c r="J97" s="1274"/>
      <c r="K97" s="1275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74" t="s">
        <v>1477</v>
      </c>
      <c r="C98" s="1274"/>
      <c r="D98" s="1274"/>
      <c r="E98" s="1274"/>
      <c r="F98" s="1274"/>
      <c r="G98" s="1274"/>
      <c r="H98" s="1274"/>
      <c r="I98" s="1274"/>
      <c r="J98" s="1274"/>
      <c r="K98" s="1275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74" t="s">
        <v>1447</v>
      </c>
      <c r="C99" s="1274"/>
      <c r="D99" s="1274"/>
      <c r="E99" s="1274"/>
      <c r="F99" s="1274"/>
      <c r="G99" s="1274"/>
      <c r="H99" s="1274"/>
      <c r="I99" s="1274"/>
      <c r="J99" s="1274"/>
      <c r="K99" s="1275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74" t="s">
        <v>1448</v>
      </c>
      <c r="C100" s="1274"/>
      <c r="D100" s="1274"/>
      <c r="E100" s="1274"/>
      <c r="F100" s="1274"/>
      <c r="G100" s="1274"/>
      <c r="H100" s="1274"/>
      <c r="I100" s="1274"/>
      <c r="J100" s="1274"/>
      <c r="K100" s="1275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74" t="s">
        <v>1478</v>
      </c>
      <c r="C101" s="1274"/>
      <c r="D101" s="1274"/>
      <c r="E101" s="1274"/>
      <c r="F101" s="1274"/>
      <c r="G101" s="1274"/>
      <c r="H101" s="1274"/>
      <c r="I101" s="1274"/>
      <c r="J101" s="1274"/>
      <c r="K101" s="1275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74" t="s">
        <v>1327</v>
      </c>
      <c r="C102" s="1274"/>
      <c r="D102" s="1274"/>
      <c r="E102" s="1274"/>
      <c r="F102" s="1274"/>
      <c r="G102" s="1274"/>
      <c r="H102" s="1274"/>
      <c r="I102" s="1274"/>
      <c r="J102" s="1274"/>
      <c r="K102" s="1275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74" t="s">
        <v>1479</v>
      </c>
      <c r="C103" s="1274"/>
      <c r="D103" s="1274"/>
      <c r="E103" s="1274"/>
      <c r="F103" s="1274"/>
      <c r="G103" s="1274"/>
      <c r="H103" s="1274"/>
      <c r="I103" s="1274"/>
      <c r="J103" s="1274"/>
      <c r="K103" s="1275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74" t="s">
        <v>1480</v>
      </c>
      <c r="C104" s="1274"/>
      <c r="D104" s="1274"/>
      <c r="E104" s="1274"/>
      <c r="F104" s="1274"/>
      <c r="G104" s="1274"/>
      <c r="H104" s="1274"/>
      <c r="I104" s="1274"/>
      <c r="J104" s="1274"/>
      <c r="K104" s="1275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74" t="s">
        <v>1481</v>
      </c>
      <c r="C105" s="1274"/>
      <c r="D105" s="1274"/>
      <c r="E105" s="1274"/>
      <c r="F105" s="1274"/>
      <c r="G105" s="1274"/>
      <c r="H105" s="1274"/>
      <c r="I105" s="1274"/>
      <c r="J105" s="1274"/>
      <c r="K105" s="1275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74" t="s">
        <v>1482</v>
      </c>
      <c r="C106" s="1274"/>
      <c r="D106" s="1274"/>
      <c r="E106" s="1274"/>
      <c r="F106" s="1274"/>
      <c r="G106" s="1274"/>
      <c r="H106" s="1274"/>
      <c r="I106" s="1274"/>
      <c r="J106" s="1274"/>
      <c r="K106" s="1275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74" t="s">
        <v>1349</v>
      </c>
      <c r="C107" s="1274"/>
      <c r="D107" s="1274"/>
      <c r="E107" s="1274"/>
      <c r="F107" s="1274"/>
      <c r="G107" s="1274"/>
      <c r="H107" s="1274"/>
      <c r="I107" s="1274"/>
      <c r="J107" s="1274"/>
      <c r="K107" s="1275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74" t="s">
        <v>1329</v>
      </c>
      <c r="C108" s="1274"/>
      <c r="D108" s="1274"/>
      <c r="E108" s="1274"/>
      <c r="F108" s="1274"/>
      <c r="G108" s="1274"/>
      <c r="H108" s="1274"/>
      <c r="I108" s="1274"/>
      <c r="J108" s="1274"/>
      <c r="K108" s="1275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74" t="s">
        <v>1308</v>
      </c>
      <c r="C109" s="1274"/>
      <c r="D109" s="1274"/>
      <c r="E109" s="1274"/>
      <c r="F109" s="1274"/>
      <c r="G109" s="1274"/>
      <c r="H109" s="1274"/>
      <c r="I109" s="1274"/>
      <c r="J109" s="1274"/>
      <c r="K109" s="1275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74" t="s">
        <v>1309</v>
      </c>
      <c r="C110" s="1274"/>
      <c r="D110" s="1274"/>
      <c r="E110" s="1274"/>
      <c r="F110" s="1274"/>
      <c r="G110" s="1274"/>
      <c r="H110" s="1274"/>
      <c r="I110" s="1274"/>
      <c r="J110" s="1274"/>
      <c r="K110" s="1275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77" t="s">
        <v>1310</v>
      </c>
      <c r="C111" s="1276"/>
      <c r="D111" s="1276"/>
      <c r="E111" s="1276"/>
      <c r="F111" s="1276"/>
      <c r="G111" s="1276"/>
      <c r="H111" s="1276"/>
      <c r="I111" s="1276"/>
      <c r="J111" s="1276"/>
      <c r="K111" s="1277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74" t="s">
        <v>1330</v>
      </c>
      <c r="C112" s="1274"/>
      <c r="D112" s="1274"/>
      <c r="E112" s="1274"/>
      <c r="F112" s="1278"/>
      <c r="G112" s="1274"/>
      <c r="H112" s="1274"/>
      <c r="I112" s="1274"/>
      <c r="J112" s="1274"/>
      <c r="K112" s="1275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74" t="s">
        <v>1331</v>
      </c>
      <c r="C113" s="1274"/>
      <c r="D113" s="1274"/>
      <c r="E113" s="1274"/>
      <c r="F113" s="1278"/>
      <c r="G113" s="1274"/>
      <c r="H113" s="1274"/>
      <c r="I113" s="1274"/>
      <c r="J113" s="1274"/>
      <c r="K113" s="1275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74" t="s">
        <v>1332</v>
      </c>
      <c r="C114" s="1274"/>
      <c r="D114" s="1274"/>
      <c r="E114" s="1274"/>
      <c r="F114" s="1278"/>
      <c r="G114" s="1274"/>
      <c r="H114" s="1274"/>
      <c r="I114" s="1274"/>
      <c r="J114" s="1274"/>
      <c r="K114" s="1275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74" t="s">
        <v>1333</v>
      </c>
      <c r="C115" s="1274"/>
      <c r="D115" s="1274"/>
      <c r="E115" s="1274"/>
      <c r="F115" s="1278"/>
      <c r="G115" s="1274"/>
      <c r="H115" s="1274"/>
      <c r="I115" s="1274"/>
      <c r="J115" s="1274"/>
      <c r="K115" s="1275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74" t="s">
        <v>1483</v>
      </c>
      <c r="C116" s="1274"/>
      <c r="D116" s="1274"/>
      <c r="E116" s="1274"/>
      <c r="F116" s="1278"/>
      <c r="G116" s="1274"/>
      <c r="H116" s="1274"/>
      <c r="I116" s="1274"/>
      <c r="J116" s="1274"/>
      <c r="K116" s="1275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74" t="s">
        <v>1942</v>
      </c>
      <c r="C117" s="1274"/>
      <c r="D117" s="1274"/>
      <c r="E117" s="1274"/>
      <c r="F117" s="1278"/>
      <c r="G117" s="1274"/>
      <c r="H117" s="1274"/>
      <c r="I117" s="1274"/>
      <c r="J117" s="1274"/>
      <c r="K117" s="1275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74" t="s">
        <v>1484</v>
      </c>
      <c r="C118" s="1274"/>
      <c r="D118" s="1274"/>
      <c r="E118" s="1274"/>
      <c r="F118" s="1278"/>
      <c r="G118" s="1274"/>
      <c r="H118" s="1274"/>
      <c r="I118" s="1274"/>
      <c r="J118" s="1274"/>
      <c r="K118" s="1275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74" t="s">
        <v>1485</v>
      </c>
      <c r="C119" s="1274"/>
      <c r="D119" s="1274"/>
      <c r="E119" s="1274"/>
      <c r="F119" s="1278"/>
      <c r="G119" s="1274"/>
      <c r="H119" s="1274"/>
      <c r="I119" s="1274"/>
      <c r="J119" s="1274"/>
      <c r="K119" s="1275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74" t="s">
        <v>1486</v>
      </c>
      <c r="C120" s="1274"/>
      <c r="D120" s="1274"/>
      <c r="E120" s="1274"/>
      <c r="F120" s="1278"/>
      <c r="G120" s="1274"/>
      <c r="H120" s="1274"/>
      <c r="I120" s="1274"/>
      <c r="J120" s="1274"/>
      <c r="K120" s="1275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74" t="s">
        <v>1488</v>
      </c>
      <c r="C121" s="1274"/>
      <c r="D121" s="1274"/>
      <c r="E121" s="1274"/>
      <c r="F121" s="1278"/>
      <c r="G121" s="1274"/>
      <c r="H121" s="1274"/>
      <c r="I121" s="1274"/>
      <c r="J121" s="1274"/>
      <c r="K121" s="1275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74" t="s">
        <v>1487</v>
      </c>
      <c r="C122" s="1274"/>
      <c r="D122" s="1274"/>
      <c r="E122" s="1274"/>
      <c r="F122" s="1278"/>
      <c r="G122" s="1274"/>
      <c r="H122" s="1274"/>
      <c r="I122" s="1274"/>
      <c r="J122" s="1274"/>
      <c r="K122" s="1275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74" t="s">
        <v>1489</v>
      </c>
      <c r="C123" s="1274"/>
      <c r="D123" s="1274"/>
      <c r="E123" s="1274"/>
      <c r="F123" s="1278"/>
      <c r="G123" s="1274"/>
      <c r="H123" s="1274"/>
      <c r="I123" s="1274"/>
      <c r="J123" s="1274"/>
      <c r="K123" s="1275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74" t="s">
        <v>1491</v>
      </c>
      <c r="C124" s="1274"/>
      <c r="D124" s="1274"/>
      <c r="E124" s="1274"/>
      <c r="F124" s="1278"/>
      <c r="G124" s="1274"/>
      <c r="H124" s="1274"/>
      <c r="I124" s="1274"/>
      <c r="J124" s="1274"/>
      <c r="K124" s="1275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74" t="s">
        <v>1490</v>
      </c>
      <c r="C125" s="1274"/>
      <c r="D125" s="1274"/>
      <c r="E125" s="1274"/>
      <c r="F125" s="1278"/>
      <c r="G125" s="1274"/>
      <c r="H125" s="1274"/>
      <c r="I125" s="1274"/>
      <c r="J125" s="1274"/>
      <c r="K125" s="1275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23" t="s">
        <v>1960</v>
      </c>
      <c r="C126" s="2524"/>
      <c r="D126" s="2524"/>
      <c r="E126" s="1274" t="s">
        <v>1886</v>
      </c>
      <c r="F126" s="1278"/>
      <c r="G126" s="1274"/>
      <c r="H126" s="1274"/>
      <c r="I126" s="1274"/>
      <c r="J126" s="1274"/>
      <c r="K126" s="1275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74" t="s">
        <v>1885</v>
      </c>
      <c r="C127" s="1274"/>
      <c r="D127" s="1274"/>
      <c r="E127" s="1274"/>
      <c r="F127" s="1278"/>
      <c r="G127" s="1274"/>
      <c r="H127" s="1274"/>
      <c r="I127" s="1274"/>
      <c r="J127" s="1274"/>
      <c r="K127" s="1275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74" t="s">
        <v>1887</v>
      </c>
      <c r="C128" s="1274"/>
      <c r="D128" s="1274"/>
      <c r="E128" s="1274"/>
      <c r="F128" s="1278"/>
      <c r="G128" s="1274"/>
      <c r="H128" s="1274"/>
      <c r="I128" s="1274"/>
      <c r="J128" s="1274"/>
      <c r="K128" s="1275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74" t="s">
        <v>1889</v>
      </c>
      <c r="C129" s="1274"/>
      <c r="D129" s="2525" t="s">
        <v>1959</v>
      </c>
      <c r="E129" s="2526"/>
      <c r="F129" s="2526"/>
      <c r="G129" s="1274" t="s">
        <v>1888</v>
      </c>
      <c r="H129" s="1274"/>
      <c r="I129" s="1274"/>
      <c r="J129" s="1274"/>
      <c r="K129" s="1275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74" t="s">
        <v>1492</v>
      </c>
      <c r="C130" s="1274"/>
      <c r="D130" s="1274"/>
      <c r="E130" s="1274"/>
      <c r="F130" s="1278"/>
      <c r="G130" s="1274"/>
      <c r="H130" s="1274"/>
      <c r="I130" s="1274"/>
      <c r="J130" s="1274"/>
      <c r="K130" s="1275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74" t="s">
        <v>1493</v>
      </c>
      <c r="C131" s="1274"/>
      <c r="D131" s="1274"/>
      <c r="E131" s="1274"/>
      <c r="F131" s="1278"/>
      <c r="G131" s="1274"/>
      <c r="H131" s="1274"/>
      <c r="I131" s="1274"/>
      <c r="J131" s="1274"/>
      <c r="K131" s="1275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74" t="s">
        <v>1502</v>
      </c>
      <c r="C132" s="1274"/>
      <c r="D132" s="1274"/>
      <c r="E132" s="1274"/>
      <c r="F132" s="1278"/>
      <c r="G132" s="1274"/>
      <c r="H132" s="1274"/>
      <c r="I132" s="1274"/>
      <c r="J132" s="1274"/>
      <c r="K132" s="1275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77" t="s">
        <v>1494</v>
      </c>
      <c r="C133" s="1276"/>
      <c r="D133" s="1276"/>
      <c r="E133" s="1276"/>
      <c r="F133" s="1806"/>
      <c r="G133" s="1276"/>
      <c r="H133" s="1276"/>
      <c r="I133" s="1276"/>
      <c r="J133" s="1276"/>
      <c r="K133" s="1277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74" t="s">
        <v>1503</v>
      </c>
      <c r="C134" s="1274"/>
      <c r="D134" s="1274"/>
      <c r="E134" s="1274"/>
      <c r="F134" s="1274"/>
      <c r="G134" s="1274"/>
      <c r="H134" s="1274"/>
      <c r="I134" s="1274"/>
      <c r="J134" s="1274"/>
      <c r="K134" s="1275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74" t="s">
        <v>1504</v>
      </c>
      <c r="C135" s="1274"/>
      <c r="D135" s="1274"/>
      <c r="E135" s="1274"/>
      <c r="F135" s="1274"/>
      <c r="G135" s="1274"/>
      <c r="H135" s="1274"/>
      <c r="I135" s="1274"/>
      <c r="J135" s="1274"/>
      <c r="K135" s="1275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74" t="s">
        <v>1505</v>
      </c>
      <c r="C136" s="1274"/>
      <c r="D136" s="1274"/>
      <c r="E136" s="1274"/>
      <c r="F136" s="1274"/>
      <c r="G136" s="1274"/>
      <c r="H136" s="1274"/>
      <c r="I136" s="1274"/>
      <c r="J136" s="1274"/>
      <c r="K136" s="1275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74" t="s">
        <v>1941</v>
      </c>
      <c r="C137" s="1274"/>
      <c r="D137" s="1274"/>
      <c r="E137" s="1274"/>
      <c r="F137" s="1274"/>
      <c r="G137" s="1274"/>
      <c r="H137" s="1274"/>
      <c r="I137" s="1274"/>
      <c r="J137" s="1274"/>
      <c r="K137" s="1275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74" t="s">
        <v>1507</v>
      </c>
      <c r="C138" s="1274"/>
      <c r="D138" s="1274"/>
      <c r="E138" s="1274"/>
      <c r="F138" s="1274"/>
      <c r="G138" s="1274"/>
      <c r="H138" s="1274"/>
      <c r="I138" s="1274"/>
      <c r="J138" s="1274"/>
      <c r="K138" s="1275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74" t="s">
        <v>1508</v>
      </c>
      <c r="C139" s="1274"/>
      <c r="D139" s="1274"/>
      <c r="E139" s="1274"/>
      <c r="F139" s="1274"/>
      <c r="G139" s="1274"/>
      <c r="H139" s="1274"/>
      <c r="I139" s="1274"/>
      <c r="J139" s="1274"/>
      <c r="K139" s="1275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74" t="s">
        <v>1311</v>
      </c>
      <c r="C140" s="1274"/>
      <c r="D140" s="1274"/>
      <c r="E140" s="1274"/>
      <c r="F140" s="1274"/>
      <c r="G140" s="1274"/>
      <c r="H140" s="1274"/>
      <c r="I140" s="1274"/>
      <c r="J140" s="1274"/>
      <c r="K140" s="1275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74" t="s">
        <v>1306</v>
      </c>
      <c r="C141" s="1274"/>
      <c r="D141" s="1274"/>
      <c r="E141" s="1274"/>
      <c r="F141" s="1274"/>
      <c r="G141" s="1274"/>
      <c r="H141" s="1274"/>
      <c r="I141" s="1274"/>
      <c r="J141" s="1274"/>
      <c r="K141" s="1275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77" t="s">
        <v>1307</v>
      </c>
      <c r="C142" s="1276"/>
      <c r="D142" s="1276"/>
      <c r="E142" s="1276"/>
      <c r="F142" s="1276"/>
      <c r="G142" s="1276"/>
      <c r="H142" s="1276"/>
      <c r="I142" s="1276"/>
      <c r="J142" s="1276"/>
      <c r="K142" s="1277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74" t="s">
        <v>1495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74" t="s">
        <v>1496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74" t="s">
        <v>1497</v>
      </c>
      <c r="C145" s="1274"/>
      <c r="D145" s="1274"/>
      <c r="E145" s="1274"/>
      <c r="F145" s="1274"/>
      <c r="G145" s="1274"/>
      <c r="H145" s="1274"/>
      <c r="I145" s="1274"/>
      <c r="J145" s="1274"/>
      <c r="K145" s="1275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74" t="s">
        <v>1334</v>
      </c>
      <c r="C146" s="1274"/>
      <c r="D146" s="1274"/>
      <c r="E146" s="1274"/>
      <c r="F146" s="1274"/>
      <c r="G146" s="1274"/>
      <c r="H146" s="1274"/>
      <c r="I146" s="1274"/>
      <c r="J146" s="1274"/>
      <c r="K146" s="1275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74" t="s">
        <v>1498</v>
      </c>
      <c r="C147" s="1274"/>
      <c r="D147" s="1274"/>
      <c r="E147" s="1274"/>
      <c r="F147" s="1274"/>
      <c r="G147" s="1274"/>
      <c r="H147" s="1274"/>
      <c r="I147" s="1274"/>
      <c r="J147" s="1274"/>
      <c r="K147" s="1275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74" t="s">
        <v>1499</v>
      </c>
      <c r="C148" s="1274"/>
      <c r="D148" s="1274"/>
      <c r="E148" s="1274"/>
      <c r="F148" s="1274"/>
      <c r="G148" s="1274"/>
      <c r="H148" s="1274"/>
      <c r="I148" s="1274"/>
      <c r="J148" s="1274"/>
      <c r="K148" s="1275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74" t="s">
        <v>1500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74" t="s">
        <v>1501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55" t="s">
        <v>1506</v>
      </c>
      <c r="C151" s="1756"/>
      <c r="D151" s="1756"/>
      <c r="E151" s="1756"/>
      <c r="F151" s="1757"/>
      <c r="G151" s="1756"/>
      <c r="H151" s="1756"/>
      <c r="I151" s="1756"/>
      <c r="J151" s="1756"/>
      <c r="K151" s="1758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59" t="s">
        <v>1881</v>
      </c>
      <c r="C152" s="1760"/>
      <c r="D152" s="2527">
        <f>+E8</f>
        <v>2021</v>
      </c>
      <c r="E152" s="2527"/>
      <c r="F152" s="2527"/>
      <c r="G152" s="1760" t="s">
        <v>1882</v>
      </c>
      <c r="H152" s="1760"/>
      <c r="I152" s="1760"/>
      <c r="J152" s="1760"/>
      <c r="K152" s="1761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59" t="s">
        <v>1449</v>
      </c>
      <c r="C153" s="1760"/>
      <c r="D153" s="1760"/>
      <c r="E153" s="1760"/>
      <c r="F153" s="1760"/>
      <c r="G153" s="1760"/>
      <c r="H153" s="1760"/>
      <c r="I153" s="1760"/>
      <c r="J153" s="1760"/>
      <c r="K153" s="1761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59" t="s">
        <v>1450</v>
      </c>
      <c r="C154" s="1760"/>
      <c r="D154" s="1760"/>
      <c r="E154" s="1760"/>
      <c r="F154" s="1760"/>
      <c r="G154" s="1760"/>
      <c r="H154" s="1760"/>
      <c r="I154" s="1760"/>
      <c r="J154" s="1760"/>
      <c r="K154" s="1761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59" t="s">
        <v>1451</v>
      </c>
      <c r="C155" s="1760"/>
      <c r="D155" s="1760"/>
      <c r="E155" s="1760"/>
      <c r="F155" s="1760"/>
      <c r="G155" s="1760"/>
      <c r="H155" s="1760"/>
      <c r="I155" s="1760"/>
      <c r="J155" s="1760"/>
      <c r="K155" s="1761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59" t="s">
        <v>1883</v>
      </c>
      <c r="C156" s="1760"/>
      <c r="D156" s="1760"/>
      <c r="E156" s="1760"/>
      <c r="F156" s="1760"/>
      <c r="G156" s="1760"/>
      <c r="H156" s="2528" t="s">
        <v>1961</v>
      </c>
      <c r="I156" s="2529"/>
      <c r="J156" s="2529"/>
      <c r="K156" s="2530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59"/>
      <c r="C157" s="1760"/>
      <c r="D157" s="1760"/>
      <c r="E157" s="1760"/>
      <c r="F157" s="1760"/>
      <c r="G157" s="1760"/>
      <c r="H157" s="1760"/>
      <c r="I157" s="1760"/>
      <c r="J157" s="1760"/>
      <c r="K157" s="1761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62" t="s">
        <v>1884</v>
      </c>
      <c r="C158" s="1763"/>
      <c r="D158" s="1763"/>
      <c r="E158" s="1763"/>
      <c r="F158" s="1764"/>
      <c r="G158" s="2521" t="s">
        <v>1958</v>
      </c>
      <c r="H158" s="2522"/>
      <c r="I158" s="2522"/>
      <c r="J158" s="1763"/>
      <c r="K158" s="1765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66" t="s">
        <v>1190</v>
      </c>
      <c r="C159" s="1748"/>
      <c r="D159" s="1748"/>
      <c r="E159" s="1748"/>
      <c r="F159" s="1748"/>
      <c r="G159" s="1748"/>
      <c r="H159" s="1748"/>
      <c r="I159" s="1748"/>
      <c r="J159" s="1748"/>
      <c r="K159" s="1750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66" t="s">
        <v>1224</v>
      </c>
      <c r="C160" s="1748"/>
      <c r="D160" s="1748"/>
      <c r="E160" s="1748"/>
      <c r="F160" s="1748"/>
      <c r="G160" s="1748"/>
      <c r="H160" s="1748"/>
      <c r="I160" s="1748"/>
      <c r="J160" s="1748"/>
      <c r="K160" s="1750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66" t="s">
        <v>1191</v>
      </c>
      <c r="C161" s="1748"/>
      <c r="D161" s="1748"/>
      <c r="E161" s="1748"/>
      <c r="F161" s="1748"/>
      <c r="G161" s="1748"/>
      <c r="H161" s="1748"/>
      <c r="I161" s="1748"/>
      <c r="J161" s="1748"/>
      <c r="K161" s="1750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66" t="s">
        <v>1192</v>
      </c>
      <c r="C162" s="1748"/>
      <c r="D162" s="1748"/>
      <c r="E162" s="1748"/>
      <c r="F162" s="1748"/>
      <c r="G162" s="1748"/>
      <c r="H162" s="1748"/>
      <c r="I162" s="1748"/>
      <c r="J162" s="1748"/>
      <c r="K162" s="1750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66" t="s">
        <v>1193</v>
      </c>
      <c r="C163" s="1748"/>
      <c r="D163" s="1748"/>
      <c r="E163" s="1748"/>
      <c r="F163" s="1748"/>
      <c r="G163" s="1748"/>
      <c r="H163" s="1748"/>
      <c r="I163" s="1748"/>
      <c r="J163" s="1748"/>
      <c r="K163" s="1750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66" t="s">
        <v>1194</v>
      </c>
      <c r="C164" s="1748"/>
      <c r="D164" s="1748"/>
      <c r="E164" s="1748"/>
      <c r="F164" s="1748"/>
      <c r="G164" s="1748"/>
      <c r="H164" s="1748"/>
      <c r="I164" s="1748"/>
      <c r="J164" s="1748"/>
      <c r="K164" s="1750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66" t="s">
        <v>1223</v>
      </c>
      <c r="C165" s="1748"/>
      <c r="D165" s="1748"/>
      <c r="E165" s="1748"/>
      <c r="F165" s="1748"/>
      <c r="G165" s="1748"/>
      <c r="H165" s="1748"/>
      <c r="I165" s="1748"/>
      <c r="J165" s="1748"/>
      <c r="K165" s="1750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66" t="s">
        <v>2176</v>
      </c>
      <c r="C166" s="1748"/>
      <c r="D166" s="1748"/>
      <c r="E166" s="1748"/>
      <c r="F166" s="1748"/>
      <c r="G166" s="1748"/>
      <c r="H166" s="1748"/>
      <c r="I166" s="1748"/>
      <c r="J166" s="1748"/>
      <c r="K166" s="1750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66" t="s">
        <v>2177</v>
      </c>
      <c r="C167" s="1748"/>
      <c r="D167" s="1748"/>
      <c r="E167" s="1748"/>
      <c r="F167" s="1748"/>
      <c r="G167" s="1748"/>
      <c r="H167" s="1748"/>
      <c r="I167" s="1748"/>
      <c r="J167" s="1748"/>
      <c r="K167" s="1750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66" t="s">
        <v>2178</v>
      </c>
      <c r="C168" s="1748"/>
      <c r="D168" s="1748"/>
      <c r="E168" s="1748"/>
      <c r="F168" s="1748"/>
      <c r="G168" s="1748"/>
      <c r="H168" s="1748"/>
      <c r="I168" s="1748"/>
      <c r="J168" s="1748"/>
      <c r="K168" s="1750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66" t="s">
        <v>2174</v>
      </c>
      <c r="C169" s="1748"/>
      <c r="D169" s="1748"/>
      <c r="E169" s="1748"/>
      <c r="F169" s="1748"/>
      <c r="G169" s="1748"/>
      <c r="H169" s="1748"/>
      <c r="I169" s="1748"/>
      <c r="J169" s="1748"/>
      <c r="K169" s="1750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67" t="s">
        <v>2175</v>
      </c>
      <c r="C170" s="1768"/>
      <c r="D170" s="1768"/>
      <c r="E170" s="1768"/>
      <c r="F170" s="1768"/>
      <c r="G170" s="1768"/>
      <c r="H170" s="1768"/>
      <c r="I170" s="1768"/>
      <c r="J170" s="1768"/>
      <c r="K170" s="1769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  <c r="U468" s="1393"/>
      <c r="X468" s="1393"/>
      <c r="Y468" s="1393"/>
    </row>
    <row r="469" spans="1:25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  <c r="U469" s="1393"/>
      <c r="X469" s="1393"/>
      <c r="Y469" s="1393"/>
    </row>
    <row r="470" spans="1:25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  <c r="U470" s="1393"/>
      <c r="X470" s="1393"/>
      <c r="Y470" s="1393"/>
    </row>
    <row r="471" spans="1:25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  <c r="U471" s="1393"/>
      <c r="X471" s="1393"/>
      <c r="Y471" s="1393"/>
    </row>
    <row r="472" spans="1:25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  <c r="U472" s="1393"/>
      <c r="X472" s="1393"/>
      <c r="Y472" s="1393"/>
    </row>
    <row r="473" spans="1:25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  <c r="U473" s="1393"/>
      <c r="X473" s="1393"/>
      <c r="Y473" s="1393"/>
    </row>
    <row r="474" spans="1:25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  <c r="U474" s="1393"/>
      <c r="X474" s="1393"/>
      <c r="Y474" s="1393"/>
    </row>
    <row r="475" spans="1:25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  <c r="U475" s="1393"/>
      <c r="X475" s="1393"/>
      <c r="Y475" s="1393"/>
    </row>
    <row r="476" spans="1:25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  <c r="U476" s="1393"/>
      <c r="X476" s="1393"/>
      <c r="Y476" s="1393"/>
    </row>
    <row r="477" spans="1:25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  <c r="U477" s="1393"/>
      <c r="X477" s="1393"/>
      <c r="Y477" s="1393"/>
    </row>
    <row r="478" spans="1:25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  <c r="U478" s="1393"/>
      <c r="X478" s="1393"/>
      <c r="Y478" s="1393"/>
    </row>
    <row r="479" spans="1:25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  <c r="U479" s="1393"/>
      <c r="X479" s="1393"/>
      <c r="Y479" s="1393"/>
    </row>
    <row r="480" spans="1:25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  <c r="U480" s="1393"/>
      <c r="X480" s="1393"/>
      <c r="Y480" s="1393"/>
    </row>
    <row r="481" spans="1:25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  <c r="U481" s="1393"/>
      <c r="X481" s="1393"/>
      <c r="Y481" s="1393"/>
    </row>
    <row r="482" spans="1:25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  <c r="U482" s="1393"/>
      <c r="X482" s="1393"/>
      <c r="Y482" s="1393"/>
    </row>
    <row r="483" spans="1:25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  <c r="U483" s="1393"/>
      <c r="X483" s="1393"/>
      <c r="Y483" s="1393"/>
    </row>
    <row r="484" spans="1:25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  <c r="U484" s="1393"/>
      <c r="X484" s="1393"/>
      <c r="Y484" s="1393"/>
    </row>
    <row r="485" spans="1:25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  <c r="U485" s="1393"/>
      <c r="X485" s="1393"/>
      <c r="Y485" s="1393"/>
    </row>
    <row r="486" spans="1:25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  <c r="U486" s="1393"/>
      <c r="X486" s="1393"/>
      <c r="Y486" s="1393"/>
    </row>
    <row r="487" spans="1:25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  <c r="U487" s="1393"/>
      <c r="X487" s="1393"/>
      <c r="Y487" s="1393"/>
    </row>
    <row r="488" spans="1:25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  <c r="U488" s="1393"/>
      <c r="X488" s="1393"/>
      <c r="Y488" s="1393"/>
    </row>
    <row r="489" spans="1:25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  <c r="U489" s="1393"/>
      <c r="X489" s="1393"/>
      <c r="Y489" s="1393"/>
    </row>
    <row r="490" spans="1:25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  <c r="U490" s="1393"/>
      <c r="X490" s="1393"/>
      <c r="Y490" s="1393"/>
    </row>
    <row r="491" spans="1:25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  <c r="U491" s="1393"/>
      <c r="X491" s="1393"/>
      <c r="Y491" s="1393"/>
    </row>
    <row r="492" spans="1:25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  <c r="U492" s="1393"/>
      <c r="X492" s="1393"/>
      <c r="Y492" s="1393"/>
    </row>
    <row r="493" spans="1:25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  <c r="U493" s="1393"/>
      <c r="X493" s="1393"/>
      <c r="Y493" s="1393"/>
    </row>
    <row r="494" spans="1:25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  <c r="U494" s="1393"/>
      <c r="X494" s="1393"/>
      <c r="Y494" s="1393"/>
    </row>
    <row r="495" spans="1:25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  <c r="U495" s="1393"/>
      <c r="X495" s="1393"/>
      <c r="Y495" s="1393"/>
    </row>
    <row r="496" spans="1:25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  <c r="U496" s="1393"/>
      <c r="X496" s="1393"/>
      <c r="Y496" s="1393"/>
    </row>
    <row r="497" spans="1:25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  <c r="U497" s="1393"/>
      <c r="X497" s="1393"/>
      <c r="Y497" s="1393"/>
    </row>
    <row r="498" spans="1:25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  <c r="U498" s="1393"/>
      <c r="X498" s="1393"/>
      <c r="Y498" s="1393"/>
    </row>
    <row r="499" spans="1:25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  <c r="U499" s="1393"/>
      <c r="X499" s="1393"/>
      <c r="Y499" s="1393"/>
    </row>
    <row r="500" spans="1:25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  <c r="U500" s="1393"/>
      <c r="X500" s="1393"/>
      <c r="Y500" s="1393"/>
    </row>
    <row r="501" spans="1:25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  <c r="U501" s="1393"/>
      <c r="X501" s="1393"/>
      <c r="Y501" s="1393"/>
    </row>
    <row r="502" spans="1:25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  <c r="U502" s="1393"/>
      <c r="X502" s="1393"/>
      <c r="Y502" s="1393"/>
    </row>
    <row r="503" spans="1:25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  <c r="U503" s="1393"/>
      <c r="X503" s="1393"/>
      <c r="Y503" s="1393"/>
    </row>
    <row r="504" spans="1:25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  <c r="U504" s="1393"/>
      <c r="X504" s="1393"/>
      <c r="Y504" s="1393"/>
    </row>
    <row r="505" spans="1:25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  <c r="U505" s="1393"/>
      <c r="X505" s="1393"/>
      <c r="Y505" s="1393"/>
    </row>
    <row r="506" spans="1:25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  <c r="U506" s="1393"/>
      <c r="X506" s="1393"/>
      <c r="Y506" s="1393"/>
    </row>
    <row r="507" spans="1:25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  <c r="U507" s="1393"/>
      <c r="X507" s="1393"/>
      <c r="Y507" s="1393"/>
    </row>
    <row r="508" spans="1:25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  <c r="U508" s="1393"/>
      <c r="X508" s="1393"/>
      <c r="Y508" s="1393"/>
    </row>
    <row r="509" spans="1:25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  <c r="U509" s="1393"/>
      <c r="X509" s="1393"/>
      <c r="Y509" s="1393"/>
    </row>
    <row r="510" spans="1:25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  <c r="U510" s="1393"/>
      <c r="X510" s="1393"/>
      <c r="Y510" s="1393"/>
    </row>
    <row r="511" spans="1:25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  <c r="U511" s="1393"/>
      <c r="X511" s="1393"/>
      <c r="Y511" s="1393"/>
    </row>
    <row r="512" spans="1:25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  <c r="U512" s="1393"/>
      <c r="X512" s="1393"/>
      <c r="Y512" s="1393"/>
    </row>
    <row r="513" spans="1:25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  <c r="U513" s="1393"/>
      <c r="X513" s="1393"/>
      <c r="Y513" s="1393"/>
    </row>
    <row r="514" spans="1:25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  <c r="U514" s="1393"/>
      <c r="X514" s="1393"/>
      <c r="Y514" s="1393"/>
    </row>
    <row r="515" spans="1:25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  <c r="U515" s="1393"/>
      <c r="X515" s="1393"/>
      <c r="Y515" s="1393"/>
    </row>
    <row r="516" spans="1:25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  <c r="U516" s="1393"/>
      <c r="X516" s="1393"/>
      <c r="Y516" s="1393"/>
    </row>
    <row r="517" spans="1:25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  <c r="U517" s="1393"/>
      <c r="X517" s="1393"/>
      <c r="Y517" s="1393"/>
    </row>
    <row r="518" spans="1:25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  <c r="U518" s="1393"/>
      <c r="X518" s="1393"/>
      <c r="Y518" s="1393"/>
    </row>
    <row r="519" spans="1:25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  <c r="U519" s="1393"/>
      <c r="X519" s="1393"/>
      <c r="Y519" s="1393"/>
    </row>
    <row r="520" spans="1:25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  <c r="U520" s="1393"/>
      <c r="X520" s="1393"/>
      <c r="Y520" s="1393"/>
    </row>
    <row r="521" spans="1:25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  <c r="U521" s="1393"/>
      <c r="X521" s="1393"/>
      <c r="Y521" s="1393"/>
    </row>
    <row r="522" spans="1:25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  <c r="U522" s="1393"/>
      <c r="X522" s="1393"/>
      <c r="Y522" s="1393"/>
    </row>
    <row r="523" spans="1:25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  <c r="U523" s="1393"/>
      <c r="X523" s="1393"/>
      <c r="Y523" s="1393"/>
    </row>
    <row r="524" spans="1:25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  <c r="U524" s="1393"/>
      <c r="X524" s="1393"/>
      <c r="Y524" s="1393"/>
    </row>
    <row r="525" spans="1:25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  <c r="U525" s="1393"/>
      <c r="X525" s="1393"/>
      <c r="Y525" s="1393"/>
    </row>
    <row r="526" spans="1:25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  <c r="U526" s="1393"/>
      <c r="X526" s="1393"/>
      <c r="Y526" s="1393"/>
    </row>
    <row r="527" spans="1:25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  <c r="U527" s="1393"/>
      <c r="X527" s="1393"/>
      <c r="Y527" s="1393"/>
    </row>
    <row r="528" spans="1:25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  <c r="U528" s="1393"/>
      <c r="X528" s="1393"/>
      <c r="Y528" s="1393"/>
    </row>
    <row r="529" spans="1:25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  <c r="U529" s="1393"/>
      <c r="X529" s="1393"/>
      <c r="Y529" s="1393"/>
    </row>
    <row r="530" spans="1:25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  <c r="U530" s="1393"/>
      <c r="X530" s="1393"/>
      <c r="Y530" s="1393"/>
    </row>
    <row r="531" spans="1:25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  <c r="U531" s="1393"/>
      <c r="X531" s="1393"/>
      <c r="Y531" s="1393"/>
    </row>
    <row r="532" spans="1:25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  <c r="U532" s="1393"/>
      <c r="X532" s="1393"/>
      <c r="Y532" s="1393"/>
    </row>
    <row r="533" spans="1:25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  <c r="U533" s="1393"/>
      <c r="X533" s="1393"/>
      <c r="Y533" s="1393"/>
    </row>
    <row r="534" spans="1:25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  <c r="U534" s="1393"/>
      <c r="X534" s="1393"/>
      <c r="Y534" s="1393"/>
    </row>
    <row r="535" spans="1:25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  <c r="U535" s="1393"/>
      <c r="X535" s="1393"/>
      <c r="Y535" s="1393"/>
    </row>
    <row r="536" spans="1:25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  <c r="U536" s="1393"/>
      <c r="X536" s="1393"/>
      <c r="Y536" s="1393"/>
    </row>
    <row r="537" spans="1:25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  <c r="U537" s="1393"/>
      <c r="X537" s="1393"/>
      <c r="Y537" s="1393"/>
    </row>
    <row r="538" spans="1:25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  <c r="U538" s="1393"/>
      <c r="X538" s="1393"/>
      <c r="Y538" s="1393"/>
    </row>
    <row r="539" spans="1:25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  <c r="U539" s="1393"/>
      <c r="X539" s="1393"/>
      <c r="Y539" s="1393"/>
    </row>
    <row r="540" spans="1:25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  <c r="U540" s="1393"/>
      <c r="X540" s="1393"/>
      <c r="Y540" s="1393"/>
    </row>
    <row r="541" spans="1:25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  <c r="U541" s="1393"/>
      <c r="X541" s="1393"/>
      <c r="Y541" s="1393"/>
    </row>
    <row r="542" spans="1:25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  <c r="U542" s="1393"/>
      <c r="X542" s="1393"/>
      <c r="Y542" s="1393"/>
    </row>
    <row r="543" spans="1:25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  <c r="U543" s="1393"/>
      <c r="X543" s="1393"/>
      <c r="Y543" s="1393"/>
    </row>
    <row r="544" spans="1:25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  <c r="U544" s="1393"/>
      <c r="X544" s="1393"/>
      <c r="Y544" s="1393"/>
    </row>
    <row r="545" spans="1:25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  <c r="U545" s="1393"/>
      <c r="X545" s="1393"/>
      <c r="Y545" s="1393"/>
    </row>
    <row r="546" spans="1:25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  <c r="U546" s="1393"/>
      <c r="X546" s="1393"/>
      <c r="Y546" s="1393"/>
    </row>
    <row r="547" spans="1:25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  <c r="U547" s="1393"/>
      <c r="X547" s="1393"/>
      <c r="Y547" s="1393"/>
    </row>
    <row r="548" spans="1:25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  <c r="U548" s="1393"/>
      <c r="X548" s="1393"/>
      <c r="Y548" s="1393"/>
    </row>
    <row r="549" spans="1:25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  <c r="U549" s="1393"/>
      <c r="X549" s="1393"/>
      <c r="Y549" s="1393"/>
    </row>
    <row r="550" spans="1:25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  <c r="U550" s="1393"/>
      <c r="X550" s="1393"/>
      <c r="Y550" s="1393"/>
    </row>
    <row r="551" spans="1:25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  <c r="U551" s="1393"/>
      <c r="X551" s="1393"/>
      <c r="Y551" s="1393"/>
    </row>
    <row r="552" spans="1:25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  <c r="U552" s="1393"/>
      <c r="X552" s="1393"/>
      <c r="Y552" s="1393"/>
    </row>
    <row r="553" spans="1:25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  <c r="U553" s="1393"/>
      <c r="X553" s="1393"/>
      <c r="Y553" s="1393"/>
    </row>
    <row r="554" spans="1:25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  <c r="U554" s="1393"/>
      <c r="X554" s="1393"/>
      <c r="Y554" s="1393"/>
    </row>
    <row r="555" spans="1:25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  <c r="U555" s="1393"/>
      <c r="X555" s="1393"/>
      <c r="Y555" s="1393"/>
    </row>
    <row r="556" spans="1:25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  <c r="U556" s="1393"/>
      <c r="X556" s="1393"/>
      <c r="Y556" s="1393"/>
    </row>
    <row r="557" spans="1:25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  <c r="U557" s="1393"/>
      <c r="X557" s="1393"/>
      <c r="Y557" s="1393"/>
    </row>
    <row r="558" spans="1:25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  <c r="U558" s="1393"/>
      <c r="X558" s="1393"/>
      <c r="Y558" s="1393"/>
    </row>
    <row r="559" spans="1:25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  <c r="U559" s="1393"/>
      <c r="X559" s="1393"/>
      <c r="Y559" s="1393"/>
    </row>
    <row r="560" spans="1:25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  <c r="U560" s="1393"/>
      <c r="X560" s="1393"/>
      <c r="Y560" s="1393"/>
    </row>
    <row r="561" spans="1:25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  <c r="U561" s="1393"/>
      <c r="X561" s="1393"/>
      <c r="Y561" s="1393"/>
    </row>
    <row r="562" spans="1:25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  <c r="U562" s="1393"/>
      <c r="X562" s="1393"/>
      <c r="Y562" s="1393"/>
    </row>
    <row r="563" spans="1:25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  <c r="U563" s="1393"/>
      <c r="X563" s="1393"/>
      <c r="Y563" s="1393"/>
    </row>
    <row r="564" spans="1:25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  <c r="U564" s="1393"/>
      <c r="X564" s="1393"/>
      <c r="Y564" s="1393"/>
    </row>
    <row r="565" spans="1:25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  <c r="U565" s="1393"/>
      <c r="X565" s="1393"/>
      <c r="Y565" s="1393"/>
    </row>
    <row r="566" spans="1:25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  <c r="U566" s="1393"/>
      <c r="X566" s="1393"/>
      <c r="Y566" s="1393"/>
    </row>
    <row r="567" spans="1:25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  <c r="U567" s="1393"/>
      <c r="X567" s="1393"/>
      <c r="Y567" s="1393"/>
    </row>
    <row r="568" spans="1:25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  <c r="U568" s="1393"/>
      <c r="X568" s="1393"/>
      <c r="Y568" s="1393"/>
    </row>
    <row r="569" spans="1:25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  <c r="U569" s="1393"/>
      <c r="X569" s="1393"/>
      <c r="Y569" s="1393"/>
    </row>
    <row r="570" spans="1:25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  <c r="U570" s="1393"/>
      <c r="X570" s="1393"/>
      <c r="Y570" s="1393"/>
    </row>
    <row r="571" spans="1:25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  <c r="U571" s="1393"/>
      <c r="X571" s="1393"/>
      <c r="Y571" s="1393"/>
    </row>
    <row r="572" spans="1:25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  <c r="U572" s="1393"/>
      <c r="X572" s="1393"/>
      <c r="Y572" s="1393"/>
    </row>
    <row r="573" spans="1:25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  <c r="U573" s="1393"/>
      <c r="X573" s="1393"/>
      <c r="Y573" s="1393"/>
    </row>
    <row r="574" spans="1:25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  <c r="U574" s="1393"/>
      <c r="X574" s="1393"/>
      <c r="Y574" s="1393"/>
    </row>
    <row r="575" spans="1:25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  <c r="U575" s="1393"/>
      <c r="X575" s="1393"/>
      <c r="Y575" s="1393"/>
    </row>
    <row r="576" spans="1:25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  <c r="U576" s="1393"/>
      <c r="X576" s="1393"/>
      <c r="Y576" s="1393"/>
    </row>
    <row r="577" spans="1:25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  <c r="U577" s="1393"/>
      <c r="X577" s="1393"/>
      <c r="Y577" s="1393"/>
    </row>
    <row r="578" spans="1:25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  <c r="U578" s="1393"/>
      <c r="X578" s="1393"/>
      <c r="Y578" s="1393"/>
    </row>
    <row r="579" spans="1:25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  <c r="U579" s="1393"/>
      <c r="X579" s="1393"/>
      <c r="Y579" s="1393"/>
    </row>
    <row r="580" spans="1:25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  <c r="U580" s="1393"/>
      <c r="X580" s="1393"/>
      <c r="Y580" s="1393"/>
    </row>
    <row r="581" spans="1:25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  <c r="U581" s="1393"/>
      <c r="X581" s="1393"/>
      <c r="Y581" s="1393"/>
    </row>
    <row r="582" spans="1:25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  <c r="U582" s="1393"/>
      <c r="X582" s="1393"/>
      <c r="Y582" s="1393"/>
    </row>
    <row r="583" spans="1:25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  <c r="U583" s="1393"/>
      <c r="X583" s="1393"/>
      <c r="Y583" s="1393"/>
    </row>
    <row r="584" spans="1:25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  <c r="U584" s="1393"/>
      <c r="X584" s="1393"/>
      <c r="Y584" s="1393"/>
    </row>
    <row r="585" spans="1:25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  <c r="U585" s="1393"/>
      <c r="X585" s="1393"/>
      <c r="Y585" s="1393"/>
    </row>
    <row r="586" spans="1:25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  <c r="U586" s="1393"/>
      <c r="X586" s="1393"/>
      <c r="Y586" s="1393"/>
    </row>
    <row r="587" spans="1:25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  <c r="U587" s="1393"/>
      <c r="X587" s="1393"/>
      <c r="Y587" s="1393"/>
    </row>
    <row r="588" spans="1:25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  <c r="U588" s="1393"/>
      <c r="X588" s="1393"/>
      <c r="Y588" s="1393"/>
    </row>
    <row r="589" spans="1:25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  <c r="U589" s="1393"/>
      <c r="X589" s="1393"/>
      <c r="Y589" s="1393"/>
    </row>
    <row r="590" spans="1:25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  <c r="U590" s="1393"/>
      <c r="X590" s="1393"/>
      <c r="Y590" s="1393"/>
    </row>
    <row r="591" spans="1:25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  <c r="U591" s="1393"/>
      <c r="X591" s="1393"/>
      <c r="Y591" s="1393"/>
    </row>
    <row r="592" spans="1:25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  <c r="U592" s="1393"/>
      <c r="X592" s="1393"/>
      <c r="Y592" s="1393"/>
    </row>
    <row r="593" spans="1:25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  <c r="U593" s="1393"/>
      <c r="X593" s="1393"/>
      <c r="Y593" s="1393"/>
    </row>
    <row r="594" spans="1:25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  <c r="U594" s="1393"/>
      <c r="X594" s="1393"/>
      <c r="Y594" s="1393"/>
    </row>
    <row r="595" spans="1:25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  <c r="U595" s="1393"/>
      <c r="X595" s="1393"/>
      <c r="Y595" s="1393"/>
    </row>
    <row r="596" spans="1:25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  <c r="U596" s="1393"/>
      <c r="X596" s="1393"/>
      <c r="Y596" s="1393"/>
    </row>
    <row r="597" spans="1:25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  <c r="U597" s="1393"/>
      <c r="X597" s="1393"/>
      <c r="Y597" s="1393"/>
    </row>
    <row r="598" spans="1:25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  <c r="U598" s="1393"/>
      <c r="X598" s="1393"/>
      <c r="Y598" s="1393"/>
    </row>
    <row r="599" spans="1:25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  <c r="U599" s="1393"/>
      <c r="X599" s="1393"/>
      <c r="Y599" s="1393"/>
    </row>
    <row r="600" spans="1:25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  <c r="U600" s="1393"/>
      <c r="X600" s="1393"/>
      <c r="Y600" s="1393"/>
    </row>
    <row r="601" spans="1:25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  <c r="U601" s="1393"/>
      <c r="X601" s="1393"/>
      <c r="Y601" s="1393"/>
    </row>
    <row r="602" spans="1:25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  <c r="U602" s="1393"/>
      <c r="X602" s="1393"/>
      <c r="Y602" s="1393"/>
    </row>
    <row r="603" spans="1:25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  <c r="U603" s="1393"/>
      <c r="X603" s="1393"/>
      <c r="Y603" s="1393"/>
    </row>
    <row r="604" spans="1:25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  <c r="U604" s="1393"/>
      <c r="X604" s="1393"/>
      <c r="Y604" s="1393"/>
    </row>
    <row r="605" spans="1:25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  <c r="U605" s="1393"/>
      <c r="X605" s="1393"/>
      <c r="Y605" s="1393"/>
    </row>
    <row r="606" spans="1:25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  <c r="U606" s="1393"/>
      <c r="X606" s="1393"/>
      <c r="Y606" s="1393"/>
    </row>
    <row r="607" spans="1:25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  <c r="U607" s="1393"/>
      <c r="X607" s="1393"/>
      <c r="Y607" s="1393"/>
    </row>
    <row r="608" spans="1:25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  <c r="U608" s="1393"/>
      <c r="X608" s="1393"/>
      <c r="Y608" s="1393"/>
    </row>
    <row r="609" spans="1:25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  <c r="U609" s="1393"/>
      <c r="X609" s="1393"/>
      <c r="Y609" s="1393"/>
    </row>
    <row r="610" spans="1:25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  <c r="U610" s="1393"/>
      <c r="X610" s="1393"/>
      <c r="Y610" s="1393"/>
    </row>
    <row r="611" spans="1:25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  <c r="U611" s="1393"/>
      <c r="X611" s="1393"/>
      <c r="Y611" s="1393"/>
    </row>
    <row r="612" spans="1:25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  <c r="U612" s="1393"/>
      <c r="X612" s="1393"/>
      <c r="Y612" s="1393"/>
    </row>
    <row r="613" spans="1:25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  <c r="U613" s="1393"/>
      <c r="X613" s="1393"/>
      <c r="Y613" s="1393"/>
    </row>
    <row r="614" spans="1:25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  <c r="U614" s="1393"/>
      <c r="X614" s="1393"/>
      <c r="Y614" s="1393"/>
    </row>
    <row r="615" spans="1:25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  <c r="U615" s="1393"/>
      <c r="X615" s="1393"/>
      <c r="Y615" s="1393"/>
    </row>
    <row r="616" spans="1:25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  <c r="U616" s="1393"/>
      <c r="X616" s="1393"/>
      <c r="Y616" s="1393"/>
    </row>
    <row r="617" spans="1:25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  <c r="U617" s="1393"/>
      <c r="X617" s="1393"/>
      <c r="Y617" s="1393"/>
    </row>
    <row r="618" spans="1:25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  <c r="U618" s="1393"/>
      <c r="X618" s="1393"/>
      <c r="Y618" s="1393"/>
    </row>
    <row r="619" spans="1:25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  <c r="U619" s="1393"/>
      <c r="X619" s="1393"/>
      <c r="Y619" s="1393"/>
    </row>
    <row r="620" spans="1:25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  <c r="U620" s="1393"/>
      <c r="X620" s="1393"/>
      <c r="Y620" s="1393"/>
    </row>
    <row r="621" spans="1:25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  <c r="U621" s="1393"/>
      <c r="X621" s="1393"/>
      <c r="Y621" s="1393"/>
    </row>
    <row r="622" spans="1:25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  <c r="U622" s="1393"/>
      <c r="X622" s="1393"/>
      <c r="Y622" s="1393"/>
    </row>
    <row r="623" spans="1:25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  <c r="U623" s="1393"/>
      <c r="X623" s="1393"/>
      <c r="Y623" s="1393"/>
    </row>
    <row r="624" spans="1:25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  <c r="U624" s="1393"/>
      <c r="X624" s="1393"/>
      <c r="Y624" s="1393"/>
    </row>
    <row r="625" spans="1:25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  <c r="U625" s="1393"/>
      <c r="X625" s="1393"/>
      <c r="Y625" s="1393"/>
    </row>
    <row r="626" spans="1:25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  <c r="U626" s="1393"/>
      <c r="X626" s="1393"/>
      <c r="Y626" s="1393"/>
    </row>
    <row r="627" spans="1:25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  <c r="U627" s="1393"/>
      <c r="X627" s="1393"/>
      <c r="Y627" s="1393"/>
    </row>
    <row r="628" spans="1:25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  <c r="U628" s="1393"/>
      <c r="X628" s="1393"/>
      <c r="Y628" s="1393"/>
    </row>
    <row r="629" spans="1:25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  <c r="U629" s="1393"/>
      <c r="X629" s="1393"/>
      <c r="Y629" s="1393"/>
    </row>
    <row r="630" spans="1:25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  <c r="U630" s="1393"/>
      <c r="X630" s="1393"/>
      <c r="Y630" s="1393"/>
    </row>
    <row r="631" spans="1:25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  <c r="U631" s="1393"/>
      <c r="X631" s="1393"/>
      <c r="Y631" s="1393"/>
    </row>
    <row r="632" spans="1:25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  <c r="U632" s="1393"/>
      <c r="X632" s="1393"/>
      <c r="Y632" s="1393"/>
    </row>
    <row r="633" spans="1:25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  <c r="U633" s="1393"/>
      <c r="X633" s="1393"/>
      <c r="Y633" s="1393"/>
    </row>
    <row r="634" spans="1:25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  <c r="U634" s="1393"/>
      <c r="X634" s="1393"/>
      <c r="Y634" s="1393"/>
    </row>
    <row r="635" spans="1:25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  <c r="U635" s="1393"/>
      <c r="X635" s="1393"/>
      <c r="Y635" s="1393"/>
    </row>
    <row r="636" spans="1:25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  <c r="U636" s="1393"/>
      <c r="X636" s="1393"/>
      <c r="Y636" s="1393"/>
    </row>
    <row r="637" spans="1:25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  <c r="U637" s="1393"/>
      <c r="X637" s="1393"/>
      <c r="Y637" s="1393"/>
    </row>
    <row r="638" spans="1:25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  <c r="U638" s="1393"/>
      <c r="X638" s="1393"/>
      <c r="Y638" s="1393"/>
    </row>
    <row r="639" spans="1:25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  <c r="U639" s="1393"/>
      <c r="X639" s="1393"/>
      <c r="Y639" s="1393"/>
    </row>
    <row r="640" spans="1:25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  <c r="U640" s="1393"/>
      <c r="X640" s="1393"/>
      <c r="Y640" s="1393"/>
    </row>
    <row r="641" spans="1:25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  <c r="U641" s="1393"/>
      <c r="X641" s="1393"/>
      <c r="Y641" s="1393"/>
    </row>
    <row r="642" spans="1:25" s="1395" customFormat="1">
      <c r="A642" s="1392"/>
      <c r="B642" s="1392"/>
      <c r="C642" s="1392"/>
      <c r="D642" s="1392"/>
      <c r="E642" s="1392"/>
      <c r="F642" s="1392"/>
      <c r="G642" s="1392"/>
      <c r="H642" s="1392"/>
      <c r="I642" s="1392"/>
      <c r="J642" s="1392"/>
      <c r="K642" s="1392"/>
      <c r="L642" s="1392"/>
      <c r="N642" s="1396"/>
      <c r="O642" s="1393"/>
      <c r="P642" s="1393"/>
      <c r="Q642" s="1392"/>
      <c r="R642" s="1393"/>
      <c r="S642" s="1393"/>
      <c r="T642" s="1393"/>
      <c r="U642" s="1393"/>
      <c r="X642" s="1393"/>
      <c r="Y642" s="1393"/>
    </row>
    <row r="643" spans="1:25" s="1395" customFormat="1">
      <c r="A643" s="1392"/>
      <c r="B643" s="1392"/>
      <c r="C643" s="1392"/>
      <c r="D643" s="1392"/>
      <c r="E643" s="1392"/>
      <c r="F643" s="1392"/>
      <c r="G643" s="1392"/>
      <c r="H643" s="1392"/>
      <c r="I643" s="1392"/>
      <c r="J643" s="1392"/>
      <c r="K643" s="1392"/>
      <c r="L643" s="1392"/>
      <c r="N643" s="1396"/>
      <c r="O643" s="1393"/>
      <c r="P643" s="1393"/>
      <c r="Q643" s="1392"/>
      <c r="R643" s="1393"/>
      <c r="S643" s="1393"/>
      <c r="T643" s="1393"/>
      <c r="U643" s="1393"/>
      <c r="X643" s="1393"/>
      <c r="Y643" s="1393"/>
    </row>
    <row r="644" spans="1:25" s="1395" customFormat="1">
      <c r="A644" s="1392"/>
      <c r="B644" s="1392"/>
      <c r="C644" s="1392"/>
      <c r="D644" s="1392"/>
      <c r="E644" s="1392"/>
      <c r="F644" s="1392"/>
      <c r="G644" s="1392"/>
      <c r="H644" s="1392"/>
      <c r="I644" s="1392"/>
      <c r="J644" s="1392"/>
      <c r="K644" s="1392"/>
      <c r="L644" s="1392"/>
      <c r="N644" s="1396"/>
      <c r="O644" s="1393"/>
      <c r="P644" s="1393"/>
      <c r="Q644" s="1392"/>
      <c r="R644" s="1393"/>
      <c r="S644" s="1393"/>
      <c r="T644" s="1393"/>
      <c r="U644" s="1393"/>
      <c r="X644" s="1393"/>
      <c r="Y644" s="1393"/>
    </row>
    <row r="645" spans="1:25" s="1395" customFormat="1">
      <c r="A645" s="1392"/>
      <c r="B645" s="1392"/>
      <c r="C645" s="1392"/>
      <c r="D645" s="1392"/>
      <c r="E645" s="1392"/>
      <c r="F645" s="1392"/>
      <c r="G645" s="1392"/>
      <c r="H645" s="1392"/>
      <c r="I645" s="1392"/>
      <c r="J645" s="1392"/>
      <c r="K645" s="1392"/>
      <c r="L645" s="1392"/>
      <c r="N645" s="1396"/>
      <c r="O645" s="1393"/>
      <c r="P645" s="1393"/>
      <c r="Q645" s="1392"/>
      <c r="R645" s="1393"/>
      <c r="S645" s="1393"/>
      <c r="T645" s="1393"/>
      <c r="U645" s="1393"/>
      <c r="X645" s="1393"/>
      <c r="Y645" s="1393"/>
    </row>
    <row r="646" spans="1:25" s="1395" customFormat="1">
      <c r="A646" s="1392"/>
      <c r="B646" s="1392"/>
      <c r="C646" s="1392"/>
      <c r="D646" s="1392"/>
      <c r="E646" s="1392"/>
      <c r="F646" s="1392"/>
      <c r="G646" s="1392"/>
      <c r="H646" s="1392"/>
      <c r="I646" s="1392"/>
      <c r="J646" s="1392"/>
      <c r="K646" s="1392"/>
      <c r="L646" s="1392"/>
      <c r="N646" s="1396"/>
      <c r="O646" s="1393"/>
      <c r="P646" s="1393"/>
      <c r="Q646" s="1392"/>
      <c r="R646" s="1393"/>
      <c r="S646" s="1393"/>
      <c r="T646" s="1393"/>
      <c r="U646" s="1393"/>
      <c r="X646" s="1393"/>
      <c r="Y646" s="1393"/>
    </row>
    <row r="647" spans="1:25" s="1395" customFormat="1">
      <c r="A647" s="1392"/>
      <c r="B647" s="1392"/>
      <c r="C647" s="1392"/>
      <c r="D647" s="1392"/>
      <c r="E647" s="1392"/>
      <c r="F647" s="1392"/>
      <c r="G647" s="1392"/>
      <c r="H647" s="1392"/>
      <c r="I647" s="1392"/>
      <c r="J647" s="1392"/>
      <c r="K647" s="1392"/>
      <c r="L647" s="1392"/>
      <c r="N647" s="1396"/>
      <c r="O647" s="1393"/>
      <c r="P647" s="1393"/>
      <c r="Q647" s="1392"/>
      <c r="R647" s="1393"/>
      <c r="S647" s="1393"/>
      <c r="T647" s="1393"/>
      <c r="U647" s="1393"/>
      <c r="X647" s="1393"/>
      <c r="Y647" s="1393"/>
    </row>
    <row r="648" spans="1:25" s="1395" customFormat="1">
      <c r="A648" s="1392"/>
      <c r="B648" s="1392"/>
      <c r="C648" s="1392"/>
      <c r="D648" s="1392"/>
      <c r="E648" s="1392"/>
      <c r="F648" s="1392"/>
      <c r="G648" s="1392"/>
      <c r="H648" s="1392"/>
      <c r="I648" s="1392"/>
      <c r="J648" s="1392"/>
      <c r="K648" s="1392"/>
      <c r="L648" s="1392"/>
      <c r="N648" s="1396"/>
      <c r="O648" s="1393"/>
      <c r="P648" s="1393"/>
      <c r="Q648" s="1392"/>
      <c r="R648" s="1393"/>
      <c r="S648" s="1393"/>
      <c r="T648" s="1393"/>
      <c r="U648" s="1393"/>
      <c r="X648" s="1393"/>
      <c r="Y648" s="1393"/>
    </row>
    <row r="649" spans="1:25" s="1395" customFormat="1">
      <c r="A649" s="1392"/>
      <c r="B649" s="1392"/>
      <c r="C649" s="1392"/>
      <c r="D649" s="1392"/>
      <c r="E649" s="1392"/>
      <c r="F649" s="1392"/>
      <c r="G649" s="1392"/>
      <c r="H649" s="1392"/>
      <c r="I649" s="1392"/>
      <c r="J649" s="1392"/>
      <c r="K649" s="1392"/>
      <c r="L649" s="1392"/>
      <c r="N649" s="1396"/>
      <c r="O649" s="1393"/>
      <c r="P649" s="1393"/>
      <c r="Q649" s="1392"/>
      <c r="R649" s="1393"/>
      <c r="S649" s="1393"/>
      <c r="T649" s="1393"/>
      <c r="U649" s="1393"/>
      <c r="X649" s="1393"/>
      <c r="Y649" s="1393"/>
    </row>
    <row r="650" spans="1:25" s="1395" customFormat="1">
      <c r="A650" s="1392"/>
      <c r="B650" s="1392"/>
      <c r="C650" s="1392"/>
      <c r="D650" s="1392"/>
      <c r="E650" s="1392"/>
      <c r="F650" s="1392"/>
      <c r="G650" s="1392"/>
      <c r="H650" s="1392"/>
      <c r="I650" s="1392"/>
      <c r="J650" s="1392"/>
      <c r="K650" s="1392"/>
      <c r="L650" s="1392"/>
      <c r="N650" s="1396"/>
      <c r="O650" s="1393"/>
      <c r="P650" s="1393"/>
      <c r="Q650" s="1392"/>
      <c r="R650" s="1393"/>
      <c r="S650" s="1393"/>
      <c r="T650" s="1393"/>
      <c r="U650" s="1393"/>
      <c r="X650" s="1393"/>
      <c r="Y650" s="1393"/>
    </row>
    <row r="651" spans="1:25" s="1395" customFormat="1">
      <c r="A651" s="1392"/>
      <c r="B651" s="1392"/>
      <c r="C651" s="1392"/>
      <c r="D651" s="1392"/>
      <c r="E651" s="1392"/>
      <c r="F651" s="1392"/>
      <c r="G651" s="1392"/>
      <c r="H651" s="1392"/>
      <c r="I651" s="1392"/>
      <c r="J651" s="1392"/>
      <c r="K651" s="1392"/>
      <c r="L651" s="1392"/>
      <c r="N651" s="1396"/>
      <c r="O651" s="1393"/>
      <c r="P651" s="1393"/>
      <c r="Q651" s="1392"/>
      <c r="R651" s="1393"/>
      <c r="S651" s="1393"/>
      <c r="T651" s="1393"/>
      <c r="U651" s="1393"/>
      <c r="X651" s="1393"/>
      <c r="Y651" s="1393"/>
    </row>
    <row r="652" spans="1:25" s="1395" customFormat="1">
      <c r="A652" s="1392"/>
      <c r="B652" s="1392"/>
      <c r="C652" s="1392"/>
      <c r="D652" s="1392"/>
      <c r="E652" s="1392"/>
      <c r="F652" s="1392"/>
      <c r="G652" s="1392"/>
      <c r="H652" s="1392"/>
      <c r="I652" s="1392"/>
      <c r="J652" s="1392"/>
      <c r="K652" s="1392"/>
      <c r="L652" s="1392"/>
      <c r="N652" s="1396"/>
      <c r="O652" s="1393"/>
      <c r="P652" s="1393"/>
      <c r="Q652" s="1392"/>
      <c r="R652" s="1393"/>
      <c r="S652" s="1393"/>
      <c r="T652" s="1393"/>
      <c r="U652" s="1393"/>
      <c r="X652" s="1393"/>
      <c r="Y652" s="1393"/>
    </row>
    <row r="653" spans="1:25" s="1395" customFormat="1">
      <c r="A653" s="1392"/>
      <c r="B653" s="1392"/>
      <c r="C653" s="1392"/>
      <c r="D653" s="1392"/>
      <c r="E653" s="1392"/>
      <c r="F653" s="1392"/>
      <c r="G653" s="1392"/>
      <c r="H653" s="1392"/>
      <c r="I653" s="1392"/>
      <c r="J653" s="1392"/>
      <c r="K653" s="1392"/>
      <c r="L653" s="1392"/>
      <c r="N653" s="1396"/>
      <c r="O653" s="1393"/>
      <c r="P653" s="1393"/>
      <c r="Q653" s="1392"/>
      <c r="R653" s="1393"/>
      <c r="S653" s="1393"/>
      <c r="T653" s="1393"/>
      <c r="U653" s="1393"/>
      <c r="X653" s="1393"/>
      <c r="Y653" s="1393"/>
    </row>
    <row r="654" spans="1:25" s="1395" customFormat="1">
      <c r="A654" s="1392"/>
      <c r="B654" s="1392"/>
      <c r="C654" s="1392"/>
      <c r="D654" s="1392"/>
      <c r="E654" s="1392"/>
      <c r="F654" s="1392"/>
      <c r="G654" s="1392"/>
      <c r="H654" s="1392"/>
      <c r="I654" s="1392"/>
      <c r="J654" s="1392"/>
      <c r="K654" s="1392"/>
      <c r="L654" s="1392"/>
      <c r="N654" s="1396"/>
      <c r="O654" s="1393"/>
      <c r="P654" s="1393"/>
      <c r="Q654" s="1392"/>
      <c r="R654" s="1393"/>
      <c r="S654" s="1393"/>
      <c r="T654" s="1393"/>
      <c r="U654" s="1393"/>
      <c r="X654" s="1393"/>
      <c r="Y654" s="1393"/>
    </row>
    <row r="655" spans="1:25" s="1395" customFormat="1">
      <c r="A655" s="1392"/>
      <c r="B655" s="1392"/>
      <c r="C655" s="1392"/>
      <c r="D655" s="1392"/>
      <c r="E655" s="1392"/>
      <c r="F655" s="1392"/>
      <c r="G655" s="1392"/>
      <c r="H655" s="1392"/>
      <c r="I655" s="1392"/>
      <c r="J655" s="1392"/>
      <c r="K655" s="1392"/>
      <c r="L655" s="1392"/>
      <c r="N655" s="1396"/>
      <c r="O655" s="1393"/>
      <c r="P655" s="1393"/>
      <c r="Q655" s="1392"/>
      <c r="R655" s="1393"/>
      <c r="S655" s="1393"/>
      <c r="T655" s="1393"/>
      <c r="U655" s="1393"/>
      <c r="X655" s="1393"/>
      <c r="Y655" s="1393"/>
    </row>
    <row r="656" spans="1:25" s="1395" customFormat="1">
      <c r="A656" s="1392"/>
      <c r="B656" s="1392"/>
      <c r="C656" s="1392"/>
      <c r="D656" s="1392"/>
      <c r="E656" s="1392"/>
      <c r="F656" s="1392"/>
      <c r="G656" s="1392"/>
      <c r="H656" s="1392"/>
      <c r="I656" s="1392"/>
      <c r="J656" s="1392"/>
      <c r="K656" s="1392"/>
      <c r="L656" s="1392"/>
      <c r="N656" s="1396"/>
      <c r="O656" s="1393"/>
      <c r="P656" s="1393"/>
      <c r="Q656" s="1392"/>
      <c r="R656" s="1393"/>
      <c r="S656" s="1393"/>
      <c r="T656" s="1393"/>
      <c r="U656" s="1393"/>
      <c r="X656" s="1393"/>
      <c r="Y656" s="1393"/>
    </row>
    <row r="657" spans="1:25" s="1395" customFormat="1">
      <c r="A657" s="1392"/>
      <c r="B657" s="1392"/>
      <c r="C657" s="1392"/>
      <c r="D657" s="1392"/>
      <c r="E657" s="1392"/>
      <c r="F657" s="1392"/>
      <c r="G657" s="1392"/>
      <c r="H657" s="1392"/>
      <c r="I657" s="1392"/>
      <c r="J657" s="1392"/>
      <c r="K657" s="1392"/>
      <c r="L657" s="1392"/>
      <c r="N657" s="1396"/>
      <c r="O657" s="1393"/>
      <c r="P657" s="1393"/>
      <c r="Q657" s="1392"/>
      <c r="R657" s="1393"/>
      <c r="S657" s="1393"/>
      <c r="T657" s="1393"/>
      <c r="U657" s="1393"/>
      <c r="X657" s="1393"/>
      <c r="Y657" s="1393"/>
    </row>
    <row r="658" spans="1:25" s="1395" customFormat="1">
      <c r="A658" s="1392"/>
      <c r="B658" s="1392"/>
      <c r="C658" s="1392"/>
      <c r="D658" s="1392"/>
      <c r="E658" s="1392"/>
      <c r="F658" s="1392"/>
      <c r="G658" s="1392"/>
      <c r="H658" s="1392"/>
      <c r="I658" s="1392"/>
      <c r="J658" s="1392"/>
      <c r="K658" s="1392"/>
      <c r="L658" s="1392"/>
      <c r="N658" s="1396"/>
      <c r="O658" s="1393"/>
      <c r="P658" s="1393"/>
      <c r="Q658" s="1392"/>
      <c r="R658" s="1393"/>
      <c r="S658" s="1393"/>
      <c r="T658" s="1393"/>
      <c r="U658" s="1393"/>
      <c r="X658" s="1393"/>
      <c r="Y658" s="1393"/>
    </row>
    <row r="659" spans="1:25" s="1395" customFormat="1">
      <c r="A659" s="1392"/>
      <c r="B659" s="1392"/>
      <c r="C659" s="1392"/>
      <c r="D659" s="1392"/>
      <c r="E659" s="1392"/>
      <c r="F659" s="1392"/>
      <c r="G659" s="1392"/>
      <c r="H659" s="1392"/>
      <c r="I659" s="1392"/>
      <c r="J659" s="1392"/>
      <c r="K659" s="1392"/>
      <c r="L659" s="1392"/>
      <c r="N659" s="1396"/>
      <c r="O659" s="1393"/>
      <c r="P659" s="1393"/>
      <c r="Q659" s="1392"/>
      <c r="R659" s="1393"/>
      <c r="S659" s="1393"/>
      <c r="T659" s="1393"/>
      <c r="U659" s="1393"/>
      <c r="X659" s="1393"/>
      <c r="Y659" s="1393"/>
    </row>
    <row r="660" spans="1:25" s="1395" customFormat="1">
      <c r="A660" s="1392"/>
      <c r="B660" s="1392"/>
      <c r="C660" s="1392"/>
      <c r="D660" s="1392"/>
      <c r="E660" s="1392"/>
      <c r="F660" s="1392"/>
      <c r="G660" s="1392"/>
      <c r="H660" s="1392"/>
      <c r="I660" s="1392"/>
      <c r="J660" s="1392"/>
      <c r="K660" s="1392"/>
      <c r="L660" s="1392"/>
      <c r="N660" s="1396"/>
      <c r="O660" s="1393"/>
      <c r="P660" s="1393"/>
      <c r="Q660" s="1392"/>
      <c r="R660" s="1393"/>
      <c r="S660" s="1393"/>
      <c r="T660" s="1393"/>
      <c r="U660" s="1393"/>
      <c r="X660" s="1393"/>
      <c r="Y660" s="1393"/>
    </row>
    <row r="661" spans="1:25" s="1395" customFormat="1">
      <c r="A661" s="1392"/>
      <c r="B661" s="1392"/>
      <c r="C661" s="1392"/>
      <c r="D661" s="1392"/>
      <c r="E661" s="1392"/>
      <c r="F661" s="1392"/>
      <c r="G661" s="1392"/>
      <c r="H661" s="1392"/>
      <c r="I661" s="1392"/>
      <c r="J661" s="1392"/>
      <c r="K661" s="1392"/>
      <c r="L661" s="1392"/>
      <c r="N661" s="1396"/>
      <c r="O661" s="1393"/>
      <c r="P661" s="1393"/>
      <c r="Q661" s="1392"/>
      <c r="R661" s="1393"/>
      <c r="S661" s="1393"/>
      <c r="T661" s="1393"/>
      <c r="U661" s="1393"/>
      <c r="X661" s="1393"/>
      <c r="Y661" s="1393"/>
    </row>
    <row r="662" spans="1:25" s="1395" customFormat="1">
      <c r="A662" s="1392"/>
      <c r="B662" s="1392"/>
      <c r="C662" s="1392"/>
      <c r="D662" s="1392"/>
      <c r="E662" s="1392"/>
      <c r="F662" s="1392"/>
      <c r="G662" s="1392"/>
      <c r="H662" s="1392"/>
      <c r="I662" s="1392"/>
      <c r="J662" s="1392"/>
      <c r="K662" s="1392"/>
      <c r="L662" s="1392"/>
      <c r="N662" s="1396"/>
      <c r="O662" s="1393"/>
      <c r="P662" s="1393"/>
      <c r="Q662" s="1392"/>
      <c r="R662" s="1393"/>
      <c r="S662" s="1393"/>
      <c r="T662" s="1393"/>
      <c r="U662" s="1393"/>
      <c r="X662" s="1393"/>
      <c r="Y662" s="1393"/>
    </row>
    <row r="663" spans="1:25" s="1395" customFormat="1">
      <c r="A663" s="1392"/>
      <c r="B663" s="1392"/>
      <c r="C663" s="1392"/>
      <c r="D663" s="1392"/>
      <c r="E663" s="1392"/>
      <c r="F663" s="1392"/>
      <c r="G663" s="1392"/>
      <c r="H663" s="1392"/>
      <c r="I663" s="1392"/>
      <c r="J663" s="1392"/>
      <c r="K663" s="1392"/>
      <c r="L663" s="1392"/>
      <c r="N663" s="1396"/>
      <c r="O663" s="1393"/>
      <c r="P663" s="1393"/>
      <c r="Q663" s="1392"/>
      <c r="R663" s="1393"/>
      <c r="S663" s="1393"/>
      <c r="T663" s="1393"/>
      <c r="U663" s="1393"/>
      <c r="X663" s="1393"/>
      <c r="Y663" s="1393"/>
    </row>
    <row r="664" spans="1:25" s="1395" customFormat="1">
      <c r="A664" s="1392"/>
      <c r="B664" s="1392"/>
      <c r="C664" s="1392"/>
      <c r="D664" s="1392"/>
      <c r="E664" s="1392"/>
      <c r="F664" s="1392"/>
      <c r="G664" s="1392"/>
      <c r="H664" s="1392"/>
      <c r="I664" s="1392"/>
      <c r="J664" s="1392"/>
      <c r="K664" s="1392"/>
      <c r="L664" s="1392"/>
      <c r="N664" s="1396"/>
      <c r="O664" s="1393"/>
      <c r="P664" s="1393"/>
      <c r="Q664" s="1392"/>
      <c r="R664" s="1393"/>
      <c r="S664" s="1393"/>
      <c r="T664" s="1393"/>
      <c r="U664" s="1393"/>
      <c r="X664" s="1393"/>
      <c r="Y664" s="1393"/>
    </row>
    <row r="665" spans="1:25" s="1395" customFormat="1">
      <c r="A665" s="1392"/>
      <c r="B665" s="1392"/>
      <c r="C665" s="1392"/>
      <c r="D665" s="1392"/>
      <c r="E665" s="1392"/>
      <c r="F665" s="1392"/>
      <c r="G665" s="1392"/>
      <c r="H665" s="1392"/>
      <c r="I665" s="1392"/>
      <c r="J665" s="1392"/>
      <c r="K665" s="1392"/>
      <c r="L665" s="1392"/>
      <c r="N665" s="1396"/>
      <c r="O665" s="1393"/>
      <c r="P665" s="1393"/>
      <c r="Q665" s="1392"/>
      <c r="R665" s="1393"/>
      <c r="S665" s="1393"/>
      <c r="T665" s="1393"/>
      <c r="U665" s="1393"/>
      <c r="X665" s="1393"/>
      <c r="Y665" s="1393"/>
    </row>
    <row r="666" spans="1:25" s="1395" customFormat="1">
      <c r="A666" s="1392"/>
      <c r="B666" s="1392"/>
      <c r="C666" s="1392"/>
      <c r="D666" s="1392"/>
      <c r="E666" s="1392"/>
      <c r="F666" s="1392"/>
      <c r="G666" s="1392"/>
      <c r="H666" s="1392"/>
      <c r="I666" s="1392"/>
      <c r="J666" s="1392"/>
      <c r="K666" s="1392"/>
      <c r="L666" s="1392"/>
      <c r="N666" s="1396"/>
      <c r="O666" s="1393"/>
      <c r="P666" s="1393"/>
      <c r="Q666" s="1392"/>
      <c r="R666" s="1393"/>
      <c r="S666" s="1393"/>
      <c r="T666" s="1393"/>
      <c r="U666" s="1393"/>
      <c r="X666" s="1393"/>
      <c r="Y666" s="1393"/>
    </row>
    <row r="667" spans="1:25" s="1395" customFormat="1">
      <c r="A667" s="1392"/>
      <c r="B667" s="1392"/>
      <c r="C667" s="1392"/>
      <c r="D667" s="1392"/>
      <c r="E667" s="1392"/>
      <c r="F667" s="1392"/>
      <c r="G667" s="1392"/>
      <c r="H667" s="1392"/>
      <c r="I667" s="1392"/>
      <c r="J667" s="1392"/>
      <c r="K667" s="1392"/>
      <c r="L667" s="1392"/>
      <c r="N667" s="1396"/>
      <c r="O667" s="1393"/>
      <c r="P667" s="1393"/>
      <c r="Q667" s="1392"/>
      <c r="R667" s="1393"/>
      <c r="S667" s="1393"/>
      <c r="T667" s="1393"/>
      <c r="U667" s="1393"/>
      <c r="X667" s="1393"/>
      <c r="Y667" s="1393"/>
    </row>
    <row r="668" spans="1:25" s="1395" customFormat="1">
      <c r="A668" s="1392"/>
      <c r="B668" s="1392"/>
      <c r="C668" s="1392"/>
      <c r="D668" s="1392"/>
      <c r="E668" s="1392"/>
      <c r="F668" s="1392"/>
      <c r="G668" s="1392"/>
      <c r="H668" s="1392"/>
      <c r="I668" s="1392"/>
      <c r="J668" s="1392"/>
      <c r="K668" s="1392"/>
      <c r="L668" s="1392"/>
      <c r="N668" s="1396"/>
      <c r="O668" s="1393"/>
      <c r="P668" s="1393"/>
      <c r="Q668" s="1392"/>
      <c r="R668" s="1393"/>
      <c r="S668" s="1393"/>
      <c r="T668" s="1393"/>
      <c r="U668" s="1393"/>
      <c r="X668" s="1393"/>
      <c r="Y668" s="1393"/>
    </row>
    <row r="669" spans="1:25" s="1395" customFormat="1">
      <c r="A669" s="1392"/>
      <c r="B669" s="1392"/>
      <c r="C669" s="1392"/>
      <c r="D669" s="1392"/>
      <c r="E669" s="1392"/>
      <c r="F669" s="1392"/>
      <c r="G669" s="1392"/>
      <c r="H669" s="1392"/>
      <c r="I669" s="1392"/>
      <c r="J669" s="1392"/>
      <c r="K669" s="1392"/>
      <c r="L669" s="1392"/>
      <c r="N669" s="1396"/>
      <c r="O669" s="1393"/>
      <c r="P669" s="1393"/>
      <c r="Q669" s="1392"/>
      <c r="R669" s="1393"/>
      <c r="S669" s="1393"/>
      <c r="T669" s="1393"/>
      <c r="U669" s="1393"/>
      <c r="X669" s="1393"/>
      <c r="Y669" s="1393"/>
    </row>
    <row r="670" spans="1:25" s="1395" customFormat="1">
      <c r="A670" s="1392"/>
      <c r="B670" s="1392"/>
      <c r="C670" s="1392"/>
      <c r="D670" s="1392"/>
      <c r="E670" s="1392"/>
      <c r="F670" s="1392"/>
      <c r="G670" s="1392"/>
      <c r="H670" s="1392"/>
      <c r="I670" s="1392"/>
      <c r="J670" s="1392"/>
      <c r="K670" s="1392"/>
      <c r="L670" s="1392"/>
      <c r="N670" s="1396"/>
      <c r="O670" s="1393"/>
      <c r="P670" s="1393"/>
      <c r="Q670" s="1392"/>
      <c r="R670" s="1393"/>
      <c r="S670" s="1393"/>
      <c r="T670" s="1393"/>
      <c r="U670" s="1393"/>
      <c r="X670" s="1393"/>
      <c r="Y670" s="1393"/>
    </row>
    <row r="671" spans="1:25" s="1395" customFormat="1">
      <c r="A671" s="1392"/>
      <c r="B671" s="1392"/>
      <c r="C671" s="1392"/>
      <c r="D671" s="1392"/>
      <c r="E671" s="1392"/>
      <c r="F671" s="1392"/>
      <c r="G671" s="1392"/>
      <c r="H671" s="1392"/>
      <c r="I671" s="1392"/>
      <c r="J671" s="1392"/>
      <c r="K671" s="1392"/>
      <c r="L671" s="1392"/>
      <c r="N671" s="1396"/>
      <c r="O671" s="1393"/>
      <c r="P671" s="1393"/>
      <c r="Q671" s="1392"/>
      <c r="R671" s="1393"/>
      <c r="S671" s="1393"/>
      <c r="T671" s="1393"/>
      <c r="U671" s="1393"/>
      <c r="X671" s="1393"/>
      <c r="Y671" s="1393"/>
    </row>
    <row r="672" spans="1:25" s="1395" customFormat="1">
      <c r="A672" s="1392"/>
      <c r="B672" s="1392"/>
      <c r="C672" s="1392"/>
      <c r="D672" s="1392"/>
      <c r="E672" s="1392"/>
      <c r="F672" s="1392"/>
      <c r="G672" s="1392"/>
      <c r="H672" s="1392"/>
      <c r="I672" s="1392"/>
      <c r="J672" s="1392"/>
      <c r="K672" s="1392"/>
      <c r="L672" s="1392"/>
      <c r="N672" s="1396"/>
      <c r="O672" s="1393"/>
      <c r="P672" s="1393"/>
      <c r="Q672" s="1392"/>
      <c r="R672" s="1393"/>
      <c r="S672" s="1393"/>
      <c r="T672" s="1393"/>
      <c r="U672" s="1393"/>
      <c r="X672" s="1393"/>
      <c r="Y672" s="1393"/>
    </row>
    <row r="673" spans="1:25" s="1395" customFormat="1">
      <c r="A673" s="1392"/>
      <c r="B673" s="1392"/>
      <c r="C673" s="1392"/>
      <c r="D673" s="1392"/>
      <c r="E673" s="1392"/>
      <c r="F673" s="1392"/>
      <c r="G673" s="1392"/>
      <c r="H673" s="1392"/>
      <c r="I673" s="1392"/>
      <c r="J673" s="1392"/>
      <c r="K673" s="1392"/>
      <c r="L673" s="1392"/>
      <c r="N673" s="1396"/>
      <c r="O673" s="1393"/>
      <c r="P673" s="1393"/>
      <c r="Q673" s="1392"/>
      <c r="R673" s="1393"/>
      <c r="S673" s="1393"/>
      <c r="T673" s="1393"/>
      <c r="U673" s="1393"/>
      <c r="X673" s="1393"/>
      <c r="Y673" s="1393"/>
    </row>
  </sheetData>
  <sheetProtection password="889B" sheet="1" objects="1" scenarios="1"/>
  <mergeCells count="21">
    <mergeCell ref="G158:I158"/>
    <mergeCell ref="B126:D126"/>
    <mergeCell ref="D129:F129"/>
    <mergeCell ref="D152:F152"/>
    <mergeCell ref="H156:K156"/>
    <mergeCell ref="R51:R57"/>
    <mergeCell ref="O59:P59"/>
    <mergeCell ref="O61:P61"/>
    <mergeCell ref="K10:L10"/>
    <mergeCell ref="H12:K12"/>
    <mergeCell ref="R59:S59"/>
    <mergeCell ref="R61:S61"/>
    <mergeCell ref="O51:O57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8 P30 P67 P69:P81 O29 O31 O26:P26 O15:O25 O27">
    <cfRule type="cellIs" dxfId="2398" priority="333" stopIfTrue="1" operator="lessThan">
      <formula>0</formula>
    </cfRule>
  </conditionalFormatting>
  <conditionalFormatting sqref="O32:P32">
    <cfRule type="cellIs" dxfId="2397" priority="335" stopIfTrue="1" operator="lessThan">
      <formula>0</formula>
    </cfRule>
  </conditionalFormatting>
  <conditionalFormatting sqref="E12:F12">
    <cfRule type="cellIs" dxfId="2396" priority="341" stopIfTrue="1" operator="equal">
      <formula>0</formula>
    </cfRule>
  </conditionalFormatting>
  <conditionalFormatting sqref="N10">
    <cfRule type="cellIs" dxfId="2395" priority="342" stopIfTrue="1" operator="equal">
      <formula>0</formula>
    </cfRule>
  </conditionalFormatting>
  <conditionalFormatting sqref="E2:L2 C6:E6 G6:L6 C8 C10 K10:L10 F10">
    <cfRule type="cellIs" dxfId="2394" priority="329" stopIfTrue="1" operator="equal">
      <formula>0</formula>
    </cfRule>
  </conditionalFormatting>
  <conditionalFormatting sqref="O37 S62">
    <cfRule type="cellIs" dxfId="2393" priority="299" stopIfTrue="1" operator="equal">
      <formula>"2002 г. крайно ДТ с-до"</formula>
    </cfRule>
  </conditionalFormatting>
  <conditionalFormatting sqref="O14">
    <cfRule type="cellIs" dxfId="2392" priority="238" stopIfTrue="1" operator="lessThan">
      <formula>0</formula>
    </cfRule>
  </conditionalFormatting>
  <conditionalFormatting sqref="P64:P66">
    <cfRule type="cellIs" dxfId="2391" priority="241" stopIfTrue="1" operator="lessThan">
      <formula>0</formula>
    </cfRule>
  </conditionalFormatting>
  <conditionalFormatting sqref="P48">
    <cfRule type="cellIs" dxfId="2390" priority="233" stopIfTrue="1" operator="equal">
      <formula>"2002 г. крайно ДТ с-до"</formula>
    </cfRule>
  </conditionalFormatting>
  <conditionalFormatting sqref="O28">
    <cfRule type="cellIs" dxfId="2389" priority="220" stopIfTrue="1" operator="lessThan">
      <formula>0</formula>
    </cfRule>
  </conditionalFormatting>
  <conditionalFormatting sqref="O30">
    <cfRule type="cellIs" dxfId="2388" priority="219" stopIfTrue="1" operator="lessThan">
      <formula>0</formula>
    </cfRule>
  </conditionalFormatting>
  <conditionalFormatting sqref="O2:P2">
    <cfRule type="cellIs" dxfId="2387" priority="216" stopIfTrue="1" operator="notEqual">
      <formula>"O K"</formula>
    </cfRule>
  </conditionalFormatting>
  <conditionalFormatting sqref="P64:P67 P69:P81">
    <cfRule type="cellIs" dxfId="2386" priority="214" stopIfTrue="1" operator="equal">
      <formula>"O K"</formula>
    </cfRule>
  </conditionalFormatting>
  <conditionalFormatting sqref="P67">
    <cfRule type="cellIs" dxfId="2385" priority="210" stopIfTrue="1" operator="equal">
      <formula>"O K"</formula>
    </cfRule>
    <cfRule type="cellIs" dxfId="2384" priority="213" stopIfTrue="1" operator="lessThan">
      <formula>0</formula>
    </cfRule>
  </conditionalFormatting>
  <conditionalFormatting sqref="P69">
    <cfRule type="cellIs" dxfId="2383" priority="212" stopIfTrue="1" operator="lessThan">
      <formula>0</formula>
    </cfRule>
  </conditionalFormatting>
  <conditionalFormatting sqref="P70:P81">
    <cfRule type="cellIs" dxfId="2382" priority="211" stopIfTrue="1" operator="lessThan">
      <formula>0</formula>
    </cfRule>
  </conditionalFormatting>
  <conditionalFormatting sqref="O67 O78 O80 O69:O76">
    <cfRule type="cellIs" dxfId="2381" priority="208" stopIfTrue="1" operator="lessThan">
      <formula>0</formula>
    </cfRule>
  </conditionalFormatting>
  <conditionalFormatting sqref="O64:O66">
    <cfRule type="cellIs" dxfId="2380" priority="207" stopIfTrue="1" operator="lessThan">
      <formula>0</formula>
    </cfRule>
  </conditionalFormatting>
  <conditionalFormatting sqref="O64:O67 O78 O80 O69:O76">
    <cfRule type="cellIs" dxfId="2379" priority="206" stopIfTrue="1" operator="equal">
      <formula>"O K"</formula>
    </cfRule>
  </conditionalFormatting>
  <conditionalFormatting sqref="O67">
    <cfRule type="cellIs" dxfId="2378" priority="202" stopIfTrue="1" operator="equal">
      <formula>"O K"</formula>
    </cfRule>
    <cfRule type="cellIs" dxfId="2377" priority="205" stopIfTrue="1" operator="lessThan">
      <formula>0</formula>
    </cfRule>
  </conditionalFormatting>
  <conditionalFormatting sqref="O69">
    <cfRule type="cellIs" dxfId="2376" priority="204" stopIfTrue="1" operator="lessThan">
      <formula>0</formula>
    </cfRule>
  </conditionalFormatting>
  <conditionalFormatting sqref="O70:O76 O78 O80">
    <cfRule type="cellIs" dxfId="2375" priority="203" stopIfTrue="1" operator="lessThan">
      <formula>0</formula>
    </cfRule>
  </conditionalFormatting>
  <conditionalFormatting sqref="S69:S75 S77 S79 S81">
    <cfRule type="cellIs" dxfId="2374" priority="200" stopIfTrue="1" operator="lessThan">
      <formula>0</formula>
    </cfRule>
  </conditionalFormatting>
  <conditionalFormatting sqref="S64:S66">
    <cfRule type="cellIs" dxfId="2373" priority="199" stopIfTrue="1" operator="lessThan">
      <formula>0</formula>
    </cfRule>
  </conditionalFormatting>
  <conditionalFormatting sqref="S64:S66 S69:S75 S77 S79 S81">
    <cfRule type="cellIs" dxfId="2372" priority="198" stopIfTrue="1" operator="equal">
      <formula>"O K"</formula>
    </cfRule>
  </conditionalFormatting>
  <conditionalFormatting sqref="S69">
    <cfRule type="cellIs" dxfId="2371" priority="196" stopIfTrue="1" operator="lessThan">
      <formula>0</formula>
    </cfRule>
  </conditionalFormatting>
  <conditionalFormatting sqref="S70:S75 S77 S79 S81">
    <cfRule type="cellIs" dxfId="2370" priority="195" stopIfTrue="1" operator="lessThan">
      <formula>0</formula>
    </cfRule>
  </conditionalFormatting>
  <conditionalFormatting sqref="R69:R76 R78 R80">
    <cfRule type="cellIs" dxfId="2369" priority="192" stopIfTrue="1" operator="lessThan">
      <formula>0</formula>
    </cfRule>
  </conditionalFormatting>
  <conditionalFormatting sqref="R64:R66">
    <cfRule type="cellIs" dxfId="2368" priority="191" stopIfTrue="1" operator="lessThan">
      <formula>0</formula>
    </cfRule>
  </conditionalFormatting>
  <conditionalFormatting sqref="R64:R66 R69:R76 R78 R80">
    <cfRule type="cellIs" dxfId="2367" priority="190" stopIfTrue="1" operator="equal">
      <formula>"O K"</formula>
    </cfRule>
  </conditionalFormatting>
  <conditionalFormatting sqref="R69">
    <cfRule type="cellIs" dxfId="2366" priority="188" stopIfTrue="1" operator="lessThan">
      <formula>0</formula>
    </cfRule>
  </conditionalFormatting>
  <conditionalFormatting sqref="R70:R76 R78 R80">
    <cfRule type="cellIs" dxfId="2365" priority="187" stopIfTrue="1" operator="lessThan">
      <formula>0</formula>
    </cfRule>
  </conditionalFormatting>
  <conditionalFormatting sqref="S67">
    <cfRule type="cellIs" dxfId="2364" priority="185" stopIfTrue="1" operator="lessThan">
      <formula>0</formula>
    </cfRule>
  </conditionalFormatting>
  <conditionalFormatting sqref="S67">
    <cfRule type="cellIs" dxfId="2363" priority="184" stopIfTrue="1" operator="equal">
      <formula>"O K"</formula>
    </cfRule>
  </conditionalFormatting>
  <conditionalFormatting sqref="S67">
    <cfRule type="cellIs" dxfId="2362" priority="182" stopIfTrue="1" operator="equal">
      <formula>"O K"</formula>
    </cfRule>
    <cfRule type="cellIs" dxfId="2361" priority="183" stopIfTrue="1" operator="lessThan">
      <formula>0</formula>
    </cfRule>
  </conditionalFormatting>
  <conditionalFormatting sqref="R67">
    <cfRule type="cellIs" dxfId="2360" priority="181" stopIfTrue="1" operator="lessThan">
      <formula>0</formula>
    </cfRule>
  </conditionalFormatting>
  <conditionalFormatting sqref="R67">
    <cfRule type="cellIs" dxfId="2359" priority="180" stopIfTrue="1" operator="equal">
      <formula>"O K"</formula>
    </cfRule>
  </conditionalFormatting>
  <conditionalFormatting sqref="R67">
    <cfRule type="cellIs" dxfId="2358" priority="178" stopIfTrue="1" operator="equal">
      <formula>"O K"</formula>
    </cfRule>
    <cfRule type="cellIs" dxfId="2357" priority="179" stopIfTrue="1" operator="lessThan">
      <formula>0</formula>
    </cfRule>
  </conditionalFormatting>
  <conditionalFormatting sqref="R29 R31 S30 R15:R17 S26 R19:R27 S28">
    <cfRule type="cellIs" dxfId="2356" priority="176" stopIfTrue="1" operator="lessThan">
      <formula>0</formula>
    </cfRule>
  </conditionalFormatting>
  <conditionalFormatting sqref="R32:S32">
    <cfRule type="cellIs" dxfId="2355" priority="177" stopIfTrue="1" operator="lessThan">
      <formula>0</formula>
    </cfRule>
  </conditionalFormatting>
  <conditionalFormatting sqref="R14">
    <cfRule type="cellIs" dxfId="2354" priority="174" stopIfTrue="1" operator="lessThan">
      <formula>0</formula>
    </cfRule>
  </conditionalFormatting>
  <conditionalFormatting sqref="O81 O79 O77">
    <cfRule type="cellIs" dxfId="2353" priority="163" stopIfTrue="1" operator="lessThan">
      <formula>0</formula>
    </cfRule>
  </conditionalFormatting>
  <conditionalFormatting sqref="S80 S78 S76">
    <cfRule type="cellIs" dxfId="2352" priority="162" stopIfTrue="1" operator="lessThan">
      <formula>0</formula>
    </cfRule>
  </conditionalFormatting>
  <conditionalFormatting sqref="R81 R79 R77">
    <cfRule type="cellIs" dxfId="2351" priority="161" stopIfTrue="1" operator="lessThan">
      <formula>0</formula>
    </cfRule>
  </conditionalFormatting>
  <conditionalFormatting sqref="R18">
    <cfRule type="cellIs" dxfId="2350" priority="159" stopIfTrue="1" operator="lessThan">
      <formula>0</formula>
    </cfRule>
  </conditionalFormatting>
  <conditionalFormatting sqref="P68">
    <cfRule type="cellIs" dxfId="2349" priority="158" stopIfTrue="1" operator="lessThan">
      <formula>0</formula>
    </cfRule>
  </conditionalFormatting>
  <conditionalFormatting sqref="P68">
    <cfRule type="cellIs" dxfId="2348" priority="157" stopIfTrue="1" operator="equal">
      <formula>"O K"</formula>
    </cfRule>
  </conditionalFormatting>
  <conditionalFormatting sqref="P68">
    <cfRule type="cellIs" dxfId="2347" priority="156" stopIfTrue="1" operator="lessThan">
      <formula>0</formula>
    </cfRule>
  </conditionalFormatting>
  <conditionalFormatting sqref="O68">
    <cfRule type="cellIs" dxfId="2346" priority="155" stopIfTrue="1" operator="lessThan">
      <formula>0</formula>
    </cfRule>
  </conditionalFormatting>
  <conditionalFormatting sqref="O68">
    <cfRule type="cellIs" dxfId="2345" priority="154" stopIfTrue="1" operator="equal">
      <formula>"O K"</formula>
    </cfRule>
  </conditionalFormatting>
  <conditionalFormatting sqref="O68">
    <cfRule type="cellIs" dxfId="2344" priority="153" stopIfTrue="1" operator="lessThan">
      <formula>0</formula>
    </cfRule>
  </conditionalFormatting>
  <conditionalFormatting sqref="S68">
    <cfRule type="cellIs" dxfId="2343" priority="152" stopIfTrue="1" operator="lessThan">
      <formula>0</formula>
    </cfRule>
  </conditionalFormatting>
  <conditionalFormatting sqref="S68">
    <cfRule type="cellIs" dxfId="2342" priority="151" stopIfTrue="1" operator="equal">
      <formula>"O K"</formula>
    </cfRule>
  </conditionalFormatting>
  <conditionalFormatting sqref="S68">
    <cfRule type="cellIs" dxfId="2341" priority="150" stopIfTrue="1" operator="lessThan">
      <formula>0</formula>
    </cfRule>
  </conditionalFormatting>
  <conditionalFormatting sqref="R68">
    <cfRule type="cellIs" dxfId="2340" priority="149" stopIfTrue="1" operator="lessThan">
      <formula>0</formula>
    </cfRule>
  </conditionalFormatting>
  <conditionalFormatting sqref="R68">
    <cfRule type="cellIs" dxfId="2339" priority="148" stopIfTrue="1" operator="equal">
      <formula>"O K"</formula>
    </cfRule>
  </conditionalFormatting>
  <conditionalFormatting sqref="R68">
    <cfRule type="cellIs" dxfId="2338" priority="147" stopIfTrue="1" operator="lessThan">
      <formula>0</formula>
    </cfRule>
  </conditionalFormatting>
  <conditionalFormatting sqref="R2:S2">
    <cfRule type="cellIs" dxfId="2337" priority="144" stopIfTrue="1" operator="notEqual">
      <formula>"O K"</formula>
    </cfRule>
  </conditionalFormatting>
  <conditionalFormatting sqref="R28">
    <cfRule type="cellIs" dxfId="2336" priority="143" stopIfTrue="1" operator="lessThan">
      <formula>0</formula>
    </cfRule>
  </conditionalFormatting>
  <conditionalFormatting sqref="R30">
    <cfRule type="cellIs" dxfId="2335" priority="142" stopIfTrue="1" operator="lessThan">
      <formula>0</formula>
    </cfRule>
  </conditionalFormatting>
  <conditionalFormatting sqref="G8:H8">
    <cfRule type="cellIs" dxfId="2334" priority="141" stopIfTrue="1" operator="equal">
      <formula>0</formula>
    </cfRule>
  </conditionalFormatting>
  <conditionalFormatting sqref="J8:L8">
    <cfRule type="cellIs" dxfId="2333" priority="140" stopIfTrue="1" operator="equal">
      <formula>0</formula>
    </cfRule>
  </conditionalFormatting>
  <conditionalFormatting sqref="N38">
    <cfRule type="cellIs" dxfId="2332" priority="138" stopIfTrue="1" operator="lessThan">
      <formula>0</formula>
    </cfRule>
  </conditionalFormatting>
  <conditionalFormatting sqref="N41">
    <cfRule type="cellIs" dxfId="2331" priority="134" stopIfTrue="1" operator="lessThan">
      <formula>0</formula>
    </cfRule>
  </conditionalFormatting>
  <conditionalFormatting sqref="N44">
    <cfRule type="cellIs" dxfId="2330" priority="130" stopIfTrue="1" operator="lessThan">
      <formula>0</formula>
    </cfRule>
  </conditionalFormatting>
  <conditionalFormatting sqref="N47">
    <cfRule type="cellIs" dxfId="2329" priority="126" stopIfTrue="1" operator="lessThan">
      <formula>0</formula>
    </cfRule>
  </conditionalFormatting>
  <conditionalFormatting sqref="O43">
    <cfRule type="cellIs" dxfId="2328" priority="90" stopIfTrue="1" operator="equal">
      <formula>"2002 г. крайно ДТ с-до"</formula>
    </cfRule>
  </conditionalFormatting>
  <conditionalFormatting sqref="P51">
    <cfRule type="cellIs" dxfId="2327" priority="123" stopIfTrue="1" operator="equal">
      <formula>"2002 г. крайно ДТ с-до"</formula>
    </cfRule>
  </conditionalFormatting>
  <conditionalFormatting sqref="P55">
    <cfRule type="cellIs" dxfId="2326" priority="98" stopIfTrue="1" operator="equal">
      <formula>"2002 г. крайно ДТ с-до"</formula>
    </cfRule>
  </conditionalFormatting>
  <conditionalFormatting sqref="P53">
    <cfRule type="cellIs" dxfId="2325" priority="97" stopIfTrue="1" operator="equal">
      <formula>"2002 г. крайно ДТ с-до"</formula>
    </cfRule>
  </conditionalFormatting>
  <conditionalFormatting sqref="P57">
    <cfRule type="cellIs" dxfId="2324" priority="93" stopIfTrue="1" operator="equal">
      <formula>"2002 г. крайно ДТ с-до"</formula>
    </cfRule>
  </conditionalFormatting>
  <conditionalFormatting sqref="P58 P60">
    <cfRule type="cellIs" dxfId="2323" priority="100" stopIfTrue="1" operator="equal">
      <formula>"2002 г. крайно ДТ с-до"</formula>
    </cfRule>
  </conditionalFormatting>
  <conditionalFormatting sqref="P62">
    <cfRule type="cellIs" dxfId="2322" priority="96" stopIfTrue="1" operator="equal">
      <formula>"2002 г. крайно ДТ с-до"</formula>
    </cfRule>
  </conditionalFormatting>
  <conditionalFormatting sqref="O59:P59">
    <cfRule type="cellIs" dxfId="2321" priority="95" stopIfTrue="1" operator="notEqual">
      <formula>0</formula>
    </cfRule>
  </conditionalFormatting>
  <conditionalFormatting sqref="O61:P61">
    <cfRule type="cellIs" dxfId="2320" priority="94" stopIfTrue="1" operator="notEqual">
      <formula>0</formula>
    </cfRule>
  </conditionalFormatting>
  <conditionalFormatting sqref="O40">
    <cfRule type="cellIs" dxfId="2319" priority="92" stopIfTrue="1" operator="equal">
      <formula>"2002 г. крайно ДТ с-до"</formula>
    </cfRule>
  </conditionalFormatting>
  <conditionalFormatting sqref="O46">
    <cfRule type="cellIs" dxfId="2318" priority="88" stopIfTrue="1" operator="equal">
      <formula>"2002 г. крайно ДТ с-до"</formula>
    </cfRule>
  </conditionalFormatting>
  <conditionalFormatting sqref="O34:P34">
    <cfRule type="cellIs" dxfId="2317" priority="86" stopIfTrue="1" operator="notEqual">
      <formula>0</formula>
    </cfRule>
  </conditionalFormatting>
  <conditionalFormatting sqref="P15:P25">
    <cfRule type="cellIs" dxfId="2316" priority="85" stopIfTrue="1" operator="lessThan">
      <formula>0</formula>
    </cfRule>
  </conditionalFormatting>
  <conditionalFormatting sqref="P14">
    <cfRule type="cellIs" dxfId="2315" priority="84" stopIfTrue="1" operator="lessThan">
      <formula>0</formula>
    </cfRule>
  </conditionalFormatting>
  <conditionalFormatting sqref="S15:S24">
    <cfRule type="cellIs" dxfId="2314" priority="83" stopIfTrue="1" operator="lessThan">
      <formula>0</formula>
    </cfRule>
  </conditionalFormatting>
  <conditionalFormatting sqref="S14">
    <cfRule type="cellIs" dxfId="2313" priority="82" stopIfTrue="1" operator="lessThan">
      <formula>0</formula>
    </cfRule>
  </conditionalFormatting>
  <conditionalFormatting sqref="P27">
    <cfRule type="cellIs" dxfId="2312" priority="81" stopIfTrue="1" operator="lessThan">
      <formula>0</formula>
    </cfRule>
  </conditionalFormatting>
  <conditionalFormatting sqref="P29">
    <cfRule type="cellIs" dxfId="2311" priority="80" stopIfTrue="1" operator="lessThan">
      <formula>0</formula>
    </cfRule>
  </conditionalFormatting>
  <conditionalFormatting sqref="P31">
    <cfRule type="cellIs" dxfId="2310" priority="79" stopIfTrue="1" operator="lessThan">
      <formula>0</formula>
    </cfRule>
  </conditionalFormatting>
  <conditionalFormatting sqref="S25">
    <cfRule type="cellIs" dxfId="2309" priority="78" stopIfTrue="1" operator="lessThan">
      <formula>0</formula>
    </cfRule>
  </conditionalFormatting>
  <conditionalFormatting sqref="S27">
    <cfRule type="cellIs" dxfId="2308" priority="77" stopIfTrue="1" operator="lessThan">
      <formula>0</formula>
    </cfRule>
  </conditionalFormatting>
  <conditionalFormatting sqref="S29">
    <cfRule type="cellIs" dxfId="2307" priority="76" stopIfTrue="1" operator="lessThan">
      <formula>0</formula>
    </cfRule>
  </conditionalFormatting>
  <conditionalFormatting sqref="S31">
    <cfRule type="cellIs" dxfId="2306" priority="75" stopIfTrue="1" operator="lessThan">
      <formula>0</formula>
    </cfRule>
  </conditionalFormatting>
  <conditionalFormatting sqref="O4:P4">
    <cfRule type="cellIs" dxfId="2305" priority="74" stopIfTrue="1" operator="notEqual">
      <formula>"O K"</formula>
    </cfRule>
  </conditionalFormatting>
  <conditionalFormatting sqref="O6:P6">
    <cfRule type="cellIs" dxfId="2304" priority="73" stopIfTrue="1" operator="notEqual">
      <formula>"O K"</formula>
    </cfRule>
  </conditionalFormatting>
  <conditionalFormatting sqref="O35:P35">
    <cfRule type="cellIs" dxfId="2303" priority="72" stopIfTrue="1" operator="notEqual">
      <formula>0</formula>
    </cfRule>
  </conditionalFormatting>
  <conditionalFormatting sqref="R4:S4">
    <cfRule type="cellIs" dxfId="2302" priority="71" stopIfTrue="1" operator="notEqual">
      <formula>"O K"</formula>
    </cfRule>
  </conditionalFormatting>
  <conditionalFormatting sqref="R6:S6">
    <cfRule type="cellIs" dxfId="2301" priority="70" stopIfTrue="1" operator="notEqual">
      <formula>"O K"</formula>
    </cfRule>
  </conditionalFormatting>
  <conditionalFormatting sqref="R34:S34">
    <cfRule type="cellIs" dxfId="2300" priority="69" stopIfTrue="1" operator="notEqual">
      <formula>0</formula>
    </cfRule>
  </conditionalFormatting>
  <conditionalFormatting sqref="R35:S35">
    <cfRule type="cellIs" dxfId="2299" priority="68" stopIfTrue="1" operator="notEqual">
      <formula>0</formula>
    </cfRule>
  </conditionalFormatting>
  <conditionalFormatting sqref="R37">
    <cfRule type="cellIs" dxfId="2298" priority="64" stopIfTrue="1" operator="equal">
      <formula>"2002 г. крайно ДТ с-до"</formula>
    </cfRule>
  </conditionalFormatting>
  <conditionalFormatting sqref="S48">
    <cfRule type="cellIs" dxfId="2297" priority="63" stopIfTrue="1" operator="equal">
      <formula>"2002 г. крайно ДТ с-до"</formula>
    </cfRule>
  </conditionalFormatting>
  <conditionalFormatting sqref="R43">
    <cfRule type="cellIs" dxfId="2296" priority="52" stopIfTrue="1" operator="equal">
      <formula>"2002 г. крайно ДТ с-до"</formula>
    </cfRule>
  </conditionalFormatting>
  <conditionalFormatting sqref="S51">
    <cfRule type="cellIs" dxfId="2295" priority="61" stopIfTrue="1" operator="equal">
      <formula>"2002 г. крайно ДТ с-до"</formula>
    </cfRule>
  </conditionalFormatting>
  <conditionalFormatting sqref="S55">
    <cfRule type="cellIs" dxfId="2294" priority="59" stopIfTrue="1" operator="equal">
      <formula>"2002 г. крайно ДТ с-до"</formula>
    </cfRule>
  </conditionalFormatting>
  <conditionalFormatting sqref="S53">
    <cfRule type="cellIs" dxfId="2293" priority="58" stopIfTrue="1" operator="equal">
      <formula>"2002 г. крайно ДТ с-до"</formula>
    </cfRule>
  </conditionalFormatting>
  <conditionalFormatting sqref="S57">
    <cfRule type="cellIs" dxfId="2292" priority="55" stopIfTrue="1" operator="equal">
      <formula>"2002 г. крайно ДТ с-до"</formula>
    </cfRule>
  </conditionalFormatting>
  <conditionalFormatting sqref="S58 S60">
    <cfRule type="cellIs" dxfId="2291" priority="60" stopIfTrue="1" operator="equal">
      <formula>"2002 г. крайно ДТ с-до"</formula>
    </cfRule>
  </conditionalFormatting>
  <conditionalFormatting sqref="R59:S59">
    <cfRule type="cellIs" dxfId="2290" priority="57" stopIfTrue="1" operator="notEqual">
      <formula>0</formula>
    </cfRule>
  </conditionalFormatting>
  <conditionalFormatting sqref="R61:S61">
    <cfRule type="cellIs" dxfId="2289" priority="56" stopIfTrue="1" operator="notEqual">
      <formula>0</formula>
    </cfRule>
  </conditionalFormatting>
  <conditionalFormatting sqref="R40">
    <cfRule type="cellIs" dxfId="2288" priority="54" stopIfTrue="1" operator="equal">
      <formula>"2002 г. крайно ДТ с-до"</formula>
    </cfRule>
  </conditionalFormatting>
  <conditionalFormatting sqref="R46">
    <cfRule type="cellIs" dxfId="2287" priority="50" stopIfTrue="1" operator="equal">
      <formula>"2002 г. крайно ДТ с-до"</formula>
    </cfRule>
  </conditionalFormatting>
  <conditionalFormatting sqref="E2:L2 C8">
    <cfRule type="cellIs" dxfId="2286" priority="48" stopIfTrue="1" operator="equal">
      <formula>0</formula>
    </cfRule>
  </conditionalFormatting>
  <conditionalFormatting sqref="D4">
    <cfRule type="cellIs" dxfId="2285" priority="28" stopIfTrue="1" operator="between">
      <formula>1000000000000</formula>
      <formula>9999999999999990</formula>
    </cfRule>
    <cfRule type="cellIs" dxfId="2284" priority="29" stopIfTrue="1" operator="between">
      <formula>1000000000</formula>
      <formula>999999999999</formula>
    </cfRule>
    <cfRule type="cellIs" dxfId="2283" priority="30" stopIfTrue="1" operator="between">
      <formula>10000</formula>
      <formula>99999999</formula>
    </cfRule>
    <cfRule type="cellIs" dxfId="2282" priority="31" stopIfTrue="1" operator="between">
      <formula>10</formula>
      <formula>9999</formula>
    </cfRule>
  </conditionalFormatting>
  <conditionalFormatting sqref="D4">
    <cfRule type="cellIs" dxfId="2281" priority="27" operator="equal">
      <formula>0</formula>
    </cfRule>
  </conditionalFormatting>
  <conditionalFormatting sqref="A3:C5">
    <cfRule type="cellIs" dxfId="2280" priority="26" operator="equal">
      <formula>"Код на общински разпоредител с бюджет"</formula>
    </cfRule>
  </conditionalFormatting>
  <conditionalFormatting sqref="G4:L4">
    <cfRule type="cellIs" dxfId="2279" priority="25" operator="equal">
      <formula>0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7109375" style="1396" customWidth="1"/>
    <col min="15" max="16" width="33.85546875" style="1393" customWidth="1"/>
    <col min="17" max="17" width="1.85546875" style="1392" customWidth="1"/>
    <col min="18" max="19" width="33.85546875" style="1393" customWidth="1"/>
    <col min="20" max="20" width="3.140625" style="1393" customWidth="1"/>
    <col min="21" max="21" width="33.28515625" style="1392" customWidth="1"/>
    <col min="22" max="22" width="35.85546875" style="1392" customWidth="1"/>
    <col min="23" max="16384" width="9.140625" style="1392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50" t="s">
        <v>257</v>
      </c>
      <c r="B2" s="202"/>
      <c r="C2" s="203"/>
      <c r="D2" s="202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204"/>
      <c r="O2" s="2235" t="s">
        <v>2143</v>
      </c>
      <c r="P2" s="2233"/>
      <c r="Q2" s="2233"/>
      <c r="R2" s="2233"/>
      <c r="S2" s="2234"/>
      <c r="T2" s="43"/>
      <c r="U2" s="43"/>
      <c r="V2" s="43"/>
      <c r="W2" s="43"/>
      <c r="X2" s="43"/>
    </row>
    <row r="3" spans="1:24" ht="3.75" customHeight="1">
      <c r="A3" s="2454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54"/>
      <c r="C3" s="245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54"/>
      <c r="B4" s="2454"/>
      <c r="C4" s="2454"/>
      <c r="D4" s="2471">
        <f>+'TRIAL-BALANCE'!D4:E4</f>
        <v>0</v>
      </c>
      <c r="E4" s="2472"/>
      <c r="F4" s="1919" t="s">
        <v>1951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204"/>
      <c r="O4" s="1280" t="s">
        <v>1303</v>
      </c>
      <c r="P4" s="1281"/>
      <c r="Q4" s="43"/>
      <c r="R4" s="1280" t="s">
        <v>1303</v>
      </c>
      <c r="S4" s="1281"/>
      <c r="T4" s="43"/>
      <c r="U4" s="43"/>
      <c r="V4" s="43"/>
      <c r="W4" s="43"/>
      <c r="X4" s="43"/>
    </row>
    <row r="5" spans="1:24" ht="3.75" customHeight="1">
      <c r="A5" s="2454"/>
      <c r="B5" s="2454"/>
      <c r="C5" s="245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204"/>
      <c r="O5" s="1490"/>
      <c r="P5" s="1491"/>
      <c r="Q5" s="43"/>
      <c r="R5" s="1490"/>
      <c r="S5" s="1491"/>
      <c r="T5" s="43"/>
      <c r="U5" s="43"/>
      <c r="V5" s="43"/>
      <c r="W5" s="43"/>
      <c r="X5" s="43"/>
    </row>
    <row r="6" spans="1:24" ht="18" customHeight="1">
      <c r="A6" s="452" t="s">
        <v>792</v>
      </c>
      <c r="B6" s="202"/>
      <c r="C6" s="2462">
        <f>+'TRIAL-BALANCE'!C6:E6</f>
        <v>0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204"/>
      <c r="O6" s="1492" t="s">
        <v>1249</v>
      </c>
      <c r="P6" s="1493"/>
      <c r="Q6" s="43"/>
      <c r="R6" s="1492" t="s">
        <v>1249</v>
      </c>
      <c r="S6" s="1493"/>
      <c r="T6" s="43"/>
      <c r="U6" s="43"/>
      <c r="V6" s="43"/>
      <c r="W6" s="43"/>
      <c r="X6" s="43"/>
    </row>
    <row r="7" spans="1:24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52" t="s">
        <v>258</v>
      </c>
      <c r="B8" s="206"/>
      <c r="C8" s="1056">
        <f>+'TRIAL-BALANCE'!C8</f>
        <v>0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0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494" t="s">
        <v>1246</v>
      </c>
      <c r="P8" s="1495"/>
      <c r="Q8" s="43"/>
      <c r="R8" s="1494" t="s">
        <v>1246</v>
      </c>
      <c r="S8" s="1495"/>
      <c r="T8" s="43"/>
      <c r="U8" s="43"/>
      <c r="V8" s="43"/>
      <c r="W8" s="43"/>
      <c r="X8" s="43"/>
    </row>
    <row r="9" spans="1:24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53" t="s">
        <v>259</v>
      </c>
      <c r="B10" s="49"/>
      <c r="C10" s="144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0</v>
      </c>
      <c r="L10" s="2519"/>
      <c r="M10" s="48"/>
      <c r="N10" s="1578">
        <f>+$C8</f>
        <v>0</v>
      </c>
      <c r="O10" s="950" t="s">
        <v>1247</v>
      </c>
      <c r="P10" s="146"/>
      <c r="Q10" s="43"/>
      <c r="R10" s="950" t="s">
        <v>1248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6"/>
      <c r="O11" s="371"/>
      <c r="P11" s="136"/>
      <c r="Q11" s="43"/>
      <c r="R11" s="371"/>
      <c r="S11" s="136"/>
      <c r="T11" s="43"/>
      <c r="U11" s="43"/>
      <c r="V11" s="43"/>
      <c r="W11" s="43"/>
      <c r="X11" s="43"/>
    </row>
    <row r="12" spans="1:24" ht="19.5" customHeight="1" thickTop="1">
      <c r="A12" s="1180" t="s">
        <v>1284</v>
      </c>
      <c r="B12" s="1181"/>
      <c r="C12" s="1182"/>
      <c r="D12" s="1183"/>
      <c r="E12" s="1184"/>
      <c r="F12" s="1184"/>
      <c r="G12" s="1305"/>
      <c r="H12" s="2531" t="str">
        <f>+'TRIAL-BALANCE'!H12:K12</f>
        <v>30 септември 2021 г.</v>
      </c>
      <c r="I12" s="2531"/>
      <c r="J12" s="2531"/>
      <c r="K12" s="2531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</row>
    <row r="13" spans="1:24" ht="33" customHeight="1">
      <c r="A13" s="1299" t="s">
        <v>1228</v>
      </c>
      <c r="B13" s="1300"/>
      <c r="C13" s="1301"/>
      <c r="D13" s="1302"/>
      <c r="E13" s="1302"/>
      <c r="F13" s="1302"/>
      <c r="G13" s="1302"/>
      <c r="H13" s="1302"/>
      <c r="I13" s="1302"/>
      <c r="J13" s="1302"/>
      <c r="K13" s="1302"/>
      <c r="L13" s="1303"/>
      <c r="M13" s="51"/>
      <c r="N13" s="1316"/>
      <c r="O13" s="1314"/>
      <c r="P13" s="1315"/>
      <c r="Q13" s="43"/>
      <c r="R13" s="1324"/>
      <c r="S13" s="1325"/>
      <c r="T13" s="38"/>
      <c r="U13" s="43"/>
      <c r="V13" s="43"/>
      <c r="W13" s="43"/>
      <c r="X13" s="43"/>
    </row>
    <row r="14" spans="1:24" ht="15.75" customHeight="1">
      <c r="A14" s="1479"/>
      <c r="B14" s="1480" t="s">
        <v>1335</v>
      </c>
      <c r="C14" s="1713"/>
      <c r="D14" s="1480"/>
      <c r="E14" s="1480"/>
      <c r="F14" s="1480"/>
      <c r="G14" s="1480"/>
      <c r="H14" s="1480"/>
      <c r="I14" s="1480"/>
      <c r="J14" s="1480"/>
      <c r="K14" s="1480"/>
      <c r="L14" s="1714"/>
      <c r="M14" s="51"/>
      <c r="N14" s="1483">
        <v>4410</v>
      </c>
      <c r="O14" s="1484">
        <v>0</v>
      </c>
      <c r="P14" s="1485">
        <f>+ROUND(SUM(P15:P16),2)</f>
        <v>0</v>
      </c>
      <c r="Q14" s="43"/>
      <c r="R14" s="1484">
        <v>0</v>
      </c>
      <c r="S14" s="1485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74" t="s">
        <v>1336</v>
      </c>
      <c r="C15" s="972"/>
      <c r="D15" s="1715"/>
      <c r="E15" s="1715"/>
      <c r="F15" s="1715"/>
      <c r="G15" s="1715"/>
      <c r="H15" s="1715"/>
      <c r="I15" s="1715"/>
      <c r="J15" s="1715"/>
      <c r="K15" s="1715"/>
      <c r="L15" s="1716"/>
      <c r="M15" s="51"/>
      <c r="N15" s="112">
        <v>4411</v>
      </c>
      <c r="O15" s="328">
        <v>0</v>
      </c>
      <c r="P15" s="1298"/>
      <c r="Q15" s="43"/>
      <c r="R15" s="328">
        <v>0</v>
      </c>
      <c r="S15" s="1298"/>
      <c r="T15" s="38"/>
      <c r="U15" s="43"/>
      <c r="V15" s="43"/>
      <c r="W15" s="43"/>
      <c r="X15" s="43"/>
    </row>
    <row r="16" spans="1:24" ht="15.75" customHeight="1">
      <c r="A16" s="88"/>
      <c r="B16" s="975" t="s">
        <v>1337</v>
      </c>
      <c r="C16" s="1717"/>
      <c r="D16" s="1717"/>
      <c r="E16" s="1717"/>
      <c r="F16" s="1717"/>
      <c r="G16" s="1717"/>
      <c r="H16" s="1717"/>
      <c r="I16" s="1717"/>
      <c r="J16" s="1717"/>
      <c r="K16" s="1717"/>
      <c r="L16" s="1718"/>
      <c r="M16" s="51"/>
      <c r="N16" s="113">
        <v>4412</v>
      </c>
      <c r="O16" s="8">
        <v>0</v>
      </c>
      <c r="P16" s="891"/>
      <c r="Q16" s="43"/>
      <c r="R16" s="8">
        <v>0</v>
      </c>
      <c r="S16" s="891"/>
      <c r="T16" s="38"/>
      <c r="U16" s="43"/>
      <c r="V16" s="43"/>
      <c r="W16" s="43"/>
      <c r="X16" s="43"/>
    </row>
    <row r="17" spans="1:24" ht="15.75" customHeight="1">
      <c r="A17" s="1688"/>
      <c r="B17" s="1689" t="s">
        <v>1338</v>
      </c>
      <c r="C17" s="1719"/>
      <c r="D17" s="1689"/>
      <c r="E17" s="1689"/>
      <c r="F17" s="1689"/>
      <c r="G17" s="1689"/>
      <c r="H17" s="1689"/>
      <c r="I17" s="1689"/>
      <c r="J17" s="1689"/>
      <c r="K17" s="1689"/>
      <c r="L17" s="1720"/>
      <c r="M17" s="51"/>
      <c r="N17" s="1692">
        <v>4420</v>
      </c>
      <c r="O17" s="1693">
        <v>0</v>
      </c>
      <c r="P17" s="1694"/>
      <c r="Q17" s="43"/>
      <c r="R17" s="1693">
        <v>0</v>
      </c>
      <c r="S17" s="1694"/>
      <c r="T17" s="38"/>
      <c r="U17" s="43"/>
      <c r="V17" s="43"/>
      <c r="W17" s="43"/>
      <c r="X17" s="43"/>
    </row>
    <row r="18" spans="1:24" ht="7.5" customHeight="1">
      <c r="A18" s="1286"/>
      <c r="B18" s="1287"/>
      <c r="C18" s="1288"/>
      <c r="D18" s="1289"/>
      <c r="E18" s="1289"/>
      <c r="F18" s="1289"/>
      <c r="G18" s="1289"/>
      <c r="H18" s="1289"/>
      <c r="I18" s="1289"/>
      <c r="J18" s="1289"/>
      <c r="K18" s="1289"/>
      <c r="L18" s="1290"/>
      <c r="M18" s="51"/>
      <c r="N18" s="1293"/>
      <c r="O18" s="600"/>
      <c r="P18" s="599"/>
      <c r="Q18" s="43"/>
      <c r="R18" s="600"/>
      <c r="S18" s="599"/>
      <c r="T18" s="38"/>
      <c r="U18" s="43"/>
      <c r="V18" s="43"/>
      <c r="W18" s="43"/>
      <c r="X18" s="43"/>
    </row>
    <row r="19" spans="1:24" ht="16.5" thickBot="1">
      <c r="A19" s="1307" t="s">
        <v>1225</v>
      </c>
      <c r="B19" s="1308"/>
      <c r="C19" s="1309"/>
      <c r="D19" s="1309"/>
      <c r="E19" s="1309"/>
      <c r="F19" s="1309"/>
      <c r="G19" s="1309"/>
      <c r="H19" s="1309"/>
      <c r="I19" s="1309"/>
      <c r="J19" s="1309"/>
      <c r="K19" s="1309"/>
      <c r="L19" s="1310"/>
      <c r="M19" s="49"/>
      <c r="N19" s="1329">
        <v>4544</v>
      </c>
      <c r="O19" s="1304">
        <v>0</v>
      </c>
      <c r="P19" s="1306">
        <f>+ROUND(+'TRIAL-BALANCE'!P187+'TRIAL-BALANCE'!W187+'TRIAL-BALANCE'!AD187,2)</f>
        <v>0</v>
      </c>
      <c r="Q19" s="607"/>
      <c r="R19" s="1304">
        <v>0</v>
      </c>
      <c r="S19" s="1306">
        <f>+ROUND(+'TRIAL-BALANCE'!T187+'TRIAL-BALANCE'!AA187+'TRIAL-BALANCE'!AH187,2)</f>
        <v>0</v>
      </c>
      <c r="T19" s="38"/>
      <c r="U19" s="43"/>
      <c r="V19" s="43"/>
      <c r="W19" s="43"/>
      <c r="X19" s="43"/>
    </row>
    <row r="20" spans="1:24" ht="17.25" customHeight="1" thickTop="1">
      <c r="A20" s="1317"/>
      <c r="B20" s="1318"/>
      <c r="C20" s="1319"/>
      <c r="D20" s="1320"/>
      <c r="E20" s="1320"/>
      <c r="F20" s="1320"/>
      <c r="G20" s="1320"/>
      <c r="H20" s="1320"/>
      <c r="I20" s="1320"/>
      <c r="J20" s="1320"/>
      <c r="K20" s="1876">
        <f>ROUND(+'Local-&amp;-SSF'!E6,0)</f>
        <v>0</v>
      </c>
      <c r="L20" s="1808" t="str">
        <f>+LEFT(H12,6)</f>
        <v>30 сеп</v>
      </c>
      <c r="M20" s="51"/>
      <c r="N20" s="1809" t="str">
        <f>+IF($L$20="31 дек","IV",+IF($L$20="30 сеп","III",+IF($L$20="30 юни","II",+IF($L$20="31 мар","I",0))))</f>
        <v>III</v>
      </c>
      <c r="O20" s="1372" t="str">
        <f>+IF(P20=0,"O K",+IF(AND($N20="IV",$K20=1),"ГРЕШКА - НЕРАВНЕНИ СУМИ!","O K"))</f>
        <v>O K</v>
      </c>
      <c r="P20" s="1331">
        <f>+IF(+AND($N20="IV",$K20=1),+ROUND(+P14+P17-P19,2),0)</f>
        <v>0</v>
      </c>
      <c r="Q20" s="43"/>
      <c r="R20" s="1374" t="str">
        <f>+IF(S20=0,"O K",+IF(AND($N20="IV",$K20=1),"ГРЕШКА - НЕРАВНЕНИ СУМИ!","O K"))</f>
        <v>O K</v>
      </c>
      <c r="S20" s="1331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99" t="s">
        <v>1229</v>
      </c>
      <c r="B21" s="1300"/>
      <c r="C21" s="1301"/>
      <c r="D21" s="1302"/>
      <c r="E21" s="1302"/>
      <c r="F21" s="1302"/>
      <c r="G21" s="1302"/>
      <c r="H21" s="1302"/>
      <c r="I21" s="1302"/>
      <c r="J21" s="1302"/>
      <c r="K21" s="1302"/>
      <c r="L21" s="1303"/>
      <c r="M21" s="51"/>
      <c r="N21" s="1313"/>
      <c r="O21" s="1314"/>
      <c r="P21" s="1315"/>
      <c r="Q21" s="43"/>
      <c r="R21" s="1322"/>
      <c r="S21" s="1323"/>
      <c r="T21" s="38"/>
      <c r="U21" s="43"/>
      <c r="V21" s="43"/>
      <c r="W21" s="43"/>
      <c r="X21" s="43"/>
    </row>
    <row r="22" spans="1:24" ht="15.75" customHeight="1">
      <c r="A22" s="1479"/>
      <c r="B22" s="1480" t="s">
        <v>1227</v>
      </c>
      <c r="C22" s="1479"/>
      <c r="D22" s="1481"/>
      <c r="E22" s="1481"/>
      <c r="F22" s="1481"/>
      <c r="G22" s="1481"/>
      <c r="H22" s="1481"/>
      <c r="I22" s="1481"/>
      <c r="J22" s="1481"/>
      <c r="K22" s="1481"/>
      <c r="L22" s="1482"/>
      <c r="M22" s="51"/>
      <c r="N22" s="1483">
        <v>4570</v>
      </c>
      <c r="O22" s="1486">
        <f>+ROUND(SUM(O23:O24),2)</f>
        <v>0</v>
      </c>
      <c r="P22" s="1487">
        <v>0</v>
      </c>
      <c r="Q22" s="43"/>
      <c r="R22" s="1486">
        <f>+ROUND(SUM(R23:R24),2)</f>
        <v>0</v>
      </c>
      <c r="S22" s="1487">
        <v>0</v>
      </c>
      <c r="T22" s="38"/>
      <c r="U22" s="43"/>
      <c r="V22" s="43"/>
      <c r="W22" s="43"/>
      <c r="X22" s="43"/>
    </row>
    <row r="23" spans="1:24" ht="15.75" customHeight="1">
      <c r="A23" s="85"/>
      <c r="B23" s="974" t="s">
        <v>1250</v>
      </c>
      <c r="C23" s="1294"/>
      <c r="D23" s="1291"/>
      <c r="E23" s="1291"/>
      <c r="F23" s="1291"/>
      <c r="G23" s="1291"/>
      <c r="H23" s="1291"/>
      <c r="I23" s="1291"/>
      <c r="J23" s="1291"/>
      <c r="K23" s="1291"/>
      <c r="L23" s="1292"/>
      <c r="M23" s="51"/>
      <c r="N23" s="112">
        <v>4571</v>
      </c>
      <c r="O23" s="835"/>
      <c r="P23" s="331">
        <v>0</v>
      </c>
      <c r="Q23" s="43"/>
      <c r="R23" s="835"/>
      <c r="S23" s="331">
        <v>0</v>
      </c>
      <c r="T23" s="38"/>
      <c r="U23" s="43"/>
      <c r="V23" s="43"/>
      <c r="W23" s="43"/>
      <c r="X23" s="43"/>
    </row>
    <row r="24" spans="1:24" ht="15.75" customHeight="1">
      <c r="A24" s="88"/>
      <c r="B24" s="1311" t="s">
        <v>1251</v>
      </c>
      <c r="C24" s="1044"/>
      <c r="D24" s="1195"/>
      <c r="E24" s="1195"/>
      <c r="F24" s="1195"/>
      <c r="G24" s="1195"/>
      <c r="H24" s="1195"/>
      <c r="I24" s="1195"/>
      <c r="J24" s="1195"/>
      <c r="K24" s="1195"/>
      <c r="L24" s="590"/>
      <c r="M24" s="51"/>
      <c r="N24" s="113">
        <v>4572</v>
      </c>
      <c r="O24" s="581"/>
      <c r="P24" s="30">
        <v>0</v>
      </c>
      <c r="Q24" s="43"/>
      <c r="R24" s="581"/>
      <c r="S24" s="30">
        <v>0</v>
      </c>
      <c r="T24" s="38"/>
      <c r="U24" s="43"/>
      <c r="V24" s="43"/>
      <c r="W24" s="43"/>
      <c r="X24" s="43"/>
    </row>
    <row r="25" spans="1:24" ht="15.75" customHeight="1">
      <c r="A25" s="1688"/>
      <c r="B25" s="1689" t="s">
        <v>1363</v>
      </c>
      <c r="C25" s="1688"/>
      <c r="D25" s="1690"/>
      <c r="E25" s="1690"/>
      <c r="F25" s="1690"/>
      <c r="G25" s="1690"/>
      <c r="H25" s="1690"/>
      <c r="I25" s="1690"/>
      <c r="J25" s="1690"/>
      <c r="K25" s="1690"/>
      <c r="L25" s="1691"/>
      <c r="M25" s="51"/>
      <c r="N25" s="1692">
        <v>4580</v>
      </c>
      <c r="O25" s="1695"/>
      <c r="P25" s="1696">
        <v>0</v>
      </c>
      <c r="Q25" s="43"/>
      <c r="R25" s="1695"/>
      <c r="S25" s="1696">
        <v>0</v>
      </c>
      <c r="T25" s="38"/>
      <c r="U25" s="43"/>
      <c r="V25" s="43"/>
      <c r="W25" s="43"/>
      <c r="X25" s="43"/>
    </row>
    <row r="26" spans="1:24" ht="7.5" customHeight="1">
      <c r="A26" s="1286"/>
      <c r="B26" s="1287"/>
      <c r="C26" s="1288"/>
      <c r="D26" s="1289"/>
      <c r="E26" s="1289"/>
      <c r="F26" s="1289"/>
      <c r="G26" s="1289"/>
      <c r="H26" s="1289"/>
      <c r="I26" s="1289"/>
      <c r="J26" s="1289"/>
      <c r="K26" s="1289"/>
      <c r="L26" s="1290"/>
      <c r="M26" s="51"/>
      <c r="N26" s="1293"/>
      <c r="O26" s="600"/>
      <c r="P26" s="599"/>
      <c r="Q26" s="43"/>
      <c r="R26" s="600"/>
      <c r="S26" s="599"/>
      <c r="T26" s="38"/>
      <c r="U26" s="43"/>
      <c r="V26" s="43"/>
      <c r="W26" s="43"/>
      <c r="X26" s="43"/>
    </row>
    <row r="27" spans="1:24" ht="17.25" customHeight="1" thickBot="1">
      <c r="A27" s="1307" t="s">
        <v>1226</v>
      </c>
      <c r="B27" s="1308"/>
      <c r="C27" s="1309"/>
      <c r="D27" s="1309"/>
      <c r="E27" s="1309"/>
      <c r="F27" s="1309"/>
      <c r="G27" s="1309"/>
      <c r="H27" s="1309"/>
      <c r="I27" s="1309"/>
      <c r="J27" s="1309"/>
      <c r="K27" s="1309"/>
      <c r="L27" s="1310"/>
      <c r="M27" s="49"/>
      <c r="N27" s="1330">
        <v>4545</v>
      </c>
      <c r="O27" s="1326">
        <f>+ROUND(+'TRIAL-BALANCE'!O188+'TRIAL-BALANCE'!V188+'TRIAL-BALANCE'!AC188,2)</f>
        <v>0</v>
      </c>
      <c r="P27" s="1327">
        <f>+ROUND(P22+P25,2)</f>
        <v>0</v>
      </c>
      <c r="Q27" s="607"/>
      <c r="R27" s="1326">
        <f>+ROUND(+'TRIAL-BALANCE'!S188+'TRIAL-BALANCE'!Z188+'TRIAL-BALANCE'!AG188,2)</f>
        <v>0</v>
      </c>
      <c r="S27" s="1327">
        <v>0</v>
      </c>
      <c r="T27" s="38"/>
      <c r="U27" s="43"/>
      <c r="V27" s="43"/>
      <c r="W27" s="43"/>
      <c r="X27" s="43"/>
    </row>
    <row r="28" spans="1:24" ht="17.25" customHeight="1" thickTop="1">
      <c r="A28" s="1317"/>
      <c r="B28" s="1318"/>
      <c r="C28" s="1319"/>
      <c r="D28" s="1320"/>
      <c r="E28" s="1320"/>
      <c r="F28" s="1320"/>
      <c r="G28" s="1320"/>
      <c r="H28" s="1320"/>
      <c r="I28" s="1320"/>
      <c r="J28" s="1320"/>
      <c r="K28" s="1320"/>
      <c r="L28" s="1321"/>
      <c r="M28" s="51"/>
      <c r="N28" s="1312"/>
      <c r="O28" s="1332">
        <f>+IF(+AND($N20="IV",$K20=1),+ROUND(+O22+O25-O27,2),0)</f>
        <v>0</v>
      </c>
      <c r="P28" s="1373" t="str">
        <f>+IF(O28=0,"O K",+IF(AND($N20="IV",$K20=1),"ГРЕШКА - НЕРАВНЕНИ СУМИ!","O K"))</f>
        <v>O K</v>
      </c>
      <c r="Q28" s="43"/>
      <c r="R28" s="1333">
        <f>+IF(+AND($N20="IV",$K20=1),+ROUND(+R22+R25-R27,2),0)</f>
        <v>0</v>
      </c>
      <c r="S28" s="1373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99" t="s">
        <v>1231</v>
      </c>
      <c r="B29" s="1300"/>
      <c r="C29" s="1301"/>
      <c r="D29" s="1302"/>
      <c r="E29" s="1302"/>
      <c r="F29" s="1302"/>
      <c r="G29" s="1302"/>
      <c r="H29" s="1302"/>
      <c r="I29" s="1302"/>
      <c r="J29" s="1302"/>
      <c r="K29" s="1302"/>
      <c r="L29" s="1303"/>
      <c r="M29" s="51"/>
      <c r="N29" s="1316"/>
      <c r="O29" s="1314"/>
      <c r="P29" s="1315"/>
      <c r="Q29" s="43"/>
      <c r="R29" s="1322"/>
      <c r="S29" s="1323"/>
      <c r="T29" s="38"/>
      <c r="U29" s="43"/>
      <c r="V29" s="43"/>
      <c r="W29" s="43"/>
      <c r="X29" s="43"/>
    </row>
    <row r="30" spans="1:24" ht="15.75" customHeight="1">
      <c r="A30" s="1479"/>
      <c r="B30" s="1721" t="s">
        <v>1339</v>
      </c>
      <c r="C30" s="1479"/>
      <c r="D30" s="1721"/>
      <c r="E30" s="1721"/>
      <c r="F30" s="1721"/>
      <c r="G30" s="1721"/>
      <c r="H30" s="1721"/>
      <c r="I30" s="1721"/>
      <c r="J30" s="1721"/>
      <c r="K30" s="1721"/>
      <c r="L30" s="1722"/>
      <c r="M30" s="51"/>
      <c r="N30" s="1483">
        <v>4710</v>
      </c>
      <c r="O30" s="1488"/>
      <c r="P30" s="1487">
        <v>0</v>
      </c>
      <c r="Q30" s="43"/>
      <c r="R30" s="1488"/>
      <c r="S30" s="1487">
        <v>0</v>
      </c>
      <c r="T30" s="38"/>
      <c r="U30" s="43"/>
      <c r="V30" s="43"/>
      <c r="W30" s="43"/>
      <c r="X30" s="43"/>
    </row>
    <row r="31" spans="1:24" ht="15.75" customHeight="1">
      <c r="A31" s="1688"/>
      <c r="B31" s="1723" t="s">
        <v>1340</v>
      </c>
      <c r="C31" s="1688"/>
      <c r="D31" s="1723"/>
      <c r="E31" s="1723"/>
      <c r="F31" s="1723"/>
      <c r="G31" s="1723"/>
      <c r="H31" s="1723"/>
      <c r="I31" s="1723"/>
      <c r="J31" s="1723"/>
      <c r="K31" s="1723"/>
      <c r="L31" s="1724"/>
      <c r="M31" s="51"/>
      <c r="N31" s="1692">
        <v>4720</v>
      </c>
      <c r="O31" s="1695"/>
      <c r="P31" s="1696">
        <v>0</v>
      </c>
      <c r="Q31" s="43"/>
      <c r="R31" s="1695"/>
      <c r="S31" s="1696">
        <v>0</v>
      </c>
      <c r="T31" s="38"/>
      <c r="U31" s="43"/>
      <c r="V31" s="43"/>
      <c r="W31" s="43"/>
      <c r="X31" s="43"/>
    </row>
    <row r="32" spans="1:24" ht="7.5" customHeight="1">
      <c r="A32" s="1286"/>
      <c r="B32" s="1287"/>
      <c r="C32" s="1288"/>
      <c r="D32" s="1289"/>
      <c r="E32" s="1289"/>
      <c r="F32" s="1289"/>
      <c r="G32" s="1289"/>
      <c r="H32" s="1289"/>
      <c r="I32" s="1289"/>
      <c r="J32" s="1289"/>
      <c r="K32" s="1289"/>
      <c r="L32" s="1290"/>
      <c r="M32" s="51"/>
      <c r="N32" s="1293"/>
      <c r="O32" s="600"/>
      <c r="P32" s="599"/>
      <c r="Q32" s="43"/>
      <c r="R32" s="600"/>
      <c r="S32" s="599"/>
      <c r="T32" s="38"/>
      <c r="U32" s="43"/>
      <c r="V32" s="43"/>
      <c r="W32" s="43"/>
      <c r="X32" s="43"/>
    </row>
    <row r="33" spans="1:24" ht="16.5" thickBot="1">
      <c r="A33" s="1307" t="s">
        <v>1230</v>
      </c>
      <c r="B33" s="1308"/>
      <c r="C33" s="1309"/>
      <c r="D33" s="1309"/>
      <c r="E33" s="1309"/>
      <c r="F33" s="1309"/>
      <c r="G33" s="1309"/>
      <c r="H33" s="1309"/>
      <c r="I33" s="1309"/>
      <c r="J33" s="1309"/>
      <c r="K33" s="1309"/>
      <c r="L33" s="1310"/>
      <c r="M33" s="49"/>
      <c r="N33" s="1330">
        <v>4547</v>
      </c>
      <c r="O33" s="1326">
        <f>+ROUND(+'TRIAL-BALANCE'!O189+'TRIAL-BALANCE'!V188+'TRIAL-BALANCE'!AC189,2)</f>
        <v>0</v>
      </c>
      <c r="P33" s="1327">
        <f>+ROUND(P30+P31,2)</f>
        <v>0</v>
      </c>
      <c r="Q33" s="607"/>
      <c r="R33" s="1326">
        <f>+ROUND(+'TRIAL-BALANCE'!S189+'TRIAL-BALANCE'!Z188+'TRIAL-BALANCE'!AG189,2)</f>
        <v>0</v>
      </c>
      <c r="S33" s="1327">
        <v>0</v>
      </c>
      <c r="T33" s="38"/>
      <c r="U33" s="43"/>
      <c r="V33" s="43"/>
      <c r="W33" s="43"/>
      <c r="X33" s="43"/>
    </row>
    <row r="34" spans="1:24" ht="17.25" customHeight="1" thickTop="1">
      <c r="A34" s="1317"/>
      <c r="B34" s="1318"/>
      <c r="C34" s="1319"/>
      <c r="D34" s="1320"/>
      <c r="E34" s="1320"/>
      <c r="F34" s="1320"/>
      <c r="G34" s="1320"/>
      <c r="H34" s="1320"/>
      <c r="I34" s="1320"/>
      <c r="J34" s="1320"/>
      <c r="K34" s="1320"/>
      <c r="L34" s="1321"/>
      <c r="M34" s="51"/>
      <c r="N34" s="1312"/>
      <c r="O34" s="1332">
        <f>+IF(+AND($N20="IV",$K20=1),+ROUND(+O30+O31-O33,2),0)</f>
        <v>0</v>
      </c>
      <c r="P34" s="1373" t="str">
        <f>+IF(O34=0,"O K",+IF(AND($N20="IV",$K20=1),"ГРЕШКА - НЕРАВНЕНИ СУМИ!","O K"))</f>
        <v>O K</v>
      </c>
      <c r="Q34" s="43"/>
      <c r="R34" s="1333">
        <f>+IF(+AND($N20="IV",$K20=1),+ROUND(+R30+R31-R33,2),0)</f>
        <v>0</v>
      </c>
      <c r="S34" s="1373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99" t="s">
        <v>1232</v>
      </c>
      <c r="B35" s="1300"/>
      <c r="C35" s="1301"/>
      <c r="D35" s="1302"/>
      <c r="E35" s="1302"/>
      <c r="F35" s="1302"/>
      <c r="G35" s="1302"/>
      <c r="H35" s="1302"/>
      <c r="I35" s="1302"/>
      <c r="J35" s="1302"/>
      <c r="K35" s="1302"/>
      <c r="L35" s="1303"/>
      <c r="M35" s="51"/>
      <c r="N35" s="1313"/>
      <c r="O35" s="1314"/>
      <c r="P35" s="1315"/>
      <c r="Q35" s="43"/>
      <c r="R35" s="1322"/>
      <c r="S35" s="1323"/>
      <c r="T35" s="38"/>
      <c r="U35" s="43"/>
      <c r="V35" s="43"/>
      <c r="W35" s="43"/>
      <c r="X35" s="43"/>
    </row>
    <row r="36" spans="1:24" ht="15.75" customHeight="1">
      <c r="A36" s="1479"/>
      <c r="B36" s="1480" t="s">
        <v>1345</v>
      </c>
      <c r="C36" s="1479"/>
      <c r="D36" s="1481"/>
      <c r="E36" s="1481"/>
      <c r="F36" s="1481"/>
      <c r="G36" s="1481"/>
      <c r="H36" s="1481"/>
      <c r="I36" s="1481"/>
      <c r="J36" s="1481"/>
      <c r="K36" s="1481"/>
      <c r="L36" s="1482"/>
      <c r="M36" s="51"/>
      <c r="N36" s="1483">
        <v>4810</v>
      </c>
      <c r="O36" s="1484">
        <v>0</v>
      </c>
      <c r="P36" s="1489"/>
      <c r="Q36" s="43"/>
      <c r="R36" s="1484">
        <v>0</v>
      </c>
      <c r="S36" s="1489"/>
      <c r="T36" s="38"/>
      <c r="U36" s="43"/>
      <c r="V36" s="43"/>
      <c r="W36" s="43"/>
      <c r="X36" s="43"/>
    </row>
    <row r="37" spans="1:24" ht="15.75" customHeight="1">
      <c r="A37" s="1688"/>
      <c r="B37" s="1689" t="s">
        <v>1346</v>
      </c>
      <c r="C37" s="1688"/>
      <c r="D37" s="1690"/>
      <c r="E37" s="1690"/>
      <c r="F37" s="1690"/>
      <c r="G37" s="1690"/>
      <c r="H37" s="1690"/>
      <c r="I37" s="1690"/>
      <c r="J37" s="1690"/>
      <c r="K37" s="1690"/>
      <c r="L37" s="1691"/>
      <c r="M37" s="51"/>
      <c r="N37" s="1295">
        <v>4820</v>
      </c>
      <c r="O37" s="1693">
        <v>0</v>
      </c>
      <c r="P37" s="1694"/>
      <c r="Q37" s="43"/>
      <c r="R37" s="1693">
        <v>0</v>
      </c>
      <c r="S37" s="1694"/>
      <c r="T37" s="38"/>
      <c r="U37" s="43"/>
      <c r="V37" s="43"/>
      <c r="W37" s="43"/>
      <c r="X37" s="43"/>
    </row>
    <row r="38" spans="1:24" ht="7.5" customHeight="1">
      <c r="A38" s="1286"/>
      <c r="B38" s="1287"/>
      <c r="C38" s="1288"/>
      <c r="D38" s="1289"/>
      <c r="E38" s="1289"/>
      <c r="F38" s="1289"/>
      <c r="G38" s="1289"/>
      <c r="H38" s="1289"/>
      <c r="I38" s="1289"/>
      <c r="J38" s="1289"/>
      <c r="K38" s="1289"/>
      <c r="L38" s="1290"/>
      <c r="M38" s="51"/>
      <c r="N38" s="1293"/>
      <c r="O38" s="600"/>
      <c r="P38" s="599"/>
      <c r="Q38" s="43"/>
      <c r="R38" s="600"/>
      <c r="S38" s="599"/>
      <c r="T38" s="38"/>
      <c r="U38" s="43"/>
      <c r="V38" s="43"/>
      <c r="W38" s="43"/>
      <c r="X38" s="43"/>
    </row>
    <row r="39" spans="1:24" ht="17.25" customHeight="1" thickBot="1">
      <c r="A39" s="1307" t="s">
        <v>1233</v>
      </c>
      <c r="B39" s="1308"/>
      <c r="C39" s="1309"/>
      <c r="D39" s="1309"/>
      <c r="E39" s="1309"/>
      <c r="F39" s="1309"/>
      <c r="G39" s="1309"/>
      <c r="H39" s="1309"/>
      <c r="I39" s="1309"/>
      <c r="J39" s="1309"/>
      <c r="K39" s="1309"/>
      <c r="L39" s="1310"/>
      <c r="M39" s="49"/>
      <c r="N39" s="1329">
        <v>4548</v>
      </c>
      <c r="O39" s="1304">
        <v>0</v>
      </c>
      <c r="P39" s="1306">
        <f>+ROUND(+'TRIAL-BALANCE'!P190+'TRIAL-BALANCE'!W190+'TRIAL-BALANCE'!AD190,2)</f>
        <v>0</v>
      </c>
      <c r="Q39" s="607"/>
      <c r="R39" s="1304">
        <v>0</v>
      </c>
      <c r="S39" s="1306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317"/>
      <c r="B40" s="1318"/>
      <c r="C40" s="1319"/>
      <c r="D40" s="1320"/>
      <c r="E40" s="1320"/>
      <c r="F40" s="1320"/>
      <c r="G40" s="1320"/>
      <c r="H40" s="1320"/>
      <c r="I40" s="1320"/>
      <c r="J40" s="1320"/>
      <c r="K40" s="1320"/>
      <c r="L40" s="1321"/>
      <c r="M40" s="51"/>
      <c r="N40" s="1312"/>
      <c r="O40" s="1372" t="str">
        <f>+IF(P40=0,"O K",+IF(AND($N20="IV",$K20=1),"ГРЕШКА - НЕРАВНЕНИ СУМИ!","O K"))</f>
        <v>O K</v>
      </c>
      <c r="P40" s="1331">
        <f>+IF(+AND($N20="IV",$K20=1),+ROUND(+P36+P37-P39,2),0)</f>
        <v>0</v>
      </c>
      <c r="Q40" s="43"/>
      <c r="R40" s="1374" t="str">
        <f>+IF(S40=0,"O K",+IF(AND($N20="IV",$K20=1),"ГРЕШКА - НЕРАВНЕНИ СУМИ!","O K"))</f>
        <v>O K</v>
      </c>
      <c r="S40" s="1331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99" t="s">
        <v>1234</v>
      </c>
      <c r="B41" s="1300"/>
      <c r="C41" s="1301"/>
      <c r="D41" s="1302"/>
      <c r="E41" s="1302"/>
      <c r="F41" s="1302"/>
      <c r="G41" s="1302"/>
      <c r="H41" s="1302"/>
      <c r="I41" s="1302"/>
      <c r="J41" s="1302"/>
      <c r="K41" s="1302"/>
      <c r="L41" s="1303"/>
      <c r="M41" s="51"/>
      <c r="N41" s="1316"/>
      <c r="O41" s="1314"/>
      <c r="P41" s="1315"/>
      <c r="Q41" s="43"/>
      <c r="R41" s="1322"/>
      <c r="S41" s="1323"/>
      <c r="T41" s="38"/>
      <c r="U41" s="43"/>
      <c r="V41" s="43"/>
      <c r="W41" s="43"/>
      <c r="X41" s="43"/>
    </row>
    <row r="42" spans="1:24" ht="15.75" customHeight="1">
      <c r="A42" s="1479"/>
      <c r="B42" s="1721" t="s">
        <v>1454</v>
      </c>
      <c r="C42" s="1479"/>
      <c r="D42" s="1721"/>
      <c r="E42" s="1721"/>
      <c r="F42" s="1721"/>
      <c r="G42" s="1721"/>
      <c r="H42" s="1721"/>
      <c r="I42" s="1721"/>
      <c r="J42" s="1721"/>
      <c r="K42" s="1721"/>
      <c r="L42" s="1722"/>
      <c r="M42" s="51"/>
      <c r="N42" s="1483">
        <v>4310</v>
      </c>
      <c r="O42" s="1486">
        <f>+ROUND(SUM(O43:O44),2)</f>
        <v>0</v>
      </c>
      <c r="P42" s="1487">
        <v>0</v>
      </c>
      <c r="Q42" s="43"/>
      <c r="R42" s="1486">
        <f>+ROUND(SUM(R43:R44),2)</f>
        <v>0</v>
      </c>
      <c r="S42" s="1487">
        <v>0</v>
      </c>
      <c r="T42" s="38"/>
      <c r="U42" s="43"/>
      <c r="V42" s="43"/>
      <c r="W42" s="43"/>
      <c r="X42" s="43"/>
    </row>
    <row r="43" spans="1:24" ht="15.75" customHeight="1">
      <c r="A43" s="85"/>
      <c r="B43" s="974" t="s">
        <v>1453</v>
      </c>
      <c r="C43" s="1294"/>
      <c r="D43" s="1291"/>
      <c r="E43" s="1291"/>
      <c r="F43" s="1291"/>
      <c r="G43" s="1291"/>
      <c r="H43" s="1291"/>
      <c r="I43" s="1291"/>
      <c r="J43" s="1291"/>
      <c r="K43" s="1291"/>
      <c r="L43" s="1292"/>
      <c r="M43" s="51"/>
      <c r="N43" s="112" t="s">
        <v>2049</v>
      </c>
      <c r="O43" s="835"/>
      <c r="P43" s="331">
        <v>0</v>
      </c>
      <c r="Q43" s="43"/>
      <c r="R43" s="835"/>
      <c r="S43" s="331">
        <v>0</v>
      </c>
      <c r="T43" s="38"/>
      <c r="U43" s="43"/>
      <c r="V43" s="43"/>
      <c r="W43" s="43"/>
      <c r="X43" s="43"/>
    </row>
    <row r="44" spans="1:24" ht="15.75" customHeight="1">
      <c r="A44" s="88"/>
      <c r="B44" s="975" t="s">
        <v>1455</v>
      </c>
      <c r="C44" s="1044"/>
      <c r="D44" s="1195"/>
      <c r="E44" s="1195"/>
      <c r="F44" s="1195"/>
      <c r="G44" s="1195"/>
      <c r="H44" s="1195"/>
      <c r="I44" s="1195"/>
      <c r="J44" s="1195"/>
      <c r="K44" s="1195"/>
      <c r="L44" s="590"/>
      <c r="M44" s="51"/>
      <c r="N44" s="113" t="s">
        <v>2050</v>
      </c>
      <c r="O44" s="581"/>
      <c r="P44" s="30">
        <v>0</v>
      </c>
      <c r="Q44" s="43"/>
      <c r="R44" s="581"/>
      <c r="S44" s="30">
        <v>0</v>
      </c>
      <c r="T44" s="38"/>
      <c r="U44" s="43"/>
      <c r="V44" s="43"/>
      <c r="W44" s="43"/>
      <c r="X44" s="43"/>
    </row>
    <row r="45" spans="1:24" ht="15.75" customHeight="1">
      <c r="A45" s="1688"/>
      <c r="B45" s="1723" t="s">
        <v>1341</v>
      </c>
      <c r="C45" s="1688"/>
      <c r="D45" s="1723"/>
      <c r="E45" s="1723"/>
      <c r="F45" s="1723"/>
      <c r="G45" s="1723"/>
      <c r="H45" s="1723"/>
      <c r="I45" s="1723"/>
      <c r="J45" s="1723"/>
      <c r="K45" s="1723"/>
      <c r="L45" s="1724"/>
      <c r="M45" s="51"/>
      <c r="N45" s="1692">
        <v>4320</v>
      </c>
      <c r="O45" s="1877">
        <f>+ROUND(SUM(O46:O47),2)</f>
        <v>0</v>
      </c>
      <c r="P45" s="1696">
        <v>0</v>
      </c>
      <c r="Q45" s="43"/>
      <c r="R45" s="1877">
        <f>+ROUND(SUM(R46:R47),2)</f>
        <v>0</v>
      </c>
      <c r="S45" s="1696">
        <v>0</v>
      </c>
      <c r="T45" s="38"/>
      <c r="U45" s="43"/>
      <c r="V45" s="43"/>
      <c r="W45" s="43"/>
      <c r="X45" s="43"/>
    </row>
    <row r="46" spans="1:24" ht="15.75" customHeight="1">
      <c r="A46" s="85"/>
      <c r="B46" s="979" t="s">
        <v>1456</v>
      </c>
      <c r="C46" s="1779"/>
      <c r="D46" s="1780"/>
      <c r="E46" s="1780"/>
      <c r="F46" s="1780"/>
      <c r="G46" s="1780"/>
      <c r="H46" s="1780"/>
      <c r="I46" s="1780"/>
      <c r="J46" s="1780"/>
      <c r="K46" s="1780"/>
      <c r="L46" s="1781"/>
      <c r="M46" s="51"/>
      <c r="N46" s="1734" t="s">
        <v>2051</v>
      </c>
      <c r="O46" s="1785"/>
      <c r="P46" s="1786">
        <v>0</v>
      </c>
      <c r="Q46" s="43"/>
      <c r="R46" s="1785"/>
      <c r="S46" s="1786">
        <v>0</v>
      </c>
      <c r="T46" s="38"/>
      <c r="U46" s="43"/>
      <c r="V46" s="43"/>
      <c r="W46" s="43"/>
      <c r="X46" s="43"/>
    </row>
    <row r="47" spans="1:24" ht="15.75" customHeight="1">
      <c r="A47" s="88"/>
      <c r="B47" s="983" t="s">
        <v>1457</v>
      </c>
      <c r="C47" s="1782"/>
      <c r="D47" s="1783"/>
      <c r="E47" s="1783"/>
      <c r="F47" s="1783"/>
      <c r="G47" s="1783"/>
      <c r="H47" s="1783"/>
      <c r="I47" s="1783"/>
      <c r="J47" s="1783"/>
      <c r="K47" s="1783"/>
      <c r="L47" s="1784"/>
      <c r="M47" s="51"/>
      <c r="N47" s="1735" t="s">
        <v>2052</v>
      </c>
      <c r="O47" s="1787"/>
      <c r="P47" s="1788">
        <v>0</v>
      </c>
      <c r="Q47" s="43"/>
      <c r="R47" s="1787"/>
      <c r="S47" s="1788">
        <v>0</v>
      </c>
      <c r="T47" s="38"/>
      <c r="U47" s="43"/>
      <c r="V47" s="43"/>
      <c r="W47" s="43"/>
      <c r="X47" s="43"/>
    </row>
    <row r="48" spans="1:24" ht="7.5" customHeight="1">
      <c r="A48" s="1286"/>
      <c r="B48" s="1300"/>
      <c r="C48" s="1301"/>
      <c r="D48" s="1302"/>
      <c r="E48" s="1302"/>
      <c r="F48" s="1302"/>
      <c r="G48" s="1302"/>
      <c r="H48" s="1302"/>
      <c r="I48" s="1302"/>
      <c r="J48" s="1302"/>
      <c r="K48" s="1302"/>
      <c r="L48" s="1303"/>
      <c r="M48" s="51"/>
      <c r="N48" s="1736"/>
      <c r="O48" s="1777"/>
      <c r="P48" s="1778"/>
      <c r="Q48" s="43"/>
      <c r="R48" s="1777"/>
      <c r="S48" s="1778"/>
      <c r="T48" s="38"/>
      <c r="U48" s="43"/>
      <c r="V48" s="43"/>
      <c r="W48" s="43"/>
      <c r="X48" s="43"/>
    </row>
    <row r="49" spans="1:24" ht="16.5" thickBot="1">
      <c r="A49" s="1307" t="s">
        <v>1235</v>
      </c>
      <c r="B49" s="1308"/>
      <c r="C49" s="1309"/>
      <c r="D49" s="1309"/>
      <c r="E49" s="1309"/>
      <c r="F49" s="1309"/>
      <c r="G49" s="1309"/>
      <c r="H49" s="1309"/>
      <c r="I49" s="1309"/>
      <c r="J49" s="1309"/>
      <c r="K49" s="1309"/>
      <c r="L49" s="1310"/>
      <c r="M49" s="49"/>
      <c r="N49" s="1330">
        <v>4309</v>
      </c>
      <c r="O49" s="1326">
        <f>+ROUND(SUM(O50:O51),2)</f>
        <v>0</v>
      </c>
      <c r="P49" s="1327">
        <f>+ROUND(P42+P45,2)</f>
        <v>0</v>
      </c>
      <c r="Q49" s="607"/>
      <c r="R49" s="1326">
        <f>+ROUND(SUM(R50:R51),2)</f>
        <v>0</v>
      </c>
      <c r="S49" s="1327">
        <v>0</v>
      </c>
      <c r="T49" s="38"/>
      <c r="U49" s="43"/>
      <c r="V49" s="43"/>
      <c r="W49" s="43"/>
      <c r="X49" s="43"/>
    </row>
    <row r="50" spans="1:24" ht="15.75" customHeight="1" thickTop="1">
      <c r="A50" s="1317"/>
      <c r="B50" s="1798"/>
      <c r="C50" s="1319"/>
      <c r="D50" s="1799"/>
      <c r="E50" s="1796" t="s">
        <v>1458</v>
      </c>
      <c r="F50" s="1794"/>
      <c r="G50" s="1794"/>
      <c r="H50" s="1794"/>
      <c r="I50" s="1794"/>
      <c r="J50" s="1794"/>
      <c r="K50" s="1794"/>
      <c r="L50" s="1795"/>
      <c r="M50" s="51"/>
      <c r="N50" s="112">
        <v>4301</v>
      </c>
      <c r="O50" s="1878">
        <f>+ROUND(+'TRIAL-BALANCE'!O148+'TRIAL-BALANCE'!V148+'TRIAL-BALANCE'!AC148,2)</f>
        <v>0</v>
      </c>
      <c r="P50" s="1789">
        <f>+IF(+ROUND(O50,2)=ROUND(O43+O46,2),0,+IF(AND($N20="IV",$K20=1),"ГРЕШКА - НЕРАВНЕНИ СУМИ!",0))</f>
        <v>0</v>
      </c>
      <c r="Q50" s="43"/>
      <c r="R50" s="1878">
        <f>+ROUND(+'TRIAL-BALANCE'!S148+'TRIAL-BALANCE'!Z148+'TRIAL-BALANCE'!AG148,2)</f>
        <v>0</v>
      </c>
      <c r="S50" s="1789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74"/>
      <c r="B51" s="1800"/>
      <c r="C51" s="1775"/>
      <c r="D51" s="1801"/>
      <c r="E51" s="1797" t="s">
        <v>1459</v>
      </c>
      <c r="F51" s="1783"/>
      <c r="G51" s="1783"/>
      <c r="H51" s="1783"/>
      <c r="I51" s="1783"/>
      <c r="J51" s="1783"/>
      <c r="K51" s="1783"/>
      <c r="L51" s="1784"/>
      <c r="M51" s="51"/>
      <c r="N51" s="1735">
        <v>4303</v>
      </c>
      <c r="O51" s="1879">
        <f>+ROUND(+'TRIAL-BALANCE'!O149+'TRIAL-BALANCE'!V149+'TRIAL-BALANCE'!AC149,2)</f>
        <v>0</v>
      </c>
      <c r="P51" s="1793">
        <f>+IF(+ROUND(O51,2)=ROUND(O44+O47,2),0,+IF(AND($N20="IV",$K20=1),"ГРЕШКА - НЕРАВНЕНИ СУМИ!",0))</f>
        <v>0</v>
      </c>
      <c r="Q51" s="43"/>
      <c r="R51" s="1879">
        <f>+ROUND(+'TRIAL-BALANCE'!S149+'TRIAL-BALANCE'!Z149+'TRIAL-BALANCE'!AG149,2)</f>
        <v>0</v>
      </c>
      <c r="S51" s="1793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74"/>
      <c r="B52" s="1300"/>
      <c r="C52" s="1301"/>
      <c r="D52" s="1302"/>
      <c r="E52" s="1302"/>
      <c r="F52" s="1302"/>
      <c r="G52" s="1302"/>
      <c r="H52" s="1302"/>
      <c r="I52" s="1302"/>
      <c r="J52" s="1302"/>
      <c r="K52" s="1302"/>
      <c r="L52" s="1303"/>
      <c r="M52" s="51"/>
      <c r="N52" s="1313"/>
      <c r="O52" s="1792">
        <f>+IF(+AND($N20="IV",$K20=1),+ROUND(+O42+O45-O49,2),0)</f>
        <v>0</v>
      </c>
      <c r="P52" s="1791" t="str">
        <f>+IF(O52=0,"O K",+IF(AND($N20="IV",$K20=1),"ГРЕШКА - НЕРАВНЕНИ СУМИ!","O K"))</f>
        <v>O K</v>
      </c>
      <c r="Q52" s="43"/>
      <c r="R52" s="1790">
        <f>+IF(+AND($N20="IV",$K20=1),+ROUND(+R42+R45-R49,2),0)</f>
        <v>0</v>
      </c>
      <c r="S52" s="1791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99" t="s">
        <v>1236</v>
      </c>
      <c r="B53" s="1300"/>
      <c r="C53" s="1301"/>
      <c r="D53" s="1302"/>
      <c r="E53" s="1302"/>
      <c r="F53" s="1302"/>
      <c r="G53" s="1302"/>
      <c r="H53" s="1302"/>
      <c r="I53" s="1302"/>
      <c r="J53" s="1302"/>
      <c r="K53" s="1302"/>
      <c r="L53" s="1303"/>
      <c r="M53" s="51"/>
      <c r="N53" s="1313"/>
      <c r="O53" s="1314"/>
      <c r="P53" s="1315"/>
      <c r="Q53" s="43"/>
      <c r="R53" s="1322"/>
      <c r="S53" s="1323"/>
      <c r="T53" s="38"/>
      <c r="U53" s="43"/>
      <c r="V53" s="43"/>
      <c r="W53" s="43"/>
      <c r="X53" s="43"/>
    </row>
    <row r="54" spans="1:24" ht="15.75" customHeight="1">
      <c r="A54" s="1479"/>
      <c r="B54" s="1721" t="s">
        <v>1342</v>
      </c>
      <c r="C54" s="1479"/>
      <c r="D54" s="1721"/>
      <c r="E54" s="1721"/>
      <c r="F54" s="1721"/>
      <c r="G54" s="1721"/>
      <c r="H54" s="1721"/>
      <c r="I54" s="1721"/>
      <c r="J54" s="1721"/>
      <c r="K54" s="1721"/>
      <c r="L54" s="1722"/>
      <c r="M54" s="51"/>
      <c r="N54" s="1483">
        <v>4317</v>
      </c>
      <c r="O54" s="1484">
        <v>0</v>
      </c>
      <c r="P54" s="1485">
        <f>+ROUND(SUM(P55:P56),2)</f>
        <v>0</v>
      </c>
      <c r="Q54" s="43"/>
      <c r="R54" s="1484">
        <v>0</v>
      </c>
      <c r="S54" s="1485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74" t="s">
        <v>2059</v>
      </c>
      <c r="C55" s="972"/>
      <c r="D55" s="1715"/>
      <c r="E55" s="1715"/>
      <c r="F55" s="1715"/>
      <c r="G55" s="1715"/>
      <c r="H55" s="1715"/>
      <c r="I55" s="1715"/>
      <c r="J55" s="1715"/>
      <c r="K55" s="1715"/>
      <c r="L55" s="1716"/>
      <c r="M55" s="51"/>
      <c r="N55" s="112" t="s">
        <v>2053</v>
      </c>
      <c r="O55" s="328">
        <v>0</v>
      </c>
      <c r="P55" s="1298"/>
      <c r="Q55" s="43"/>
      <c r="R55" s="328">
        <v>0</v>
      </c>
      <c r="S55" s="1298"/>
      <c r="T55" s="38"/>
      <c r="U55" s="43"/>
      <c r="V55" s="43"/>
      <c r="W55" s="43"/>
      <c r="X55" s="43"/>
    </row>
    <row r="56" spans="1:24" ht="15.75" customHeight="1">
      <c r="A56" s="88"/>
      <c r="B56" s="974" t="s">
        <v>2060</v>
      </c>
      <c r="C56" s="1717"/>
      <c r="D56" s="1717"/>
      <c r="E56" s="1717"/>
      <c r="F56" s="1717"/>
      <c r="G56" s="1717"/>
      <c r="H56" s="1717"/>
      <c r="I56" s="1717"/>
      <c r="J56" s="1717"/>
      <c r="K56" s="1717"/>
      <c r="L56" s="1718"/>
      <c r="M56" s="51"/>
      <c r="N56" s="113" t="s">
        <v>2054</v>
      </c>
      <c r="O56" s="8">
        <v>0</v>
      </c>
      <c r="P56" s="891"/>
      <c r="Q56" s="43"/>
      <c r="R56" s="8">
        <v>0</v>
      </c>
      <c r="S56" s="891"/>
      <c r="T56" s="38"/>
      <c r="U56" s="43"/>
      <c r="V56" s="43"/>
      <c r="W56" s="43"/>
      <c r="X56" s="43"/>
    </row>
    <row r="57" spans="1:24" ht="15.75" customHeight="1">
      <c r="A57" s="1688"/>
      <c r="B57" s="1723" t="s">
        <v>1343</v>
      </c>
      <c r="C57" s="1688"/>
      <c r="D57" s="1723"/>
      <c r="E57" s="1723"/>
      <c r="F57" s="1723"/>
      <c r="G57" s="1723"/>
      <c r="H57" s="1723"/>
      <c r="I57" s="1723"/>
      <c r="J57" s="1723"/>
      <c r="K57" s="1723"/>
      <c r="L57" s="1724"/>
      <c r="M57" s="51"/>
      <c r="N57" s="1692">
        <v>4318</v>
      </c>
      <c r="O57" s="1693">
        <v>0</v>
      </c>
      <c r="P57" s="2161">
        <f>+ROUND(SUM(P58:P59),2)</f>
        <v>0</v>
      </c>
      <c r="Q57" s="43"/>
      <c r="R57" s="1693">
        <v>0</v>
      </c>
      <c r="S57" s="2161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74" t="s">
        <v>2057</v>
      </c>
      <c r="C58" s="972"/>
      <c r="D58" s="1715"/>
      <c r="E58" s="1715"/>
      <c r="F58" s="1715"/>
      <c r="G58" s="1715"/>
      <c r="H58" s="1715"/>
      <c r="I58" s="1715"/>
      <c r="J58" s="1715"/>
      <c r="K58" s="1715"/>
      <c r="L58" s="1716"/>
      <c r="M58" s="51"/>
      <c r="N58" s="112" t="s">
        <v>2055</v>
      </c>
      <c r="O58" s="328">
        <v>0</v>
      </c>
      <c r="P58" s="1298"/>
      <c r="Q58" s="43"/>
      <c r="R58" s="328">
        <v>0</v>
      </c>
      <c r="S58" s="1298"/>
      <c r="T58" s="38"/>
      <c r="U58" s="43"/>
      <c r="V58" s="43"/>
      <c r="W58" s="43"/>
      <c r="X58" s="43"/>
    </row>
    <row r="59" spans="1:24" ht="15.75" customHeight="1">
      <c r="A59" s="612"/>
      <c r="B59" s="983" t="s">
        <v>2058</v>
      </c>
      <c r="C59" s="2163"/>
      <c r="D59" s="2163"/>
      <c r="E59" s="2163"/>
      <c r="F59" s="2163"/>
      <c r="G59" s="2163"/>
      <c r="H59" s="2163"/>
      <c r="I59" s="2163"/>
      <c r="J59" s="2163"/>
      <c r="K59" s="2163"/>
      <c r="L59" s="2164"/>
      <c r="M59" s="51"/>
      <c r="N59" s="113" t="s">
        <v>2056</v>
      </c>
      <c r="O59" s="2160">
        <v>0</v>
      </c>
      <c r="P59" s="2162"/>
      <c r="Q59" s="43"/>
      <c r="R59" s="2160">
        <v>0</v>
      </c>
      <c r="S59" s="2162"/>
      <c r="T59" s="38"/>
      <c r="U59" s="43"/>
      <c r="V59" s="43"/>
      <c r="W59" s="43"/>
      <c r="X59" s="43"/>
    </row>
    <row r="60" spans="1:24" ht="7.5" customHeight="1">
      <c r="A60" s="1774"/>
      <c r="B60" s="1300"/>
      <c r="C60" s="1301"/>
      <c r="D60" s="1302"/>
      <c r="E60" s="1302"/>
      <c r="F60" s="1302"/>
      <c r="G60" s="1302"/>
      <c r="H60" s="1302"/>
      <c r="I60" s="1302"/>
      <c r="J60" s="1302"/>
      <c r="K60" s="1302"/>
      <c r="L60" s="1303"/>
      <c r="M60" s="51"/>
      <c r="N60" s="1293"/>
      <c r="O60" s="1777"/>
      <c r="P60" s="1778"/>
      <c r="Q60" s="43"/>
      <c r="R60" s="1777"/>
      <c r="S60" s="1778"/>
      <c r="T60" s="38"/>
      <c r="U60" s="43"/>
      <c r="V60" s="43"/>
      <c r="W60" s="43"/>
      <c r="X60" s="43"/>
    </row>
    <row r="61" spans="1:24" ht="17.25" customHeight="1" thickBot="1">
      <c r="A61" s="1307" t="s">
        <v>1237</v>
      </c>
      <c r="B61" s="1308"/>
      <c r="C61" s="1309"/>
      <c r="D61" s="1309"/>
      <c r="E61" s="1309"/>
      <c r="F61" s="1309"/>
      <c r="G61" s="1309"/>
      <c r="H61" s="1309"/>
      <c r="I61" s="1309"/>
      <c r="J61" s="1309"/>
      <c r="K61" s="1309"/>
      <c r="L61" s="1310"/>
      <c r="M61" s="49"/>
      <c r="N61" s="1329">
        <v>4319</v>
      </c>
      <c r="O61" s="1304">
        <v>0</v>
      </c>
      <c r="P61" s="1306">
        <f>+ROUND(+SUM('TRIAL-BALANCE'!P150:P151)+SUM('TRIAL-BALANCE'!W150:W151)+SUM('TRIAL-BALANCE'!AD150:AD151),2)</f>
        <v>0</v>
      </c>
      <c r="Q61" s="607"/>
      <c r="R61" s="1304">
        <v>0</v>
      </c>
      <c r="S61" s="1306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317"/>
      <c r="B62" s="1798"/>
      <c r="C62" s="1319"/>
      <c r="D62" s="1799"/>
      <c r="E62" s="1796" t="s">
        <v>2061</v>
      </c>
      <c r="F62" s="1794"/>
      <c r="G62" s="1794"/>
      <c r="H62" s="1794"/>
      <c r="I62" s="1794"/>
      <c r="J62" s="1794"/>
      <c r="K62" s="1794"/>
      <c r="L62" s="1795"/>
      <c r="M62" s="51"/>
      <c r="N62" s="112">
        <v>4311</v>
      </c>
      <c r="O62" s="2158">
        <v>0</v>
      </c>
      <c r="P62" s="2159">
        <f>+ROUND(+'TRIAL-BALANCE'!P150+'TRIAL-BALANCE'!W150+'TRIAL-BALANCE'!AD150,2)</f>
        <v>0</v>
      </c>
      <c r="Q62" s="43"/>
      <c r="R62" s="2158">
        <v>0</v>
      </c>
      <c r="S62" s="2159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74"/>
      <c r="B63" s="1800"/>
      <c r="C63" s="1775"/>
      <c r="D63" s="1801"/>
      <c r="E63" s="1797" t="s">
        <v>2062</v>
      </c>
      <c r="F63" s="1783"/>
      <c r="G63" s="1783"/>
      <c r="H63" s="1783"/>
      <c r="I63" s="1783"/>
      <c r="J63" s="1783"/>
      <c r="K63" s="1783"/>
      <c r="L63" s="1784"/>
      <c r="M63" s="51"/>
      <c r="N63" s="1735">
        <v>4313</v>
      </c>
      <c r="O63" s="2160">
        <v>0</v>
      </c>
      <c r="P63" s="2157">
        <f>+ROUND(+'TRIAL-BALANCE'!P151+'TRIAL-BALANCE'!W151+'TRIAL-BALANCE'!AD151,2)</f>
        <v>0</v>
      </c>
      <c r="Q63" s="43"/>
      <c r="R63" s="2160">
        <v>0</v>
      </c>
      <c r="S63" s="2157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74"/>
      <c r="B64" s="1300"/>
      <c r="C64" s="1301"/>
      <c r="D64" s="1302"/>
      <c r="E64" s="1302"/>
      <c r="F64" s="1302"/>
      <c r="G64" s="1302"/>
      <c r="H64" s="1302"/>
      <c r="I64" s="1302"/>
      <c r="J64" s="1302"/>
      <c r="K64" s="1302"/>
      <c r="L64" s="1303"/>
      <c r="M64" s="51"/>
      <c r="N64" s="1313"/>
      <c r="O64" s="2154" t="str">
        <f>+IF(P64=0,"O K",+IF(AND($N20="IV",$K20=1),"ГРЕШКА - НЕРАВНЕНИ СУМИ!","O K"))</f>
        <v>O K</v>
      </c>
      <c r="P64" s="2155">
        <f>+IF(AND($N20="IV",$K20=1),+ROUND(+P54+P57-P61,2),0)</f>
        <v>0</v>
      </c>
      <c r="Q64" s="43"/>
      <c r="R64" s="2156" t="str">
        <f>+IF(S64=0,"O K",+IF(AND($N20="IV",$K20=1),"ГРЕШКА - НЕРАВНЕНИ СУМИ!","O K"))</f>
        <v>O K</v>
      </c>
      <c r="S64" s="2155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34"/>
      <c r="B65" s="982"/>
      <c r="C65" s="1335"/>
      <c r="D65" s="1336"/>
      <c r="E65" s="1336"/>
      <c r="F65" s="1336"/>
      <c r="G65" s="1336"/>
      <c r="H65" s="1336"/>
      <c r="I65" s="1336"/>
      <c r="J65" s="1336"/>
      <c r="K65" s="1336"/>
      <c r="L65" s="1337"/>
      <c r="M65" s="51"/>
      <c r="N65" s="1316"/>
      <c r="O65" s="980"/>
      <c r="P65" s="1323"/>
      <c r="Q65" s="43"/>
      <c r="R65" s="1322"/>
      <c r="S65" s="1323"/>
      <c r="T65" s="38"/>
      <c r="U65" s="43"/>
      <c r="V65" s="43"/>
      <c r="W65" s="43"/>
      <c r="X65" s="43"/>
    </row>
    <row r="66" spans="1:24" ht="17.25" customHeight="1" thickBot="1">
      <c r="A66" s="1307" t="s">
        <v>1344</v>
      </c>
      <c r="B66" s="1308"/>
      <c r="C66" s="1309"/>
      <c r="D66" s="1309"/>
      <c r="E66" s="1309"/>
      <c r="F66" s="1309"/>
      <c r="G66" s="1309"/>
      <c r="H66" s="1309"/>
      <c r="I66" s="1309"/>
      <c r="J66" s="1309"/>
      <c r="K66" s="1309"/>
      <c r="L66" s="1310"/>
      <c r="M66" s="49"/>
      <c r="N66" s="1328">
        <v>4500</v>
      </c>
      <c r="O66" s="1326">
        <f>+ROUND(+'TRIAL-BALANCE'!O176+'TRIAL-BALANCE'!V176+'TRIAL-BALANCE'!AC176,2)</f>
        <v>0</v>
      </c>
      <c r="P66" s="1306">
        <f>+ROUND(+'TRIAL-BALANCE'!P176+'TRIAL-BALANCE'!W176+'TRIAL-BALANCE'!AD176,2)</f>
        <v>0</v>
      </c>
      <c r="Q66" s="607"/>
      <c r="R66" s="1326">
        <f>+ROUND(+'TRIAL-BALANCE'!S176+'TRIAL-BALANCE'!Z176+'TRIAL-BALANCE'!AG176,2)</f>
        <v>0</v>
      </c>
      <c r="S66" s="1306">
        <f>+ROUND(+'TRIAL-BALANCE'!T176+'TRIAL-BALANCE'!AA176+'TRIAL-BALANCE'!AH176,2)</f>
        <v>0</v>
      </c>
      <c r="T66" s="38"/>
      <c r="U66" s="2178">
        <f>+E8</f>
        <v>2021</v>
      </c>
      <c r="V66" s="2142" t="s">
        <v>2047</v>
      </c>
      <c r="W66" s="43"/>
      <c r="X66" s="43"/>
    </row>
    <row r="67" spans="1:24" ht="17.25" customHeight="1" thickTop="1">
      <c r="A67" s="1338"/>
      <c r="B67" s="1339"/>
      <c r="C67" s="1338"/>
      <c r="D67" s="1340"/>
      <c r="E67" s="1340"/>
      <c r="F67" s="1340"/>
      <c r="G67" s="1340"/>
      <c r="H67" s="1340"/>
      <c r="I67" s="1340"/>
      <c r="J67" s="1340"/>
      <c r="K67" s="1340"/>
      <c r="L67" s="1341"/>
      <c r="M67" s="1339"/>
      <c r="N67" s="1342"/>
      <c r="O67" s="1810" t="str">
        <f>+IF(P67=0,"O K","Грешка-салдо с/ка 4500 не е равно на 0!")</f>
        <v>O K</v>
      </c>
      <c r="P67" s="1811">
        <f>+IF(AND(+Status!K4="ДА",$K20=1),+ROUND(P66-O66,2),0)</f>
        <v>0</v>
      </c>
      <c r="Q67" s="1344"/>
      <c r="R67" s="1810" t="str">
        <f>+IF(S67=0,"O K","Грешка-салдо с/ка 4500 не е равно на 0!")</f>
        <v>O K</v>
      </c>
      <c r="S67" s="1811">
        <f>+IF(AND(+Status!K4="ДА",$K20=1),+ROUND(S66-R66,2),0)</f>
        <v>0</v>
      </c>
      <c r="T67" s="38"/>
      <c r="U67" s="43"/>
      <c r="V67" s="43"/>
      <c r="W67" s="43"/>
      <c r="X67" s="43"/>
    </row>
    <row r="68" spans="1:24" s="1393" customFormat="1" ht="15.75">
      <c r="A68" s="1338"/>
      <c r="B68" s="1251" t="s">
        <v>1238</v>
      </c>
      <c r="C68" s="1252"/>
      <c r="D68" s="1252"/>
      <c r="E68" s="1253"/>
      <c r="F68" s="1252"/>
      <c r="G68" s="1253"/>
      <c r="H68" s="1253"/>
      <c r="I68" s="1253"/>
      <c r="J68" s="1253"/>
      <c r="K68" s="1254"/>
      <c r="L68" s="1255"/>
      <c r="M68" s="44"/>
      <c r="N68" s="1344"/>
      <c r="O68" s="1362">
        <f>IF($K20=1,+ROUND(+O43+O44,2),0)</f>
        <v>0</v>
      </c>
      <c r="P68" s="38"/>
      <c r="Q68" s="43"/>
      <c r="R68" s="1346">
        <f>IF($K20=1,+ROUND(+R43+R44,2),0)</f>
        <v>0</v>
      </c>
      <c r="S68" s="38"/>
      <c r="T68" s="38"/>
      <c r="U68" s="1346">
        <f>IF($K$20=1,+R68-O68,0)</f>
        <v>0</v>
      </c>
      <c r="V68" s="38"/>
      <c r="W68" s="38"/>
      <c r="X68" s="38"/>
    </row>
    <row r="69" spans="1:24" s="1393" customFormat="1" ht="15.75">
      <c r="A69" s="1338"/>
      <c r="B69" s="1728"/>
      <c r="C69" s="1727" t="s">
        <v>1348</v>
      </c>
      <c r="D69" s="1727"/>
      <c r="E69" s="1727"/>
      <c r="F69" s="1727"/>
      <c r="G69" s="1727"/>
      <c r="H69" s="1727"/>
      <c r="I69" s="1727"/>
      <c r="J69" s="1727"/>
      <c r="K69" s="1727"/>
      <c r="L69" s="2148"/>
      <c r="M69" s="44"/>
      <c r="N69" s="1344"/>
      <c r="O69" s="1375"/>
      <c r="P69" s="38"/>
      <c r="Q69" s="43"/>
      <c r="R69" s="1375"/>
      <c r="S69" s="38"/>
      <c r="T69" s="38"/>
      <c r="U69" s="2145">
        <f>IF($K$20=1,+R69-O69,0)</f>
        <v>0</v>
      </c>
      <c r="V69" s="38"/>
      <c r="W69" s="38"/>
      <c r="X69" s="38"/>
    </row>
    <row r="70" spans="1:24" s="1393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38"/>
      <c r="B71" s="1251" t="s">
        <v>1239</v>
      </c>
      <c r="C71" s="1252"/>
      <c r="D71" s="1252"/>
      <c r="E71" s="1253"/>
      <c r="F71" s="1252"/>
      <c r="G71" s="1253"/>
      <c r="H71" s="1253"/>
      <c r="I71" s="1253"/>
      <c r="J71" s="1253"/>
      <c r="K71" s="1254"/>
      <c r="L71" s="1255"/>
      <c r="M71" s="44"/>
      <c r="N71" s="1344"/>
      <c r="O71" s="1346">
        <f>IF($K20=1,+ROUND(+O22+O30+O66,2),0)</f>
        <v>0</v>
      </c>
      <c r="P71" s="38"/>
      <c r="Q71" s="1345"/>
      <c r="R71" s="1346">
        <f>IF($K20=1,+ROUND(+R22+R30+R66,2),0)</f>
        <v>0</v>
      </c>
      <c r="S71" s="607"/>
      <c r="T71" s="38"/>
      <c r="U71" s="1346">
        <f>IF($K$20=1,+R71-O71,0)</f>
        <v>0</v>
      </c>
      <c r="V71" s="2141"/>
      <c r="W71" s="43"/>
      <c r="X71" s="43"/>
    </row>
    <row r="72" spans="1:24" s="1393" customFormat="1" ht="15.75">
      <c r="A72" s="1338"/>
      <c r="B72" s="1728"/>
      <c r="C72" s="1727" t="s">
        <v>1348</v>
      </c>
      <c r="D72" s="1727"/>
      <c r="E72" s="1727"/>
      <c r="F72" s="1727"/>
      <c r="G72" s="1727"/>
      <c r="H72" s="1727"/>
      <c r="I72" s="1727"/>
      <c r="J72" s="1727"/>
      <c r="K72" s="1727"/>
      <c r="L72" s="2148"/>
      <c r="M72" s="44"/>
      <c r="N72" s="1344"/>
      <c r="O72" s="1375"/>
      <c r="P72" s="38"/>
      <c r="Q72" s="43"/>
      <c r="R72" s="1375"/>
      <c r="S72" s="38"/>
      <c r="T72" s="38"/>
      <c r="U72" s="2145">
        <f>IF($K$20=1,+R72-O72,0)</f>
        <v>0</v>
      </c>
      <c r="V72" s="38"/>
      <c r="W72" s="38"/>
      <c r="X72" s="38"/>
    </row>
    <row r="73" spans="1:24" s="1394" customFormat="1" ht="12.75" customHeight="1">
      <c r="A73" s="1353"/>
      <c r="B73" s="1354"/>
      <c r="C73" s="1353"/>
      <c r="D73" s="1355"/>
      <c r="E73" s="1355"/>
      <c r="F73" s="1355"/>
      <c r="G73" s="1355"/>
      <c r="H73" s="1355"/>
      <c r="I73" s="1355"/>
      <c r="J73" s="1355"/>
      <c r="K73" s="1355"/>
      <c r="L73" s="1356"/>
      <c r="M73" s="1354"/>
      <c r="N73" s="1357"/>
      <c r="O73" s="1358"/>
      <c r="P73" s="38"/>
      <c r="Q73" s="1360"/>
      <c r="R73" s="1358"/>
      <c r="S73" s="1359"/>
      <c r="T73" s="1361"/>
      <c r="U73" s="1358"/>
      <c r="V73" s="1359"/>
      <c r="W73" s="608"/>
      <c r="X73" s="608"/>
    </row>
    <row r="74" spans="1:24" s="1393" customFormat="1" ht="15.75">
      <c r="A74" s="1338"/>
      <c r="B74" s="1256" t="s">
        <v>1992</v>
      </c>
      <c r="C74" s="1252"/>
      <c r="D74" s="1252"/>
      <c r="E74" s="1253"/>
      <c r="F74" s="1252"/>
      <c r="G74" s="1253"/>
      <c r="H74" s="1253"/>
      <c r="I74" s="1253"/>
      <c r="J74" s="1253"/>
      <c r="K74" s="1254"/>
      <c r="L74" s="1255"/>
      <c r="M74" s="44"/>
      <c r="N74" s="1344"/>
      <c r="O74" s="1346">
        <f>IF($K20=1,+ROUND(P14,2),0)</f>
        <v>0</v>
      </c>
      <c r="P74" s="38"/>
      <c r="Q74" s="43"/>
      <c r="R74" s="1346">
        <f>IF($K20=1,+ROUND(S14,2),0)</f>
        <v>0</v>
      </c>
      <c r="S74" s="38"/>
      <c r="T74" s="38"/>
      <c r="U74" s="1346">
        <f>IF($K$20=1,+R74-O74,0)</f>
        <v>0</v>
      </c>
      <c r="V74" s="38"/>
      <c r="W74" s="38"/>
      <c r="X74" s="38"/>
    </row>
    <row r="75" spans="1:24" s="1393" customFormat="1" ht="15.75">
      <c r="A75" s="1338"/>
      <c r="B75" s="1728"/>
      <c r="C75" s="1727" t="s">
        <v>1348</v>
      </c>
      <c r="D75" s="1727"/>
      <c r="E75" s="1727"/>
      <c r="F75" s="1727"/>
      <c r="G75" s="1727"/>
      <c r="H75" s="1727"/>
      <c r="I75" s="1727"/>
      <c r="J75" s="1727"/>
      <c r="K75" s="1727"/>
      <c r="L75" s="2148"/>
      <c r="M75" s="44"/>
      <c r="N75" s="1344"/>
      <c r="O75" s="1375"/>
      <c r="P75" s="38"/>
      <c r="Q75" s="43"/>
      <c r="R75" s="1375"/>
      <c r="S75" s="38"/>
      <c r="T75" s="38"/>
      <c r="U75" s="2145">
        <f>IF($K$20=1,+R75-O75,0)</f>
        <v>0</v>
      </c>
      <c r="V75" s="38"/>
      <c r="W75" s="38"/>
      <c r="X75" s="38"/>
    </row>
    <row r="76" spans="1:24" s="1394" customFormat="1" ht="12.75" customHeight="1">
      <c r="A76" s="1353"/>
      <c r="B76" s="1354"/>
      <c r="C76" s="1353"/>
      <c r="D76" s="1355"/>
      <c r="E76" s="1355"/>
      <c r="F76" s="1355"/>
      <c r="G76" s="1355"/>
      <c r="H76" s="1355"/>
      <c r="I76" s="1355"/>
      <c r="J76" s="1355"/>
      <c r="K76" s="1355"/>
      <c r="L76" s="1356"/>
      <c r="M76" s="1354"/>
      <c r="N76" s="1357"/>
      <c r="O76" s="1358"/>
      <c r="P76" s="38"/>
      <c r="Q76" s="1360"/>
      <c r="R76" s="1358"/>
      <c r="S76" s="1359"/>
      <c r="T76" s="1361"/>
      <c r="U76" s="1358"/>
      <c r="V76" s="1359"/>
      <c r="W76" s="608"/>
      <c r="X76" s="608"/>
    </row>
    <row r="77" spans="1:24" s="1393" customFormat="1" ht="15.75">
      <c r="A77" s="1338"/>
      <c r="B77" s="1256" t="s">
        <v>1240</v>
      </c>
      <c r="C77" s="1252"/>
      <c r="D77" s="1252"/>
      <c r="E77" s="1253"/>
      <c r="F77" s="1252"/>
      <c r="G77" s="1253"/>
      <c r="H77" s="1253"/>
      <c r="I77" s="1253"/>
      <c r="J77" s="1253"/>
      <c r="K77" s="1254"/>
      <c r="L77" s="1255"/>
      <c r="M77" s="44"/>
      <c r="N77" s="1344"/>
      <c r="O77" s="1346">
        <f>IF($K20=1,+ROUND(+P36+P54+P66,2),0)</f>
        <v>0</v>
      </c>
      <c r="P77" s="38"/>
      <c r="Q77" s="43"/>
      <c r="R77" s="1346">
        <f>IF($K20=1,+ROUND(+S36+S54+S66,2),0)</f>
        <v>0</v>
      </c>
      <c r="S77" s="38"/>
      <c r="T77" s="38"/>
      <c r="U77" s="1346">
        <f>IF($K$20=1,+R77-O77,0)</f>
        <v>0</v>
      </c>
      <c r="V77" s="38"/>
      <c r="W77" s="38"/>
      <c r="X77" s="38"/>
    </row>
    <row r="78" spans="1:24" s="1393" customFormat="1" ht="15.75">
      <c r="A78" s="1338"/>
      <c r="B78" s="1728"/>
      <c r="C78" s="1727" t="s">
        <v>1348</v>
      </c>
      <c r="D78" s="1727"/>
      <c r="E78" s="1727"/>
      <c r="F78" s="1727"/>
      <c r="G78" s="1727"/>
      <c r="H78" s="1727"/>
      <c r="I78" s="1727"/>
      <c r="J78" s="1727"/>
      <c r="K78" s="1727"/>
      <c r="L78" s="2148"/>
      <c r="M78" s="44"/>
      <c r="N78" s="1344"/>
      <c r="O78" s="1375"/>
      <c r="P78" s="38"/>
      <c r="Q78" s="43"/>
      <c r="R78" s="1375"/>
      <c r="S78" s="38"/>
      <c r="T78" s="38"/>
      <c r="U78" s="2145">
        <f>IF($K$20=1,+R78-O78,0)</f>
        <v>0</v>
      </c>
      <c r="V78" s="38"/>
      <c r="W78" s="38"/>
      <c r="X78" s="38"/>
    </row>
    <row r="79" spans="1:24" s="1394" customFormat="1" ht="12.75" customHeight="1">
      <c r="A79" s="1353"/>
      <c r="B79" s="1354"/>
      <c r="C79" s="1353"/>
      <c r="D79" s="1355"/>
      <c r="E79" s="1355"/>
      <c r="F79" s="1355"/>
      <c r="G79" s="1355"/>
      <c r="H79" s="1355"/>
      <c r="I79" s="1355"/>
      <c r="J79" s="1355"/>
      <c r="K79" s="1355"/>
      <c r="L79" s="1356"/>
      <c r="M79" s="1354"/>
      <c r="N79" s="1357"/>
      <c r="O79" s="1358"/>
      <c r="P79" s="1359"/>
      <c r="Q79" s="1360"/>
      <c r="R79" s="1358"/>
      <c r="S79" s="1359"/>
      <c r="T79" s="1361"/>
      <c r="U79" s="1358"/>
      <c r="V79" s="1359"/>
      <c r="W79" s="608"/>
      <c r="X79" s="608"/>
    </row>
    <row r="80" spans="1:24" ht="17.25" customHeight="1" thickBot="1">
      <c r="A80" s="1338"/>
      <c r="B80" s="1339"/>
      <c r="C80" s="1351" t="s">
        <v>1378</v>
      </c>
      <c r="D80" s="1347"/>
      <c r="E80" s="1348"/>
      <c r="F80" s="1347"/>
      <c r="G80" s="1348"/>
      <c r="H80" s="1348"/>
      <c r="I80" s="1348"/>
      <c r="J80" s="1348"/>
      <c r="K80" s="1349"/>
      <c r="L80" s="1350"/>
      <c r="M80" s="1364"/>
      <c r="N80" s="1363" t="s">
        <v>1243</v>
      </c>
      <c r="O80" s="1365" t="s">
        <v>1245</v>
      </c>
      <c r="P80" s="1725">
        <f>-ROUND(+(O68+O69)+(O71+O72)-(O74+O75)-(O77+O78),2)</f>
        <v>0</v>
      </c>
      <c r="Q80" s="1345"/>
      <c r="R80" s="1365" t="s">
        <v>1245</v>
      </c>
      <c r="S80" s="1725">
        <f>-ROUND(+(R68+R69)+(R71+R72)-(R74+R75)-(R77+R78),2)</f>
        <v>0</v>
      </c>
      <c r="T80" s="38"/>
      <c r="U80" s="1365" t="s">
        <v>1245</v>
      </c>
      <c r="V80" s="1725">
        <f>-ROUND(+(U68+U69)+(U71+U72)-(U74+U75)-(U77+U78),2)</f>
        <v>0</v>
      </c>
      <c r="W80" s="43"/>
      <c r="X80" s="43"/>
    </row>
    <row r="81" spans="1:24" ht="17.25" customHeight="1" thickTop="1">
      <c r="A81" s="1338"/>
      <c r="B81" s="1339"/>
      <c r="C81" s="1338"/>
      <c r="D81" s="1340"/>
      <c r="E81" s="1340"/>
      <c r="F81" s="1340"/>
      <c r="G81" s="1340"/>
      <c r="H81" s="1340"/>
      <c r="I81" s="1340"/>
      <c r="J81" s="1340"/>
      <c r="K81" s="1340"/>
      <c r="L81" s="1340"/>
      <c r="M81" s="1340"/>
      <c r="N81" s="1340"/>
      <c r="O81" s="1340"/>
      <c r="P81" s="1368">
        <f>+IF(+ROUND(P80,2)=+ROUND(P91,2),0,"НЕРАВНЕНИЕ!")</f>
        <v>0</v>
      </c>
      <c r="Q81" s="1345"/>
      <c r="R81" s="1343"/>
      <c r="S81" s="1368">
        <f>+IF(+ROUND(S80,2)=+ROUND(S91,2),0,"НЕРАВНЕНИЕ!")</f>
        <v>0</v>
      </c>
      <c r="T81" s="38"/>
      <c r="U81" s="43"/>
      <c r="V81" s="1368">
        <f>+IF(+ROUND(V80,2)=+ROUND(V91,2),0,"НЕРАВНЕНИЕ!")</f>
        <v>0</v>
      </c>
      <c r="W81" s="43"/>
      <c r="X81" s="43"/>
    </row>
    <row r="82" spans="1:24" ht="17.25" customHeight="1">
      <c r="A82" s="1338"/>
      <c r="B82" s="1256" t="s">
        <v>1966</v>
      </c>
      <c r="C82" s="1252"/>
      <c r="D82" s="1252"/>
      <c r="E82" s="1253"/>
      <c r="F82" s="1252"/>
      <c r="G82" s="1253"/>
      <c r="H82" s="1253"/>
      <c r="I82" s="1253"/>
      <c r="J82" s="1253"/>
      <c r="K82" s="1254"/>
      <c r="L82" s="1255"/>
      <c r="M82" s="44"/>
      <c r="N82" s="1344"/>
      <c r="O82" s="1346">
        <f>IF($K20=1,ROUND(+P16-O24,2)-(-P54)-IF(+ROUND(P36+P66,2)&lt;+ROUND(+O30+O42+O61+O66,2),+ROUND(-P36-P66+O30+O42+O61+O66,2),0),0)</f>
        <v>0</v>
      </c>
      <c r="P82" s="1369">
        <f>+IF(++ROUND(P80,2)=+ROUND(P91,2),0,"неспазено изискване NA-BAL = NA-OPR")</f>
        <v>0</v>
      </c>
      <c r="Q82" s="43"/>
      <c r="R82" s="1346">
        <f>IF($K20=1,ROUND(+S16-R24,2)-(-S55)-IF(+ROUND(S36+S56+S66,2)&lt;+ROUND(+R30+R42+R61+R66,2),+ROUND(-S36-S56-S66+R30+R42+R61+R66,2),0),0)</f>
        <v>0</v>
      </c>
      <c r="S82" s="1369">
        <f>+IF(+ROUND(S80,2)=+ROUND(S91,2),0,"неспазено изискване NA-BAL = NA-OPR")</f>
        <v>0</v>
      </c>
      <c r="T82" s="38"/>
      <c r="U82" s="1346">
        <f>IF($K$20=1,+R82-O82+IF(S15-P15&lt;0,S15-P15,0)-IF(R23-O23&lt;0,R23-O23,0),0)</f>
        <v>0</v>
      </c>
      <c r="V82" s="1369">
        <f>+IF(+ROUND(V80,2)=+ROUND(V91,2),0,"неспазено изискване NA-BAL = NA-OPR")</f>
        <v>0</v>
      </c>
      <c r="W82" s="43"/>
      <c r="X82" s="43"/>
    </row>
    <row r="83" spans="1:24" s="1393" customFormat="1" ht="15.75">
      <c r="A83" s="1338"/>
      <c r="B83" s="1728"/>
      <c r="C83" s="1727" t="s">
        <v>1348</v>
      </c>
      <c r="D83" s="1727"/>
      <c r="E83" s="1727"/>
      <c r="F83" s="1727"/>
      <c r="G83" s="1727"/>
      <c r="H83" s="1727"/>
      <c r="I83" s="1727"/>
      <c r="J83" s="1727"/>
      <c r="K83" s="1727"/>
      <c r="L83" s="2148"/>
      <c r="M83" s="44"/>
      <c r="N83" s="1344"/>
      <c r="O83" s="1375"/>
      <c r="P83" s="1371">
        <f>+IF(+ROUND(P80,2)=+ROUND(P91,2),0,"ПРОМЕНИ ВЪВЕДЕНИТЕ КОРЕКТИВИ!")</f>
        <v>0</v>
      </c>
      <c r="Q83" s="43"/>
      <c r="R83" s="1375"/>
      <c r="S83" s="1371">
        <f>+IF(+ROUND(S80,2)=+ROUND(S91,2),0,"ПРОМЕНИ ВЪВЕДЕНИТЕ КОРЕКТИВИ!")</f>
        <v>0</v>
      </c>
      <c r="T83" s="38"/>
      <c r="U83" s="2145">
        <f>IF($K$20=1,+R83-O83,0)</f>
        <v>0</v>
      </c>
      <c r="V83" s="1371">
        <f>+IF(+ROUND(V80,2)=+ROUND(V91,2),0,"ПРОМЕНИ ВЪВЕДЕНИТЕ КОРЕКТИВИ!")</f>
        <v>0</v>
      </c>
      <c r="W83" s="38"/>
      <c r="X83" s="38"/>
    </row>
    <row r="84" spans="1:24" s="1393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86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38"/>
      <c r="B85" s="1256" t="s">
        <v>1298</v>
      </c>
      <c r="C85" s="1252"/>
      <c r="D85" s="1252"/>
      <c r="E85" s="1253"/>
      <c r="F85" s="1252"/>
      <c r="G85" s="1253"/>
      <c r="H85" s="1253"/>
      <c r="I85" s="1253"/>
      <c r="J85" s="1253"/>
      <c r="K85" s="1254"/>
      <c r="L85" s="1255"/>
      <c r="M85" s="44"/>
      <c r="N85" s="1344"/>
      <c r="O85" s="1346">
        <f>IF($K20=1,-ROUND(+P15-O23,2),0)</f>
        <v>0</v>
      </c>
      <c r="P85" s="38"/>
      <c r="Q85" s="43"/>
      <c r="R85" s="1346">
        <f>IF($K20=1,-ROUND(+S15-R23,2),0)</f>
        <v>0</v>
      </c>
      <c r="S85" s="38"/>
      <c r="T85" s="38"/>
      <c r="U85" s="1346">
        <f>IF($K$20=1,(+R85-O85)-(+R85-O85)-IF(S15-P15&gt;=0,S15-P15,0)+IF(R23-O23&gt;=0,R23-O23,0),0)</f>
        <v>0</v>
      </c>
      <c r="V85" s="43"/>
      <c r="W85" s="43"/>
      <c r="X85" s="43"/>
    </row>
    <row r="86" spans="1:24" s="1393" customFormat="1" ht="15.75">
      <c r="A86" s="1338"/>
      <c r="B86" s="1728"/>
      <c r="C86" s="1727" t="s">
        <v>1348</v>
      </c>
      <c r="D86" s="1727"/>
      <c r="E86" s="1727"/>
      <c r="F86" s="1727"/>
      <c r="G86" s="1727"/>
      <c r="H86" s="1727"/>
      <c r="I86" s="1727"/>
      <c r="J86" s="1727"/>
      <c r="K86" s="1727"/>
      <c r="L86" s="2148"/>
      <c r="M86" s="44"/>
      <c r="N86" s="1344"/>
      <c r="O86" s="1375"/>
      <c r="P86" s="38"/>
      <c r="Q86" s="43"/>
      <c r="R86" s="1375"/>
      <c r="S86" s="38"/>
      <c r="T86" s="38"/>
      <c r="U86" s="2145">
        <f>IF($K$20=1,+R86-O86,0)</f>
        <v>0</v>
      </c>
      <c r="V86" s="38"/>
      <c r="W86" s="38"/>
      <c r="X86" s="38"/>
    </row>
    <row r="87" spans="1:24" s="1393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86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38"/>
      <c r="B88" s="1256" t="s">
        <v>1967</v>
      </c>
      <c r="C88" s="1252"/>
      <c r="D88" s="1252"/>
      <c r="E88" s="1253"/>
      <c r="F88" s="1252"/>
      <c r="G88" s="1253"/>
      <c r="H88" s="1253"/>
      <c r="I88" s="1253"/>
      <c r="J88" s="1253"/>
      <c r="K88" s="1254"/>
      <c r="L88" s="1255"/>
      <c r="M88" s="44"/>
      <c r="N88" s="1344"/>
      <c r="O88" s="1346">
        <f>IF($K20=1,-IF(+ROUND(P36+P66,2)&gt;+ROUND(+O30+O42+O61+O66,2),+ROUND(P36+P66-O30-O42-O61-O66,2),0),0)</f>
        <v>0</v>
      </c>
      <c r="P88" s="38"/>
      <c r="Q88" s="43"/>
      <c r="R88" s="1346">
        <f>IF($K20=1,-IF(+ROUND(S36+S56+S66,2)&gt;+ROUND(+R30+R42+R61+R66,2),+ROUND(S36+S56+S66-R30-R42-R61-R66,2),0),0)</f>
        <v>0</v>
      </c>
      <c r="S88" s="38"/>
      <c r="T88" s="38"/>
      <c r="U88" s="1346">
        <f>IF($K$20=1,+R88-O88,0)</f>
        <v>0</v>
      </c>
      <c r="V88" s="43"/>
      <c r="W88" s="43"/>
      <c r="X88" s="43"/>
    </row>
    <row r="89" spans="1:24" s="1393" customFormat="1" ht="15.75">
      <c r="A89" s="1338"/>
      <c r="B89" s="1728"/>
      <c r="C89" s="1727" t="s">
        <v>1348</v>
      </c>
      <c r="D89" s="1727"/>
      <c r="E89" s="1727"/>
      <c r="F89" s="1727"/>
      <c r="G89" s="1727"/>
      <c r="H89" s="1727"/>
      <c r="I89" s="1727"/>
      <c r="J89" s="1727"/>
      <c r="K89" s="1727"/>
      <c r="L89" s="2148"/>
      <c r="M89" s="44"/>
      <c r="N89" s="1344"/>
      <c r="O89" s="1375"/>
      <c r="P89" s="38"/>
      <c r="Q89" s="43"/>
      <c r="R89" s="1375"/>
      <c r="S89" s="38"/>
      <c r="T89" s="38"/>
      <c r="U89" s="2145">
        <f>IF($K$20=1,+R89-O89,0)</f>
        <v>0</v>
      </c>
      <c r="V89" s="38"/>
      <c r="W89" s="38"/>
      <c r="X89" s="38"/>
    </row>
    <row r="90" spans="1:24" ht="17.25" customHeight="1">
      <c r="A90" s="1338"/>
      <c r="B90" s="1339"/>
      <c r="C90" s="1338"/>
      <c r="D90" s="1340"/>
      <c r="E90" s="1340"/>
      <c r="F90" s="1340"/>
      <c r="G90" s="1340"/>
      <c r="H90" s="1340"/>
      <c r="I90" s="1340"/>
      <c r="J90" s="1340"/>
      <c r="K90" s="1340"/>
      <c r="L90" s="1340"/>
      <c r="M90" s="1340"/>
      <c r="N90" s="1340"/>
      <c r="O90" s="1340"/>
      <c r="P90" s="1344"/>
      <c r="Q90" s="1345"/>
      <c r="R90" s="1343"/>
      <c r="S90" s="1344"/>
      <c r="T90" s="38"/>
      <c r="U90" s="43"/>
      <c r="V90" s="43"/>
      <c r="W90" s="43"/>
      <c r="X90" s="43"/>
    </row>
    <row r="91" spans="1:24" ht="17.25" customHeight="1" thickBot="1">
      <c r="A91" s="1338"/>
      <c r="B91" s="1339"/>
      <c r="C91" s="1352" t="s">
        <v>1241</v>
      </c>
      <c r="D91" s="1347"/>
      <c r="E91" s="1348"/>
      <c r="F91" s="1347"/>
      <c r="G91" s="1348"/>
      <c r="H91" s="1348"/>
      <c r="I91" s="1348"/>
      <c r="J91" s="1348"/>
      <c r="K91" s="1349"/>
      <c r="L91" s="1350"/>
      <c r="M91" s="44"/>
      <c r="N91" s="1366" t="s">
        <v>1242</v>
      </c>
      <c r="O91" s="1367" t="s">
        <v>1244</v>
      </c>
      <c r="P91" s="1725">
        <f>+ROUND(+(O82+O83)-(O85+O86)-(O88+O89),2)</f>
        <v>0</v>
      </c>
      <c r="Q91" s="43"/>
      <c r="R91" s="1367" t="s">
        <v>1244</v>
      </c>
      <c r="S91" s="1725">
        <f>+ROUND(+(R82+R83)-(R85+R86)-(R88+R89),2)</f>
        <v>0</v>
      </c>
      <c r="T91" s="38"/>
      <c r="U91" s="1367" t="s">
        <v>1244</v>
      </c>
      <c r="V91" s="1725">
        <f>+ROUND(+(U82+U83)-(U85+U86)-(U88+U89),2)</f>
        <v>0</v>
      </c>
      <c r="W91" s="43"/>
      <c r="X91" s="43"/>
    </row>
    <row r="92" spans="1:24" ht="17.25" customHeight="1" thickTop="1">
      <c r="A92" s="1338"/>
      <c r="B92" s="1339"/>
      <c r="C92" s="1338"/>
      <c r="D92" s="1340"/>
      <c r="E92" s="1340"/>
      <c r="F92" s="1340"/>
      <c r="G92" s="1340"/>
      <c r="H92" s="1340"/>
      <c r="I92" s="1340"/>
      <c r="J92" s="1340"/>
      <c r="K92" s="1340"/>
      <c r="L92" s="1341"/>
      <c r="M92" s="51"/>
      <c r="N92" s="1342"/>
      <c r="O92" s="1343"/>
      <c r="P92" s="1368">
        <f>+IF(+ROUND(P91,2)=+ROUND(P80,2),0,"НЕРАВНЕНИЕ!")</f>
        <v>0</v>
      </c>
      <c r="Q92" s="1345"/>
      <c r="R92" s="1343"/>
      <c r="S92" s="1368">
        <f>+IF(+ROUND(S91,2)=+ROUND(S80,2),0,"НЕРАВНЕНИЕ!")</f>
        <v>0</v>
      </c>
      <c r="T92" s="38"/>
      <c r="U92" s="43"/>
      <c r="V92" s="1368">
        <f>+IF(+ROUND(V91,2)=+ROUND(V80,2),0,"НЕРАВНЕНИЕ!")</f>
        <v>0</v>
      </c>
      <c r="W92" s="43"/>
      <c r="X92" s="43"/>
    </row>
    <row r="93" spans="1:24" ht="17.25" customHeight="1">
      <c r="A93" s="1338"/>
      <c r="B93" s="1339"/>
      <c r="C93" s="1338"/>
      <c r="D93" s="1340"/>
      <c r="E93" s="1340"/>
      <c r="F93" s="1340"/>
      <c r="G93" s="1340"/>
      <c r="H93" s="1340"/>
      <c r="I93" s="1340"/>
      <c r="J93" s="1340"/>
      <c r="K93" s="1340"/>
      <c r="L93" s="1341"/>
      <c r="M93" s="51"/>
      <c r="N93" s="1342"/>
      <c r="O93" s="1343"/>
      <c r="P93" s="1369">
        <f>+IF(+ROUND(P91,2)=+ROUND(P80,2),0,"неспазено изискване NA-OPR = NA-BAL")</f>
        <v>0</v>
      </c>
      <c r="Q93" s="1345"/>
      <c r="R93" s="1343"/>
      <c r="S93" s="1369">
        <f>+IF(+ROUND(S91,2)=+ROUND(S80,2),0,"неспазено изискване NA-OPR = NA-BAL")</f>
        <v>0</v>
      </c>
      <c r="T93" s="38"/>
      <c r="U93" s="43"/>
      <c r="V93" s="1369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38"/>
      <c r="B94" s="1339"/>
      <c r="C94" s="1338"/>
      <c r="D94" s="1340"/>
      <c r="E94" s="1340"/>
      <c r="F94" s="1340"/>
      <c r="G94" s="1340"/>
      <c r="H94" s="1340"/>
      <c r="I94" s="1340"/>
      <c r="J94" s="1340"/>
      <c r="K94" s="1340"/>
      <c r="L94" s="1341"/>
      <c r="M94" s="51"/>
      <c r="N94" s="1342"/>
      <c r="O94" s="1343"/>
      <c r="P94" s="1371">
        <f>+IF(+ROUND(P91,2)=+ROUND(P80,2),0,"ПРОМЕНИ ВЪВЕДЕНИТЕ КОРЕКТИВИ!")</f>
        <v>0</v>
      </c>
      <c r="Q94" s="1345"/>
      <c r="R94" s="1343"/>
      <c r="S94" s="1371">
        <f>+IF(+ROUND(S91,2)=+ROUND(S80,2),0,"ПРОМЕНИ ВЪВЕДЕНИТЕ КОРЕКТИВИ!")</f>
        <v>0</v>
      </c>
      <c r="T94" s="38"/>
      <c r="U94" s="43"/>
      <c r="V94" s="1371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38"/>
      <c r="B95" s="1339"/>
      <c r="C95" s="1338"/>
      <c r="D95" s="1340"/>
      <c r="E95" s="1340"/>
      <c r="F95" s="1340"/>
      <c r="G95" s="1340"/>
      <c r="H95" s="1340"/>
      <c r="I95" s="1340"/>
      <c r="J95" s="1340"/>
      <c r="K95" s="1340"/>
      <c r="L95" s="1341"/>
      <c r="M95" s="51"/>
      <c r="N95" s="1342"/>
      <c r="O95" s="2215" t="s">
        <v>2131</v>
      </c>
      <c r="P95" s="2153">
        <f>+E8-1</f>
        <v>2020</v>
      </c>
      <c r="Q95" s="1345"/>
      <c r="R95" s="1343"/>
      <c r="S95" s="1370"/>
      <c r="T95" s="38"/>
      <c r="U95" s="43"/>
      <c r="V95" s="1371">
        <f>+IF(+ROUND(V92,2)=+ROUND(V81,2),0,"ПРОМЕНИ ВЪВЕДЕНИТЕ КОРЕКТИВИ!")</f>
        <v>0</v>
      </c>
      <c r="W95" s="43"/>
      <c r="X95" s="43"/>
    </row>
    <row r="96" spans="1:24" s="1393" customFormat="1" ht="15.75">
      <c r="A96" s="43"/>
      <c r="B96" s="2532">
        <f>+E8-1</f>
        <v>2020</v>
      </c>
      <c r="C96" s="2533"/>
      <c r="D96" s="2231" t="s">
        <v>2099</v>
      </c>
      <c r="E96" s="2231"/>
      <c r="F96" s="2231"/>
      <c r="G96" s="2187">
        <f>+E8-1</f>
        <v>2020</v>
      </c>
      <c r="H96" s="2152" t="s">
        <v>2048</v>
      </c>
      <c r="I96" s="2149"/>
      <c r="J96" s="2149"/>
      <c r="K96" s="2149"/>
      <c r="L96" s="2147"/>
      <c r="M96" s="43"/>
      <c r="N96" s="1342"/>
      <c r="O96" s="2237">
        <f>+E8-1</f>
        <v>2020</v>
      </c>
      <c r="P96" s="2232" t="s">
        <v>2142</v>
      </c>
      <c r="Q96" s="1345"/>
      <c r="R96" s="2226">
        <f>+E8-1</f>
        <v>2020</v>
      </c>
      <c r="S96" s="2227">
        <f>+E8</f>
        <v>2021</v>
      </c>
      <c r="T96" s="38"/>
      <c r="U96" s="2177">
        <f>+E8-1</f>
        <v>2020</v>
      </c>
      <c r="V96" s="2143" t="s">
        <v>2047</v>
      </c>
      <c r="W96" s="38"/>
      <c r="X96" s="38"/>
    </row>
    <row r="97" spans="1:24" s="1393" customFormat="1" ht="15.75">
      <c r="A97" s="43"/>
      <c r="B97" s="1339"/>
      <c r="C97" s="1338"/>
      <c r="D97" s="1340"/>
      <c r="E97" s="1340"/>
      <c r="F97" s="1340"/>
      <c r="G97" s="1340"/>
      <c r="H97" s="1340"/>
      <c r="I97" s="1340"/>
      <c r="J97" s="1340"/>
      <c r="K97" s="1340"/>
      <c r="L97" s="43"/>
      <c r="M97" s="44"/>
      <c r="N97" s="1342"/>
      <c r="O97" s="1343"/>
      <c r="P97" s="1370"/>
      <c r="Q97" s="1345"/>
      <c r="R97" s="1343"/>
      <c r="S97" s="1370"/>
      <c r="T97" s="38"/>
      <c r="U97" s="43"/>
      <c r="V97" s="43"/>
      <c r="W97" s="38"/>
      <c r="X97" s="38"/>
    </row>
    <row r="98" spans="1:24" s="1393" customFormat="1" ht="15.75">
      <c r="A98" s="43"/>
      <c r="B98" s="1251" t="s">
        <v>1238</v>
      </c>
      <c r="C98" s="1252"/>
      <c r="D98" s="1252"/>
      <c r="E98" s="1253"/>
      <c r="F98" s="1252"/>
      <c r="G98" s="1253"/>
      <c r="H98" s="1253"/>
      <c r="I98" s="1253"/>
      <c r="J98" s="1253"/>
      <c r="K98" s="1254"/>
      <c r="L98" s="1255"/>
      <c r="M98" s="44"/>
      <c r="N98" s="1344"/>
      <c r="O98" s="2150"/>
      <c r="P98" s="38"/>
      <c r="Q98" s="1345"/>
      <c r="R98" s="2218">
        <f>+O68</f>
        <v>0</v>
      </c>
      <c r="S98" s="38"/>
      <c r="T98" s="38"/>
      <c r="U98" s="2146">
        <f>IF($K$20=1,+R98-O98,0)</f>
        <v>0</v>
      </c>
      <c r="V98" s="1726"/>
      <c r="W98" s="38"/>
      <c r="X98" s="38"/>
    </row>
    <row r="99" spans="1:24" s="1393" customFormat="1" ht="15.75">
      <c r="A99" s="43"/>
      <c r="B99" s="2228">
        <f>+E8-1</f>
        <v>2020</v>
      </c>
      <c r="C99" s="1727" t="s">
        <v>1348</v>
      </c>
      <c r="D99" s="1727"/>
      <c r="E99" s="1727"/>
      <c r="F99" s="1727"/>
      <c r="G99" s="1727"/>
      <c r="H99" s="1727"/>
      <c r="I99" s="1727"/>
      <c r="J99" s="1727"/>
      <c r="K99" s="1727"/>
      <c r="L99" s="2148"/>
      <c r="M99" s="44"/>
      <c r="N99" s="1344"/>
      <c r="O99" s="1375"/>
      <c r="P99" s="38"/>
      <c r="Q99" s="1345"/>
      <c r="R99" s="2145">
        <f>+O69</f>
        <v>0</v>
      </c>
      <c r="S99" s="38"/>
      <c r="T99" s="38"/>
      <c r="U99" s="2145">
        <f>IF($K$20=1,+R99-O99,0)</f>
        <v>0</v>
      </c>
      <c r="V99" s="1726"/>
      <c r="W99" s="38"/>
      <c r="X99" s="38"/>
    </row>
    <row r="100" spans="1:24" s="1393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45"/>
      <c r="R100" s="38"/>
      <c r="S100" s="38"/>
      <c r="T100" s="38"/>
      <c r="U100" s="38"/>
      <c r="V100" s="1726"/>
      <c r="W100" s="38"/>
      <c r="X100" s="38"/>
    </row>
    <row r="101" spans="1:24" s="1393" customFormat="1" ht="15.75">
      <c r="A101" s="43"/>
      <c r="B101" s="1251" t="s">
        <v>1239</v>
      </c>
      <c r="C101" s="1252"/>
      <c r="D101" s="1252"/>
      <c r="E101" s="1253"/>
      <c r="F101" s="1252"/>
      <c r="G101" s="1253"/>
      <c r="H101" s="1253"/>
      <c r="I101" s="1253"/>
      <c r="J101" s="1253"/>
      <c r="K101" s="1254"/>
      <c r="L101" s="1255"/>
      <c r="M101" s="44"/>
      <c r="N101" s="1344"/>
      <c r="O101" s="2151"/>
      <c r="P101" s="38"/>
      <c r="Q101" s="1345"/>
      <c r="R101" s="2146">
        <f>+O71</f>
        <v>0</v>
      </c>
      <c r="S101" s="38"/>
      <c r="T101" s="38"/>
      <c r="U101" s="2146">
        <f>IF($K$20=1,+R101-O101,0)</f>
        <v>0</v>
      </c>
      <c r="V101" s="1726"/>
      <c r="W101" s="38"/>
      <c r="X101" s="38"/>
    </row>
    <row r="102" spans="1:24" s="1393" customFormat="1" ht="15.75">
      <c r="A102" s="43"/>
      <c r="B102" s="2228">
        <f>+E8-1</f>
        <v>2020</v>
      </c>
      <c r="C102" s="1727" t="s">
        <v>1348</v>
      </c>
      <c r="D102" s="1727"/>
      <c r="E102" s="1727"/>
      <c r="F102" s="1727"/>
      <c r="G102" s="1727"/>
      <c r="H102" s="1727"/>
      <c r="I102" s="1727"/>
      <c r="J102" s="1727"/>
      <c r="K102" s="1727"/>
      <c r="L102" s="2148"/>
      <c r="M102" s="44"/>
      <c r="N102" s="1344"/>
      <c r="O102" s="1375"/>
      <c r="P102" s="38"/>
      <c r="Q102" s="1345"/>
      <c r="R102" s="2145">
        <f>+O72</f>
        <v>0</v>
      </c>
      <c r="S102" s="38"/>
      <c r="T102" s="38"/>
      <c r="U102" s="2145">
        <f>IF($K20=1,+R102-O102,0)</f>
        <v>0</v>
      </c>
      <c r="V102" s="1726"/>
      <c r="W102" s="38"/>
      <c r="X102" s="38"/>
    </row>
    <row r="103" spans="1:24" s="1393" customFormat="1" ht="15.75">
      <c r="A103" s="43"/>
      <c r="B103" s="1354"/>
      <c r="C103" s="1353"/>
      <c r="D103" s="1355"/>
      <c r="E103" s="1355"/>
      <c r="F103" s="1355"/>
      <c r="G103" s="1355"/>
      <c r="H103" s="1355"/>
      <c r="I103" s="1355"/>
      <c r="J103" s="1355"/>
      <c r="K103" s="1355"/>
      <c r="L103" s="1356"/>
      <c r="M103" s="1354"/>
      <c r="N103" s="1357"/>
      <c r="O103" s="1358"/>
      <c r="P103" s="38"/>
      <c r="Q103" s="1345"/>
      <c r="R103" s="1358"/>
      <c r="S103" s="38"/>
      <c r="T103" s="38"/>
      <c r="U103" s="1358"/>
      <c r="V103" s="1358"/>
      <c r="W103" s="38"/>
      <c r="X103" s="38"/>
    </row>
    <row r="104" spans="1:24" s="1393" customFormat="1" ht="15.75">
      <c r="A104" s="43"/>
      <c r="B104" s="1256" t="s">
        <v>1992</v>
      </c>
      <c r="C104" s="1252"/>
      <c r="D104" s="1252"/>
      <c r="E104" s="1253"/>
      <c r="F104" s="1252"/>
      <c r="G104" s="1253"/>
      <c r="H104" s="1253"/>
      <c r="I104" s="1253"/>
      <c r="J104" s="1253"/>
      <c r="K104" s="1254"/>
      <c r="L104" s="1255"/>
      <c r="M104" s="44"/>
      <c r="N104" s="1344"/>
      <c r="O104" s="2151"/>
      <c r="P104" s="38"/>
      <c r="Q104" s="1345"/>
      <c r="R104" s="2146">
        <f>+O74</f>
        <v>0</v>
      </c>
      <c r="S104" s="38"/>
      <c r="T104" s="38"/>
      <c r="U104" s="2146">
        <f>IF($K$20=1,+R104-O104,0)</f>
        <v>0</v>
      </c>
      <c r="V104" s="1726"/>
      <c r="W104" s="38"/>
      <c r="X104" s="38"/>
    </row>
    <row r="105" spans="1:24" s="1393" customFormat="1" ht="15.75">
      <c r="A105" s="43"/>
      <c r="B105" s="2228">
        <f>+E8-1</f>
        <v>2020</v>
      </c>
      <c r="C105" s="1727" t="s">
        <v>1348</v>
      </c>
      <c r="D105" s="1727"/>
      <c r="E105" s="1727"/>
      <c r="F105" s="1727"/>
      <c r="G105" s="1727"/>
      <c r="H105" s="1727"/>
      <c r="I105" s="1727"/>
      <c r="J105" s="1727"/>
      <c r="K105" s="1727"/>
      <c r="L105" s="2148"/>
      <c r="M105" s="44"/>
      <c r="N105" s="1344"/>
      <c r="O105" s="1375"/>
      <c r="P105" s="38"/>
      <c r="Q105" s="1345"/>
      <c r="R105" s="2145">
        <f>+O75</f>
        <v>0</v>
      </c>
      <c r="S105" s="38"/>
      <c r="T105" s="38"/>
      <c r="U105" s="2145">
        <f>IF($K$20=1,+R105-O105,0)</f>
        <v>0</v>
      </c>
      <c r="V105" s="1726"/>
      <c r="W105" s="38"/>
      <c r="X105" s="38"/>
    </row>
    <row r="106" spans="1:24" s="1393" customFormat="1" ht="15.75">
      <c r="A106" s="43"/>
      <c r="B106" s="1354"/>
      <c r="C106" s="1353"/>
      <c r="D106" s="1355"/>
      <c r="E106" s="1355"/>
      <c r="F106" s="1355"/>
      <c r="G106" s="1355"/>
      <c r="H106" s="1355"/>
      <c r="I106" s="1355"/>
      <c r="J106" s="1355"/>
      <c r="K106" s="1355"/>
      <c r="L106" s="1356"/>
      <c r="M106" s="1354"/>
      <c r="N106" s="1357"/>
      <c r="O106" s="1358"/>
      <c r="P106" s="38"/>
      <c r="Q106" s="1345"/>
      <c r="R106" s="1358"/>
      <c r="S106" s="38"/>
      <c r="T106" s="38"/>
      <c r="U106" s="1358"/>
      <c r="V106" s="1358"/>
      <c r="W106" s="38"/>
      <c r="X106" s="38"/>
    </row>
    <row r="107" spans="1:24" s="1393" customFormat="1" ht="15.75">
      <c r="A107" s="43"/>
      <c r="B107" s="1256" t="s">
        <v>1240</v>
      </c>
      <c r="C107" s="1252"/>
      <c r="D107" s="1252"/>
      <c r="E107" s="1253"/>
      <c r="F107" s="1252"/>
      <c r="G107" s="1253"/>
      <c r="H107" s="1253"/>
      <c r="I107" s="1253"/>
      <c r="J107" s="1253"/>
      <c r="K107" s="1254"/>
      <c r="L107" s="1255"/>
      <c r="M107" s="44"/>
      <c r="N107" s="1344"/>
      <c r="O107" s="2151"/>
      <c r="P107" s="38"/>
      <c r="Q107" s="1345"/>
      <c r="R107" s="2146">
        <f>+O77</f>
        <v>0</v>
      </c>
      <c r="S107" s="38"/>
      <c r="T107" s="38"/>
      <c r="U107" s="2146">
        <f>IF($K$20=1,+R107-O107,0)</f>
        <v>0</v>
      </c>
      <c r="V107" s="1726"/>
      <c r="W107" s="38"/>
      <c r="X107" s="38"/>
    </row>
    <row r="108" spans="1:24" s="1393" customFormat="1" ht="15.75">
      <c r="A108" s="43"/>
      <c r="B108" s="2228">
        <f>+E8-1</f>
        <v>2020</v>
      </c>
      <c r="C108" s="1727" t="s">
        <v>1348</v>
      </c>
      <c r="D108" s="1727"/>
      <c r="E108" s="1727"/>
      <c r="F108" s="1727"/>
      <c r="G108" s="1727"/>
      <c r="H108" s="1727"/>
      <c r="I108" s="1727"/>
      <c r="J108" s="1727"/>
      <c r="K108" s="1727"/>
      <c r="L108" s="2148"/>
      <c r="M108" s="44"/>
      <c r="N108" s="1344"/>
      <c r="O108" s="1375"/>
      <c r="P108" s="38"/>
      <c r="Q108" s="1345"/>
      <c r="R108" s="2145">
        <f>+O78</f>
        <v>0</v>
      </c>
      <c r="S108" s="38"/>
      <c r="T108" s="38"/>
      <c r="U108" s="2145">
        <f>IF($K$20=1,+R108-O108,0)</f>
        <v>0</v>
      </c>
      <c r="V108" s="1726"/>
      <c r="W108" s="38"/>
      <c r="X108" s="38"/>
    </row>
    <row r="109" spans="1:24" s="1393" customFormat="1" ht="15.75">
      <c r="A109" s="43"/>
      <c r="B109" s="1354"/>
      <c r="C109" s="1353"/>
      <c r="D109" s="1355"/>
      <c r="E109" s="1355"/>
      <c r="F109" s="1355"/>
      <c r="G109" s="1355"/>
      <c r="H109" s="1355"/>
      <c r="I109" s="1355"/>
      <c r="J109" s="1355"/>
      <c r="K109" s="1355"/>
      <c r="L109" s="1356"/>
      <c r="M109" s="1354"/>
      <c r="N109" s="1357"/>
      <c r="O109" s="1358"/>
      <c r="P109" s="1359"/>
      <c r="Q109" s="1345"/>
      <c r="R109" s="1358"/>
      <c r="S109" s="1359"/>
      <c r="T109" s="38"/>
      <c r="U109" s="1358"/>
      <c r="V109" s="1359"/>
      <c r="W109" s="38"/>
      <c r="X109" s="38"/>
    </row>
    <row r="110" spans="1:24" s="1393" customFormat="1" ht="16.5" thickBot="1">
      <c r="A110" s="43"/>
      <c r="B110" s="1339"/>
      <c r="C110" s="2144" t="s">
        <v>2141</v>
      </c>
      <c r="D110" s="2144"/>
      <c r="E110" s="2144"/>
      <c r="F110" s="2144"/>
      <c r="G110" s="2144"/>
      <c r="H110" s="2144"/>
      <c r="I110" s="2144"/>
      <c r="J110" s="2144"/>
      <c r="K110" s="2144"/>
      <c r="L110" s="2229">
        <f>+E8-1</f>
        <v>2020</v>
      </c>
      <c r="M110" s="1364"/>
      <c r="N110" s="2236" t="s">
        <v>1243</v>
      </c>
      <c r="O110" s="1365" t="s">
        <v>1245</v>
      </c>
      <c r="P110" s="2144">
        <f>-ROUND(+(O98+O99)+(O101+O102)-(O104+O105)-(O107+O108),2)</f>
        <v>0</v>
      </c>
      <c r="Q110" s="1345"/>
      <c r="R110" s="1365" t="s">
        <v>1245</v>
      </c>
      <c r="S110" s="2144">
        <f>-ROUND(+(R98+R99)+(R101+R102)-(R104+R105)-(R107+R108),2)</f>
        <v>0</v>
      </c>
      <c r="T110" s="38"/>
      <c r="U110" s="1365" t="s">
        <v>1245</v>
      </c>
      <c r="V110" s="2144">
        <f>-ROUND(+(U98+U99)+(U101+U102)-(U104+U105)-(U107+U108),2)</f>
        <v>0</v>
      </c>
      <c r="W110" s="38"/>
      <c r="X110" s="38"/>
    </row>
    <row r="111" spans="1:24" s="1393" customFormat="1" ht="16.5" thickTop="1">
      <c r="A111" s="43"/>
      <c r="B111" s="1339"/>
      <c r="C111" s="1338"/>
      <c r="D111" s="1340"/>
      <c r="E111" s="1340"/>
      <c r="F111" s="1340"/>
      <c r="G111" s="1340"/>
      <c r="H111" s="1340"/>
      <c r="I111" s="1340"/>
      <c r="J111" s="1340"/>
      <c r="K111" s="1340"/>
      <c r="L111" s="1340"/>
      <c r="M111" s="1340"/>
      <c r="N111" s="1340"/>
      <c r="O111" s="1340"/>
      <c r="P111" s="1368">
        <f>+IF(+ROUND(P110,2)=+ROUND(P121,2),0,"НЕРАВНЕНИЕ!")</f>
        <v>0</v>
      </c>
      <c r="Q111" s="1345"/>
      <c r="R111" s="1340"/>
      <c r="S111" s="1368">
        <f>+IF(+ROUND(S110,2)=+ROUND(S121,2),0,"НЕРАВНЕНИЕ!")</f>
        <v>0</v>
      </c>
      <c r="T111" s="38"/>
      <c r="U111" s="43"/>
      <c r="V111" s="1368">
        <f>+IF(+ROUND(V110,2)=+ROUND(V121,2),0,"НЕРАВНЕНИЕ!")</f>
        <v>0</v>
      </c>
      <c r="W111" s="38"/>
      <c r="X111" s="38"/>
    </row>
    <row r="112" spans="1:24" s="1393" customFormat="1" ht="15.75">
      <c r="A112" s="43"/>
      <c r="B112" s="1256" t="s">
        <v>1966</v>
      </c>
      <c r="C112" s="1252"/>
      <c r="D112" s="1252"/>
      <c r="E112" s="1253"/>
      <c r="F112" s="1252"/>
      <c r="G112" s="1253"/>
      <c r="H112" s="1253"/>
      <c r="I112" s="1253"/>
      <c r="J112" s="1253"/>
      <c r="K112" s="1254"/>
      <c r="L112" s="1255"/>
      <c r="M112" s="44"/>
      <c r="N112" s="1344"/>
      <c r="O112" s="2151"/>
      <c r="P112" s="1369">
        <f>+IF(++ROUND(P110,2)=+ROUND(P121,2),0,"неспазено изискване NA-BAL = NA-OPR")</f>
        <v>0</v>
      </c>
      <c r="Q112" s="1345"/>
      <c r="R112" s="2146">
        <f>+O82</f>
        <v>0</v>
      </c>
      <c r="S112" s="1369">
        <f>+IF(++ROUND(S110,2)=+ROUND(S121,2),0,"неспазено изискване NA-BAL = NA-OPR")</f>
        <v>0</v>
      </c>
      <c r="T112" s="38"/>
      <c r="U112" s="2146">
        <f>IF($K$20=1,U126,0)</f>
        <v>0</v>
      </c>
      <c r="V112" s="1369">
        <f>+IF(++ROUND(V110,2)=+ROUND(V121,2),0,"неспазено изискване NA-BAL = NA-OPR")</f>
        <v>0</v>
      </c>
      <c r="W112" s="38"/>
      <c r="X112" s="38"/>
    </row>
    <row r="113" spans="1:24" s="1393" customFormat="1" ht="15.75">
      <c r="A113" s="43"/>
      <c r="B113" s="2228">
        <f>+E8-1</f>
        <v>2020</v>
      </c>
      <c r="C113" s="1727" t="s">
        <v>1348</v>
      </c>
      <c r="D113" s="1727"/>
      <c r="E113" s="1727"/>
      <c r="F113" s="1727"/>
      <c r="G113" s="1727"/>
      <c r="H113" s="1727"/>
      <c r="I113" s="1727"/>
      <c r="J113" s="1727"/>
      <c r="K113" s="1727"/>
      <c r="L113" s="2148"/>
      <c r="M113" s="44"/>
      <c r="N113" s="1344"/>
      <c r="O113" s="1375"/>
      <c r="P113" s="1371">
        <f>+IF(+ROUND(P110,2)=+ROUND(P121,2),0,"ПРОМЕНИ ВЪВЕДЕНИТЕ КОРЕКТИВИ!")</f>
        <v>0</v>
      </c>
      <c r="Q113" s="1345"/>
      <c r="R113" s="2145">
        <f>+O83</f>
        <v>0</v>
      </c>
      <c r="S113" s="1371">
        <f>+IF(+ROUND(S110,2)=+ROUND(S121,2),0,"ПРОМЕНИ ВЪВЕДЕНИТЕ КОРЕКТИВИ!")</f>
        <v>0</v>
      </c>
      <c r="T113" s="38"/>
      <c r="U113" s="2145">
        <f>IF($K$20=1,+R113-O113,0)</f>
        <v>0</v>
      </c>
      <c r="V113" s="1371">
        <f>+IF(+ROUND(V110,2)=+ROUND(V121,2),0,"ПРОМЕНИ ВЪВЕДЕНИТЕ КОРЕКТИВИ!")</f>
        <v>0</v>
      </c>
      <c r="W113" s="38"/>
      <c r="X113" s="38"/>
    </row>
    <row r="114" spans="1:24" s="1393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86"/>
      <c r="P114" s="38"/>
      <c r="Q114" s="1345"/>
      <c r="R114" s="986"/>
      <c r="S114" s="38"/>
      <c r="T114" s="38"/>
      <c r="U114" s="38"/>
      <c r="V114" s="2146">
        <f>+IF($K$20=1,+IF(+V117=0,+(R112-O112)-(R115-O115)-U130,0),0)</f>
        <v>0</v>
      </c>
      <c r="W114" s="38"/>
      <c r="X114" s="38"/>
    </row>
    <row r="115" spans="1:24" s="1393" customFormat="1" ht="15.75">
      <c r="A115" s="43"/>
      <c r="B115" s="1256" t="s">
        <v>1298</v>
      </c>
      <c r="C115" s="1252"/>
      <c r="D115" s="1252"/>
      <c r="E115" s="1253"/>
      <c r="F115" s="1252"/>
      <c r="G115" s="1253"/>
      <c r="H115" s="1253"/>
      <c r="I115" s="1253"/>
      <c r="J115" s="1253"/>
      <c r="K115" s="1254"/>
      <c r="L115" s="1255"/>
      <c r="M115" s="44"/>
      <c r="N115" s="1344"/>
      <c r="O115" s="2151"/>
      <c r="P115" s="38"/>
      <c r="Q115" s="1345"/>
      <c r="R115" s="2146">
        <f>+O85</f>
        <v>0</v>
      </c>
      <c r="S115" s="38"/>
      <c r="T115" s="38"/>
      <c r="U115" s="2146">
        <f>IF($K$20=1,U128,0)</f>
        <v>0</v>
      </c>
      <c r="V115" s="1726"/>
      <c r="W115" s="38"/>
      <c r="X115" s="38"/>
    </row>
    <row r="116" spans="1:24" s="1393" customFormat="1" ht="15.75">
      <c r="A116" s="43"/>
      <c r="B116" s="2228">
        <f>+E8-1</f>
        <v>2020</v>
      </c>
      <c r="C116" s="1727" t="s">
        <v>1348</v>
      </c>
      <c r="D116" s="1727"/>
      <c r="E116" s="1727"/>
      <c r="F116" s="1727"/>
      <c r="G116" s="1727"/>
      <c r="H116" s="1727"/>
      <c r="I116" s="1727"/>
      <c r="J116" s="1727"/>
      <c r="K116" s="1727"/>
      <c r="L116" s="2148"/>
      <c r="M116" s="44"/>
      <c r="N116" s="1344"/>
      <c r="O116" s="1375"/>
      <c r="P116" s="38"/>
      <c r="Q116" s="1345"/>
      <c r="R116" s="2145">
        <f>+O86</f>
        <v>0</v>
      </c>
      <c r="S116" s="38"/>
      <c r="T116" s="38"/>
      <c r="U116" s="2145">
        <f>IF($K$20=1,+R116-O116,0)</f>
        <v>0</v>
      </c>
      <c r="V116" s="1726"/>
      <c r="W116" s="38"/>
      <c r="X116" s="38"/>
    </row>
    <row r="117" spans="1:24" s="1393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86"/>
      <c r="P117" s="38"/>
      <c r="Q117" s="1345"/>
      <c r="R117" s="986"/>
      <c r="S117" s="38"/>
      <c r="T117" s="38"/>
      <c r="U117" s="38"/>
      <c r="V117" s="2146">
        <f>+IF($K$20=1,+IF(U104+U105&gt;0,-(+(R112-O112)-(R115-O115)-U130),0),0)</f>
        <v>0</v>
      </c>
      <c r="W117" s="38"/>
      <c r="X117" s="38"/>
    </row>
    <row r="118" spans="1:24" s="1393" customFormat="1" ht="15.75">
      <c r="A118" s="43"/>
      <c r="B118" s="1256" t="s">
        <v>1967</v>
      </c>
      <c r="C118" s="1252"/>
      <c r="D118" s="1252"/>
      <c r="E118" s="1253"/>
      <c r="F118" s="1252"/>
      <c r="G118" s="1253"/>
      <c r="H118" s="1253"/>
      <c r="I118" s="1253"/>
      <c r="J118" s="1253"/>
      <c r="K118" s="1254"/>
      <c r="L118" s="1255"/>
      <c r="M118" s="44"/>
      <c r="N118" s="1344"/>
      <c r="O118" s="2151"/>
      <c r="P118" s="38"/>
      <c r="Q118" s="1345"/>
      <c r="R118" s="2146">
        <f>+O88</f>
        <v>0</v>
      </c>
      <c r="S118" s="38"/>
      <c r="T118" s="38"/>
      <c r="U118" s="2146">
        <f>IF($K$20=1,+R118-O118,0)</f>
        <v>0</v>
      </c>
      <c r="V118" s="1726"/>
      <c r="W118" s="38"/>
      <c r="X118" s="38"/>
    </row>
    <row r="119" spans="1:24" s="1393" customFormat="1" ht="15.75">
      <c r="A119" s="607" t="s">
        <v>265</v>
      </c>
      <c r="B119" s="2228">
        <f>+E8-1</f>
        <v>2020</v>
      </c>
      <c r="C119" s="1727" t="s">
        <v>1348</v>
      </c>
      <c r="D119" s="1727"/>
      <c r="E119" s="1727"/>
      <c r="F119" s="1727"/>
      <c r="G119" s="1727"/>
      <c r="H119" s="1727"/>
      <c r="I119" s="1727"/>
      <c r="J119" s="1727"/>
      <c r="K119" s="1727"/>
      <c r="L119" s="2148"/>
      <c r="M119" s="44"/>
      <c r="N119" s="1344"/>
      <c r="O119" s="1375"/>
      <c r="P119" s="38"/>
      <c r="Q119" s="1345"/>
      <c r="R119" s="2145">
        <f>+O89</f>
        <v>0</v>
      </c>
      <c r="S119" s="38"/>
      <c r="T119" s="38"/>
      <c r="U119" s="2145">
        <f>IF($K$20=1,+R119-O119,0)</f>
        <v>0</v>
      </c>
      <c r="V119" s="1726"/>
      <c r="W119" s="38"/>
      <c r="X119" s="38"/>
    </row>
    <row r="120" spans="1:24" s="1393" customFormat="1" ht="15.75">
      <c r="A120" s="607"/>
      <c r="B120" s="1339"/>
      <c r="C120" s="1338"/>
      <c r="D120" s="1340"/>
      <c r="E120" s="1340"/>
      <c r="F120" s="1340"/>
      <c r="G120" s="1340"/>
      <c r="H120" s="1340"/>
      <c r="I120" s="1340"/>
      <c r="J120" s="1340"/>
      <c r="K120" s="1340"/>
      <c r="L120" s="1340"/>
      <c r="M120" s="1340"/>
      <c r="N120" s="1340"/>
      <c r="O120" s="1340"/>
      <c r="P120" s="1344"/>
      <c r="Q120" s="1345"/>
      <c r="R120" s="1340"/>
      <c r="S120" s="1344"/>
      <c r="T120" s="38"/>
      <c r="U120" s="43"/>
      <c r="V120" s="43"/>
      <c r="W120" s="38"/>
      <c r="X120" s="38"/>
    </row>
    <row r="121" spans="1:24" ht="16.5" thickBot="1">
      <c r="A121" s="43"/>
      <c r="B121" s="1339"/>
      <c r="C121" s="2144" t="s">
        <v>1241</v>
      </c>
      <c r="D121" s="2144"/>
      <c r="E121" s="2144"/>
      <c r="F121" s="2144"/>
      <c r="G121" s="2144"/>
      <c r="H121" s="2144"/>
      <c r="I121" s="2144"/>
      <c r="J121" s="2144"/>
      <c r="K121" s="2144"/>
      <c r="L121" s="2230">
        <f>+E8-1</f>
        <v>2020</v>
      </c>
      <c r="M121" s="44"/>
      <c r="N121" s="2236" t="s">
        <v>1242</v>
      </c>
      <c r="O121" s="1367" t="s">
        <v>1244</v>
      </c>
      <c r="P121" s="2144">
        <f>+ROUND(+(O112+O113)-(O115+O116)-(O118+O119),2)</f>
        <v>0</v>
      </c>
      <c r="Q121" s="1345"/>
      <c r="R121" s="1367" t="s">
        <v>1244</v>
      </c>
      <c r="S121" s="2144">
        <f>+ROUND(+(R112+R113)-(R115+R116)-(R118+R119),2)</f>
        <v>0</v>
      </c>
      <c r="T121" s="38"/>
      <c r="U121" s="1367" t="s">
        <v>1244</v>
      </c>
      <c r="V121" s="2144">
        <f>+ROUND(+(U112+U113+V114)-(U115+U116+V117)-(U118+U119),2)</f>
        <v>0</v>
      </c>
      <c r="W121" s="43"/>
      <c r="X121" s="43"/>
    </row>
    <row r="122" spans="1:24" ht="16.5" thickTop="1">
      <c r="A122" s="43"/>
      <c r="B122" s="1339"/>
      <c r="C122" s="1338"/>
      <c r="D122" s="1340"/>
      <c r="E122" s="1340"/>
      <c r="F122" s="1340"/>
      <c r="G122" s="1340"/>
      <c r="H122" s="1340"/>
      <c r="I122" s="1340"/>
      <c r="J122" s="1340"/>
      <c r="K122" s="1340"/>
      <c r="L122" s="43"/>
      <c r="M122" s="44"/>
      <c r="N122" s="1342"/>
      <c r="O122" s="1343"/>
      <c r="P122" s="1368">
        <f>+IF(+ROUND(P121,2)=+ROUND(P110,2),0,"НЕРАВНЕНИЕ!")</f>
        <v>0</v>
      </c>
      <c r="Q122" s="1345"/>
      <c r="R122" s="1343"/>
      <c r="S122" s="1368">
        <f>+IF(+ROUND(S121,2)=+ROUND(S110,2),0,"НЕРАВНЕНИЕ!")</f>
        <v>0</v>
      </c>
      <c r="T122" s="38"/>
      <c r="U122" s="43"/>
      <c r="V122" s="1368">
        <f>+IF(+ROUND(V121,2)=+ROUND(V110,2),0,"НЕРАВНЕНИЕ!")</f>
        <v>0</v>
      </c>
      <c r="W122" s="43"/>
      <c r="X122" s="43"/>
    </row>
    <row r="123" spans="1:24" ht="15.75">
      <c r="A123" s="43"/>
      <c r="B123" s="1339"/>
      <c r="C123" s="1338"/>
      <c r="D123" s="1340"/>
      <c r="E123" s="1340"/>
      <c r="F123" s="1340"/>
      <c r="G123" s="1340"/>
      <c r="H123" s="1340"/>
      <c r="I123" s="1340"/>
      <c r="J123" s="1340"/>
      <c r="K123" s="1340"/>
      <c r="L123" s="43"/>
      <c r="M123" s="44"/>
      <c r="N123" s="1342"/>
      <c r="O123" s="1343"/>
      <c r="P123" s="1369">
        <f>+IF(+ROUND(P121,2)=+ROUND(P110,2),0,"неспазено изискване NA-OPR = NA-BAL")</f>
        <v>0</v>
      </c>
      <c r="Q123" s="1345"/>
      <c r="R123" s="1343"/>
      <c r="S123" s="1369">
        <f>+IF(+ROUND(S121,2)=+ROUND(S110,2),0,"неспазено изискване NA-OPR = NA-BAL")</f>
        <v>0</v>
      </c>
      <c r="T123" s="2536" t="s">
        <v>2138</v>
      </c>
      <c r="U123" s="2537"/>
      <c r="V123" s="1369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39"/>
      <c r="C124" s="1338"/>
      <c r="D124" s="1340"/>
      <c r="E124" s="1340"/>
      <c r="F124" s="1340"/>
      <c r="G124" s="1340"/>
      <c r="H124" s="1340"/>
      <c r="I124" s="1340"/>
      <c r="J124" s="1340"/>
      <c r="K124" s="1340"/>
      <c r="L124" s="43"/>
      <c r="M124" s="44"/>
      <c r="N124" s="1342"/>
      <c r="O124" s="1343"/>
      <c r="P124" s="1371">
        <f>+IF(+ROUND(P121,2)=+ROUND(P110,2),0,"ПРОМЕНИ ВЪВЕДЕНИТЕ КОРЕКТИВИ!")</f>
        <v>0</v>
      </c>
      <c r="Q124" s="1345"/>
      <c r="R124" s="1343"/>
      <c r="S124" s="1371">
        <f>+IF(+ROUND(S121,2)=+ROUND(S110,2),0,"ПРОМЕНИ ВЪВЕДЕНИТЕ КОРЕКТИВИ!")</f>
        <v>0</v>
      </c>
      <c r="T124" s="2538">
        <f>+E8-1</f>
        <v>2020</v>
      </c>
      <c r="U124" s="2539"/>
      <c r="V124" s="1371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39"/>
      <c r="C125" s="1338"/>
      <c r="D125" s="1340"/>
      <c r="E125" s="1340"/>
      <c r="F125" s="1340"/>
      <c r="G125" s="1340"/>
      <c r="H125" s="1340"/>
      <c r="I125" s="1340"/>
      <c r="J125" s="1340"/>
      <c r="K125" s="1340"/>
      <c r="L125" s="43"/>
      <c r="M125" s="44"/>
      <c r="N125" s="1342"/>
      <c r="O125" s="1343"/>
      <c r="P125" s="1344"/>
      <c r="Q125" s="1345"/>
      <c r="R125" s="1343"/>
      <c r="S125" s="1344"/>
      <c r="T125" s="38"/>
      <c r="U125" s="1371"/>
      <c r="V125" s="43"/>
      <c r="W125" s="43"/>
      <c r="X125" s="43"/>
    </row>
    <row r="126" spans="1:24" ht="15.75">
      <c r="A126" s="43"/>
      <c r="B126" s="1339"/>
      <c r="C126" s="1338"/>
      <c r="D126" s="1340"/>
      <c r="E126" s="1340"/>
      <c r="F126" s="1340"/>
      <c r="G126" s="1340"/>
      <c r="H126" s="1340"/>
      <c r="I126" s="1340"/>
      <c r="J126" s="1340"/>
      <c r="K126" s="1340"/>
      <c r="L126" s="43"/>
      <c r="M126" s="44"/>
      <c r="N126" s="2219" t="s">
        <v>2145</v>
      </c>
      <c r="O126" s="2219"/>
      <c r="P126" s="2220"/>
      <c r="Q126" s="1345"/>
      <c r="R126" s="1343"/>
      <c r="S126" s="1344"/>
      <c r="T126" s="1728"/>
      <c r="U126" s="2151"/>
      <c r="V126" s="43"/>
      <c r="W126" s="43"/>
      <c r="X126" s="43"/>
    </row>
    <row r="127" spans="1:24" ht="15.75">
      <c r="A127" s="43"/>
      <c r="B127" s="1339"/>
      <c r="C127" s="1338"/>
      <c r="D127" s="1340"/>
      <c r="E127" s="1340"/>
      <c r="F127" s="1340"/>
      <c r="G127" s="1340"/>
      <c r="H127" s="1340"/>
      <c r="I127" s="1340"/>
      <c r="J127" s="1340"/>
      <c r="K127" s="1340"/>
      <c r="L127" s="43"/>
      <c r="M127" s="44"/>
      <c r="N127" s="2223" t="s">
        <v>2144</v>
      </c>
      <c r="O127" s="2223"/>
      <c r="P127" s="2224"/>
      <c r="Q127" s="1345"/>
      <c r="R127" s="1343"/>
      <c r="S127" s="1344"/>
      <c r="T127" s="38"/>
      <c r="U127" s="1371"/>
      <c r="V127" s="43"/>
      <c r="W127" s="43"/>
      <c r="X127" s="43"/>
    </row>
    <row r="128" spans="1:24" ht="15.75">
      <c r="A128" s="43"/>
      <c r="B128" s="1339"/>
      <c r="C128" s="1338"/>
      <c r="D128" s="1340"/>
      <c r="E128" s="1340"/>
      <c r="F128" s="1340"/>
      <c r="G128" s="1340"/>
      <c r="H128" s="1340"/>
      <c r="I128" s="1340"/>
      <c r="J128" s="1340"/>
      <c r="K128" s="1340"/>
      <c r="L128" s="43"/>
      <c r="M128" s="44"/>
      <c r="N128" s="2225" t="s">
        <v>2140</v>
      </c>
      <c r="O128" s="2221"/>
      <c r="P128" s="2222"/>
      <c r="Q128" s="1345"/>
      <c r="R128" s="1343"/>
      <c r="S128" s="1344"/>
      <c r="T128" s="1728"/>
      <c r="U128" s="2151"/>
      <c r="V128" s="43"/>
      <c r="W128" s="43"/>
      <c r="X128" s="43"/>
    </row>
    <row r="129" spans="1:24" ht="15.75">
      <c r="A129" s="43"/>
      <c r="B129" s="1339"/>
      <c r="C129" s="1338"/>
      <c r="D129" s="1340"/>
      <c r="E129" s="1340"/>
      <c r="F129" s="1340"/>
      <c r="G129" s="1340"/>
      <c r="H129" s="1340"/>
      <c r="I129" s="1340"/>
      <c r="J129" s="1340"/>
      <c r="K129" s="1340"/>
      <c r="L129" s="43"/>
      <c r="M129" s="44"/>
      <c r="N129" s="1342"/>
      <c r="O129" s="1343"/>
      <c r="P129" s="1370"/>
      <c r="Q129" s="1345"/>
      <c r="R129" s="1343"/>
      <c r="S129" s="1344"/>
      <c r="T129" s="38"/>
      <c r="U129" s="1344"/>
      <c r="V129" s="43"/>
      <c r="W129" s="43"/>
      <c r="X129" s="43"/>
    </row>
    <row r="130" spans="1:24" ht="15.75" customHeight="1" thickBot="1">
      <c r="A130" s="43"/>
      <c r="B130" s="1339"/>
      <c r="C130" s="1338"/>
      <c r="D130" s="1340"/>
      <c r="E130" s="1340"/>
      <c r="F130" s="1340"/>
      <c r="G130" s="1340"/>
      <c r="H130" s="1340"/>
      <c r="I130" s="1340"/>
      <c r="J130" s="1340"/>
      <c r="K130" s="1340"/>
      <c r="L130" s="43"/>
      <c r="M130" s="44"/>
      <c r="N130" s="1342"/>
      <c r="O130" s="1343"/>
      <c r="P130" s="1370"/>
      <c r="Q130" s="1345"/>
      <c r="R130" s="1343"/>
      <c r="S130" s="1344"/>
      <c r="T130" s="38"/>
      <c r="U130" s="2144">
        <f>+U126-U128</f>
        <v>0</v>
      </c>
      <c r="V130" s="43"/>
      <c r="W130" s="43"/>
      <c r="X130" s="43"/>
    </row>
    <row r="131" spans="1:24" ht="16.5" thickTop="1">
      <c r="A131" s="43"/>
      <c r="B131" s="1339"/>
      <c r="C131" s="1338"/>
      <c r="D131" s="1340"/>
      <c r="E131" s="1340"/>
      <c r="F131" s="1340"/>
      <c r="G131" s="1340"/>
      <c r="H131" s="1340"/>
      <c r="I131" s="1340"/>
      <c r="J131" s="1340"/>
      <c r="K131" s="1340"/>
      <c r="L131" s="43"/>
      <c r="M131" s="44"/>
      <c r="N131" s="1342"/>
      <c r="O131" s="1343"/>
      <c r="P131" s="1370"/>
      <c r="Q131" s="1345"/>
      <c r="R131" s="1343"/>
      <c r="S131" s="1344"/>
      <c r="T131" s="38"/>
      <c r="U131" s="1344"/>
      <c r="V131" s="43"/>
      <c r="W131" s="43"/>
      <c r="X131" s="43"/>
    </row>
    <row r="132" spans="1:24" ht="15.75">
      <c r="A132" s="43"/>
      <c r="B132" s="1280" t="s">
        <v>1189</v>
      </c>
      <c r="C132" s="1271"/>
      <c r="D132" s="1271"/>
      <c r="E132" s="1271"/>
      <c r="F132" s="1281"/>
      <c r="G132" s="43"/>
      <c r="H132" s="43"/>
      <c r="I132" s="43"/>
      <c r="J132" s="43"/>
      <c r="K132" s="43"/>
      <c r="L132" s="43"/>
      <c r="M132" s="44"/>
      <c r="N132" s="1342"/>
      <c r="O132" s="1343"/>
      <c r="P132" s="1370"/>
      <c r="Q132" s="1345"/>
      <c r="R132" s="1343"/>
      <c r="S132" s="1344"/>
      <c r="T132" s="1344"/>
      <c r="U132" s="1344"/>
      <c r="V132" s="43"/>
      <c r="W132" s="43"/>
      <c r="X132" s="43"/>
    </row>
    <row r="133" spans="1:24" ht="15.75">
      <c r="A133" s="43"/>
      <c r="B133" s="1743" t="s">
        <v>1441</v>
      </c>
      <c r="C133" s="1744"/>
      <c r="D133" s="1744"/>
      <c r="E133" s="1744"/>
      <c r="F133" s="1745"/>
      <c r="G133" s="1744"/>
      <c r="H133" s="1744"/>
      <c r="I133" s="1744"/>
      <c r="J133" s="1744"/>
      <c r="K133" s="1746"/>
      <c r="L133" s="43"/>
      <c r="M133" s="44"/>
      <c r="N133" s="1342"/>
      <c r="O133" s="1343"/>
      <c r="P133" s="1370"/>
      <c r="Q133" s="1345"/>
      <c r="R133" s="1343"/>
      <c r="S133" s="1344"/>
      <c r="T133" s="1344"/>
      <c r="U133" s="1344"/>
      <c r="V133" s="43"/>
      <c r="W133" s="43"/>
      <c r="X133" s="43"/>
    </row>
    <row r="134" spans="1:24" ht="15.75">
      <c r="A134" s="43"/>
      <c r="B134" s="1747" t="s">
        <v>1442</v>
      </c>
      <c r="C134" s="1748"/>
      <c r="D134" s="1748"/>
      <c r="E134" s="1748"/>
      <c r="F134" s="1749"/>
      <c r="G134" s="1748"/>
      <c r="H134" s="1748"/>
      <c r="I134" s="1748"/>
      <c r="J134" s="1748"/>
      <c r="K134" s="1750"/>
      <c r="L134" s="43"/>
      <c r="M134" s="44"/>
      <c r="N134" s="1342"/>
      <c r="O134" s="1343"/>
      <c r="P134" s="1370"/>
      <c r="Q134" s="1345"/>
      <c r="R134" s="1343"/>
      <c r="S134" s="1344"/>
      <c r="T134" s="1344"/>
      <c r="U134" s="1344"/>
      <c r="V134" s="43"/>
      <c r="W134" s="43"/>
      <c r="X134" s="43"/>
    </row>
    <row r="135" spans="1:24" ht="15.75">
      <c r="A135" s="43"/>
      <c r="B135" s="1946" t="s">
        <v>2067</v>
      </c>
      <c r="C135" s="1947"/>
      <c r="D135" s="1947"/>
      <c r="E135" s="1947"/>
      <c r="F135" s="1948"/>
      <c r="G135" s="1947"/>
      <c r="H135" s="1947"/>
      <c r="I135" s="1947"/>
      <c r="J135" s="1947"/>
      <c r="K135" s="1949"/>
      <c r="L135" s="43"/>
      <c r="M135" s="44"/>
      <c r="N135" s="1342"/>
      <c r="O135" s="1343"/>
      <c r="P135" s="1370"/>
      <c r="Q135" s="1345"/>
      <c r="R135" s="1343"/>
      <c r="S135" s="1344"/>
      <c r="T135" s="1344"/>
      <c r="U135" s="1344"/>
      <c r="V135" s="43"/>
      <c r="W135" s="43"/>
      <c r="X135" s="43"/>
    </row>
    <row r="136" spans="1:24" ht="15.75">
      <c r="A136" s="43"/>
      <c r="B136" s="1946" t="s">
        <v>2071</v>
      </c>
      <c r="C136" s="1947"/>
      <c r="D136" s="1947"/>
      <c r="E136" s="1947"/>
      <c r="F136" s="1948"/>
      <c r="G136" s="1947"/>
      <c r="H136" s="1947"/>
      <c r="I136" s="1947"/>
      <c r="J136" s="1947"/>
      <c r="K136" s="1949"/>
      <c r="L136" s="1345"/>
      <c r="M136" s="1345"/>
      <c r="N136" s="1345"/>
      <c r="O136" s="1345"/>
      <c r="P136" s="1345"/>
      <c r="Q136" s="1345"/>
      <c r="R136" s="1345"/>
      <c r="S136" s="1345"/>
      <c r="T136" s="1345"/>
      <c r="U136" s="1345"/>
      <c r="V136" s="1345"/>
      <c r="W136" s="1345"/>
      <c r="X136" s="1345"/>
    </row>
    <row r="137" spans="1:24" ht="15.75">
      <c r="A137" s="43"/>
      <c r="B137" s="1751" t="s">
        <v>2093</v>
      </c>
      <c r="C137" s="1752"/>
      <c r="D137" s="1752"/>
      <c r="E137" s="1752"/>
      <c r="F137" s="1753"/>
      <c r="G137" s="1752"/>
      <c r="H137" s="1752"/>
      <c r="I137" s="1752"/>
      <c r="J137" s="1752"/>
      <c r="K137" s="1754"/>
      <c r="L137" s="1345"/>
      <c r="M137" s="1345"/>
      <c r="N137" s="1345"/>
      <c r="O137" s="1345"/>
      <c r="P137" s="1345"/>
      <c r="Q137" s="1345"/>
      <c r="R137" s="1345"/>
      <c r="S137" s="1345"/>
      <c r="T137" s="1345"/>
      <c r="U137" s="1345"/>
      <c r="V137" s="1345"/>
      <c r="W137" s="1345"/>
      <c r="X137" s="1345"/>
    </row>
    <row r="138" spans="1:24" ht="15.75">
      <c r="A138" s="43"/>
      <c r="B138" s="1174" t="s">
        <v>1373</v>
      </c>
      <c r="C138" s="1274"/>
      <c r="D138" s="1274"/>
      <c r="E138" s="1274"/>
      <c r="F138" s="1278"/>
      <c r="G138" s="1274"/>
      <c r="H138" s="1274"/>
      <c r="I138" s="1274"/>
      <c r="J138" s="1274"/>
      <c r="K138" s="1275"/>
      <c r="L138" s="1345"/>
      <c r="M138" s="1345"/>
      <c r="N138" s="1345"/>
      <c r="O138" s="1345"/>
      <c r="P138" s="1345"/>
      <c r="Q138" s="1345"/>
      <c r="R138" s="1345"/>
      <c r="S138" s="1345"/>
      <c r="T138" s="1345"/>
      <c r="U138" s="1345"/>
      <c r="V138" s="1345"/>
      <c r="W138" s="1345"/>
      <c r="X138" s="1345"/>
    </row>
    <row r="139" spans="1:24" ht="15.75">
      <c r="A139" s="43"/>
      <c r="B139" s="1174" t="s">
        <v>1356</v>
      </c>
      <c r="C139" s="1274"/>
      <c r="D139" s="1274"/>
      <c r="E139" s="1274"/>
      <c r="F139" s="1278"/>
      <c r="G139" s="1274"/>
      <c r="H139" s="1274"/>
      <c r="I139" s="1274"/>
      <c r="J139" s="1274"/>
      <c r="K139" s="1275"/>
      <c r="L139" s="1345"/>
      <c r="M139" s="1345"/>
      <c r="N139" s="1345"/>
      <c r="O139" s="1345"/>
      <c r="P139" s="1345"/>
      <c r="Q139" s="1345"/>
      <c r="R139" s="1345"/>
      <c r="S139" s="1345"/>
      <c r="T139" s="1345"/>
      <c r="U139" s="1345"/>
      <c r="V139" s="1345"/>
      <c r="W139" s="1345"/>
      <c r="X139" s="1345"/>
    </row>
    <row r="140" spans="1:24" ht="15.75">
      <c r="A140" s="43"/>
      <c r="B140" s="1174" t="s">
        <v>1314</v>
      </c>
      <c r="C140" s="1274"/>
      <c r="D140" s="1274"/>
      <c r="E140" s="1274"/>
      <c r="F140" s="1278"/>
      <c r="G140" s="1274"/>
      <c r="H140" s="1274"/>
      <c r="I140" s="1274"/>
      <c r="J140" s="1274"/>
      <c r="K140" s="1275"/>
      <c r="L140" s="1345"/>
      <c r="M140" s="1345"/>
      <c r="N140" s="1345"/>
      <c r="O140" s="1345"/>
      <c r="P140" s="1345"/>
      <c r="Q140" s="1345"/>
      <c r="R140" s="1345"/>
      <c r="S140" s="1345"/>
      <c r="T140" s="1345"/>
      <c r="U140" s="1345"/>
      <c r="V140" s="1345"/>
      <c r="W140" s="1345"/>
      <c r="X140" s="1345"/>
    </row>
    <row r="141" spans="1:24" ht="15.75">
      <c r="A141" s="43"/>
      <c r="B141" s="1174" t="s">
        <v>1357</v>
      </c>
      <c r="C141" s="1274"/>
      <c r="D141" s="1274"/>
      <c r="E141" s="1274"/>
      <c r="F141" s="1278"/>
      <c r="G141" s="1274"/>
      <c r="H141" s="1274"/>
      <c r="I141" s="1274"/>
      <c r="J141" s="1274"/>
      <c r="K141" s="1275"/>
      <c r="L141" s="1345"/>
      <c r="M141" s="1345"/>
      <c r="N141" s="1345"/>
      <c r="O141" s="1345"/>
      <c r="P141" s="1345"/>
      <c r="Q141" s="1345"/>
      <c r="R141" s="1345"/>
      <c r="S141" s="1345"/>
      <c r="T141" s="1345"/>
      <c r="U141" s="1345"/>
      <c r="V141" s="1345"/>
      <c r="W141" s="1345"/>
      <c r="X141" s="1345"/>
    </row>
    <row r="142" spans="1:24" ht="15.75">
      <c r="A142" s="43"/>
      <c r="B142" s="1174" t="s">
        <v>1358</v>
      </c>
      <c r="C142" s="1274"/>
      <c r="D142" s="1274"/>
      <c r="E142" s="1274"/>
      <c r="F142" s="1278"/>
      <c r="G142" s="1274"/>
      <c r="H142" s="1274"/>
      <c r="I142" s="1274"/>
      <c r="J142" s="1274"/>
      <c r="K142" s="1275"/>
      <c r="L142" s="1345"/>
      <c r="M142" s="1345"/>
      <c r="N142" s="1345"/>
      <c r="O142" s="1345"/>
      <c r="P142" s="1345"/>
      <c r="Q142" s="1345"/>
      <c r="R142" s="1345"/>
      <c r="S142" s="1345"/>
      <c r="T142" s="1345"/>
      <c r="U142" s="1345"/>
      <c r="V142" s="1345"/>
      <c r="W142" s="1345"/>
      <c r="X142" s="1345"/>
    </row>
    <row r="143" spans="1:24" ht="15.75">
      <c r="A143" s="43"/>
      <c r="B143" s="1174" t="s">
        <v>1374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1345"/>
      <c r="M143" s="1345"/>
      <c r="N143" s="1345"/>
      <c r="O143" s="1345"/>
      <c r="P143" s="1345"/>
      <c r="Q143" s="1345"/>
      <c r="R143" s="1345"/>
      <c r="S143" s="1345"/>
      <c r="T143" s="1345"/>
      <c r="U143" s="1345"/>
      <c r="V143" s="1345"/>
      <c r="W143" s="1345"/>
      <c r="X143" s="1345"/>
    </row>
    <row r="144" spans="1:24" ht="15.75">
      <c r="A144" s="43"/>
      <c r="B144" s="1279" t="s">
        <v>1360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1345"/>
      <c r="M144" s="1345"/>
      <c r="N144" s="1345"/>
      <c r="O144" s="1345"/>
      <c r="P144" s="1345"/>
      <c r="Q144" s="1345"/>
      <c r="R144" s="1345"/>
      <c r="S144" s="1345"/>
      <c r="T144" s="1345"/>
      <c r="U144" s="1345"/>
      <c r="V144" s="1345"/>
      <c r="W144" s="1345"/>
      <c r="X144" s="1345"/>
    </row>
    <row r="145" spans="1:24" ht="15.75">
      <c r="A145" s="43"/>
      <c r="B145" s="1177" t="s">
        <v>1359</v>
      </c>
      <c r="C145" s="1276"/>
      <c r="D145" s="1276"/>
      <c r="E145" s="1276"/>
      <c r="F145" s="1276"/>
      <c r="G145" s="1276"/>
      <c r="H145" s="1276"/>
      <c r="I145" s="1276"/>
      <c r="J145" s="1276"/>
      <c r="K145" s="1277"/>
      <c r="L145" s="1345"/>
      <c r="M145" s="1345"/>
      <c r="N145" s="1345"/>
      <c r="O145" s="1345"/>
      <c r="P145" s="1345"/>
      <c r="Q145" s="1345"/>
      <c r="R145" s="1345"/>
      <c r="S145" s="1345"/>
      <c r="T145" s="1345"/>
      <c r="U145" s="1345"/>
      <c r="V145" s="1345"/>
      <c r="W145" s="1345"/>
      <c r="X145" s="1345"/>
    </row>
    <row r="146" spans="1:24" ht="15.75">
      <c r="A146" s="43"/>
      <c r="B146" s="1171" t="s">
        <v>1375</v>
      </c>
      <c r="C146" s="1271"/>
      <c r="D146" s="1271"/>
      <c r="E146" s="1271"/>
      <c r="F146" s="1271"/>
      <c r="G146" s="1271"/>
      <c r="H146" s="1271"/>
      <c r="I146" s="1271"/>
      <c r="J146" s="1271"/>
      <c r="K146" s="1273"/>
      <c r="L146" s="1345"/>
      <c r="M146" s="1345"/>
      <c r="N146" s="1345"/>
      <c r="O146" s="1345"/>
      <c r="P146" s="1345"/>
      <c r="Q146" s="1345"/>
      <c r="R146" s="1345"/>
      <c r="S146" s="1345"/>
      <c r="T146" s="1345"/>
      <c r="U146" s="1345"/>
      <c r="V146" s="1345"/>
      <c r="W146" s="1345"/>
      <c r="X146" s="1345"/>
    </row>
    <row r="147" spans="1:24" ht="15.75">
      <c r="A147" s="43"/>
      <c r="B147" s="1174" t="s">
        <v>1892</v>
      </c>
      <c r="C147" s="1274"/>
      <c r="D147" s="1274"/>
      <c r="E147" s="1274"/>
      <c r="F147" s="1274"/>
      <c r="G147" s="2138" t="s">
        <v>1959</v>
      </c>
      <c r="H147" s="2139"/>
      <c r="I147" s="1274" t="s">
        <v>1891</v>
      </c>
      <c r="J147" s="1274"/>
      <c r="K147" s="1275"/>
      <c r="L147" s="1345"/>
      <c r="M147" s="1345"/>
      <c r="N147" s="1345"/>
      <c r="O147" s="1345"/>
      <c r="P147" s="1345"/>
      <c r="Q147" s="1345"/>
      <c r="R147" s="1345"/>
      <c r="S147" s="1345"/>
      <c r="T147" s="1345"/>
      <c r="U147" s="1345"/>
      <c r="V147" s="1345"/>
      <c r="W147" s="1345"/>
      <c r="X147" s="1345"/>
    </row>
    <row r="148" spans="1:24" ht="15.75">
      <c r="A148" s="43"/>
      <c r="B148" s="1174" t="s">
        <v>1890</v>
      </c>
      <c r="C148" s="1274"/>
      <c r="D148" s="1274"/>
      <c r="E148" s="1274"/>
      <c r="F148" s="1278"/>
      <c r="G148" s="1274"/>
      <c r="H148" s="1274"/>
      <c r="I148" s="1274"/>
      <c r="J148" s="1274"/>
      <c r="K148" s="1275"/>
      <c r="L148" s="1345"/>
      <c r="M148" s="1345"/>
      <c r="N148" s="1345"/>
      <c r="O148" s="1345"/>
      <c r="P148" s="1345"/>
      <c r="Q148" s="1345"/>
      <c r="R148" s="1345"/>
      <c r="S148" s="1345"/>
      <c r="T148" s="1345"/>
      <c r="U148" s="1345"/>
      <c r="V148" s="1345"/>
      <c r="W148" s="1345"/>
      <c r="X148" s="1345"/>
    </row>
    <row r="149" spans="1:24" ht="15.75">
      <c r="A149" s="43"/>
      <c r="B149" s="1174" t="s">
        <v>1362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1345"/>
      <c r="M149" s="1345"/>
      <c r="N149" s="1345"/>
      <c r="O149" s="1345"/>
      <c r="P149" s="1345"/>
      <c r="Q149" s="1345"/>
      <c r="R149" s="1345"/>
      <c r="S149" s="1345"/>
      <c r="T149" s="1345"/>
      <c r="U149" s="1345"/>
      <c r="V149" s="1345"/>
      <c r="W149" s="1345"/>
      <c r="X149" s="1345"/>
    </row>
    <row r="150" spans="1:24" ht="15.75">
      <c r="A150" s="43"/>
      <c r="B150" s="1174" t="s">
        <v>1361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1345"/>
      <c r="M150" s="1345"/>
      <c r="N150" s="1345"/>
      <c r="O150" s="1345"/>
      <c r="P150" s="1345"/>
      <c r="Q150" s="1345"/>
      <c r="R150" s="1345"/>
      <c r="S150" s="1345"/>
      <c r="T150" s="1345"/>
      <c r="U150" s="1345"/>
      <c r="V150" s="1345"/>
      <c r="W150" s="1345"/>
      <c r="X150" s="1345"/>
    </row>
    <row r="151" spans="1:24" ht="15.75">
      <c r="A151" s="43"/>
      <c r="B151" s="1174" t="s">
        <v>2063</v>
      </c>
      <c r="C151" s="1274"/>
      <c r="D151" s="1274"/>
      <c r="E151" s="1274"/>
      <c r="F151" s="1274"/>
      <c r="G151" s="1274"/>
      <c r="H151" s="1274"/>
      <c r="I151" s="1274"/>
      <c r="J151" s="1274"/>
      <c r="K151" s="1275"/>
      <c r="L151" s="1345"/>
      <c r="M151" s="1345"/>
      <c r="N151" s="1345"/>
      <c r="O151" s="1345"/>
      <c r="P151" s="1345"/>
      <c r="Q151" s="1345"/>
      <c r="R151" s="1345"/>
      <c r="S151" s="1345"/>
      <c r="T151" s="1345"/>
      <c r="U151" s="1345"/>
      <c r="V151" s="1345"/>
      <c r="W151" s="1345"/>
      <c r="X151" s="1345"/>
    </row>
    <row r="152" spans="1:24" ht="15.75">
      <c r="A152" s="43"/>
      <c r="B152" s="1174" t="s">
        <v>2064</v>
      </c>
      <c r="C152" s="1274"/>
      <c r="D152" s="1274"/>
      <c r="E152" s="1274"/>
      <c r="F152" s="1274"/>
      <c r="G152" s="1274"/>
      <c r="H152" s="1274"/>
      <c r="I152" s="1274"/>
      <c r="J152" s="1274"/>
      <c r="K152" s="1275"/>
      <c r="L152" s="1345"/>
      <c r="M152" s="1345"/>
      <c r="N152" s="1345"/>
      <c r="O152" s="1345"/>
      <c r="P152" s="1345"/>
      <c r="Q152" s="1345"/>
      <c r="R152" s="1345"/>
      <c r="S152" s="1345"/>
      <c r="T152" s="1345"/>
      <c r="U152" s="1345"/>
      <c r="V152" s="1345"/>
      <c r="W152" s="1345"/>
      <c r="X152" s="1345"/>
    </row>
    <row r="153" spans="1:24" ht="15.75">
      <c r="A153" s="43"/>
      <c r="B153" s="1174" t="s">
        <v>2081</v>
      </c>
      <c r="C153" s="1274"/>
      <c r="D153" s="1274"/>
      <c r="E153" s="1274"/>
      <c r="F153" s="1274"/>
      <c r="G153" s="1274"/>
      <c r="H153" s="1274"/>
      <c r="I153" s="1274"/>
      <c r="J153" s="1274"/>
      <c r="K153" s="1275"/>
      <c r="L153" s="1345"/>
      <c r="M153" s="1345"/>
      <c r="N153" s="1345"/>
      <c r="O153" s="1345"/>
      <c r="P153" s="1345"/>
      <c r="Q153" s="1345"/>
      <c r="R153" s="1345"/>
      <c r="S153" s="1345"/>
      <c r="T153" s="1345"/>
      <c r="U153" s="1345"/>
      <c r="V153" s="1345"/>
      <c r="W153" s="1345"/>
      <c r="X153" s="1345"/>
    </row>
    <row r="154" spans="1:24" ht="15.75">
      <c r="A154" s="43"/>
      <c r="B154" s="1174" t="s">
        <v>1364</v>
      </c>
      <c r="C154" s="1274"/>
      <c r="D154" s="1274"/>
      <c r="E154" s="1274"/>
      <c r="F154" s="1274"/>
      <c r="G154" s="1274"/>
      <c r="H154" s="1274"/>
      <c r="I154" s="1274"/>
      <c r="J154" s="1274"/>
      <c r="K154" s="1275"/>
      <c r="L154" s="1345"/>
      <c r="M154" s="1345"/>
      <c r="N154" s="1345"/>
      <c r="O154" s="1345"/>
      <c r="P154" s="1345"/>
      <c r="Q154" s="1345"/>
      <c r="R154" s="1345"/>
      <c r="S154" s="1345"/>
      <c r="T154" s="1345"/>
      <c r="U154" s="1345"/>
      <c r="V154" s="1345"/>
      <c r="W154" s="1345"/>
      <c r="X154" s="1345"/>
    </row>
    <row r="155" spans="1:24" ht="15.75">
      <c r="A155" s="43"/>
      <c r="B155" s="1174" t="s">
        <v>1365</v>
      </c>
      <c r="C155" s="1274"/>
      <c r="D155" s="1274"/>
      <c r="E155" s="1274"/>
      <c r="F155" s="1274"/>
      <c r="G155" s="1274"/>
      <c r="H155" s="1274"/>
      <c r="I155" s="1274"/>
      <c r="J155" s="1274"/>
      <c r="K155" s="1275"/>
      <c r="L155" s="1345"/>
      <c r="M155" s="1345"/>
      <c r="N155" s="1345"/>
      <c r="O155" s="1345"/>
      <c r="P155" s="1345"/>
      <c r="Q155" s="1345"/>
      <c r="R155" s="1345"/>
      <c r="S155" s="1345"/>
      <c r="T155" s="1345"/>
      <c r="U155" s="1345"/>
      <c r="V155" s="1345"/>
      <c r="W155" s="1345"/>
      <c r="X155" s="1345"/>
    </row>
    <row r="156" spans="1:24" ht="15.75">
      <c r="A156" s="43"/>
      <c r="B156" s="1174" t="s">
        <v>2065</v>
      </c>
      <c r="C156" s="1274"/>
      <c r="D156" s="1274"/>
      <c r="E156" s="1274"/>
      <c r="F156" s="1274"/>
      <c r="G156" s="1274"/>
      <c r="H156" s="1274"/>
      <c r="I156" s="1274"/>
      <c r="J156" s="1274"/>
      <c r="K156" s="1275"/>
      <c r="L156" s="1345"/>
      <c r="M156" s="1345"/>
      <c r="N156" s="1345"/>
      <c r="O156" s="1345"/>
      <c r="P156" s="1345"/>
      <c r="Q156" s="1345"/>
      <c r="R156" s="1345"/>
      <c r="S156" s="1345"/>
      <c r="T156" s="1345"/>
      <c r="U156" s="1345"/>
      <c r="V156" s="1345"/>
      <c r="W156" s="1345"/>
      <c r="X156" s="1345"/>
    </row>
    <row r="157" spans="1:24" ht="15.75">
      <c r="A157" s="43"/>
      <c r="B157" s="1174" t="s">
        <v>1366</v>
      </c>
      <c r="C157" s="1274"/>
      <c r="D157" s="1274"/>
      <c r="E157" s="1274"/>
      <c r="F157" s="1274"/>
      <c r="G157" s="1274"/>
      <c r="H157" s="1274"/>
      <c r="I157" s="1274"/>
      <c r="J157" s="1274"/>
      <c r="K157" s="1275"/>
      <c r="L157" s="1345"/>
      <c r="M157" s="1345"/>
      <c r="N157" s="1345"/>
      <c r="O157" s="1345"/>
      <c r="P157" s="1345"/>
      <c r="Q157" s="1345"/>
      <c r="R157" s="1345"/>
      <c r="S157" s="1345"/>
      <c r="T157" s="1345"/>
      <c r="U157" s="1345"/>
      <c r="V157" s="1345"/>
      <c r="W157" s="1345"/>
      <c r="X157" s="1345"/>
    </row>
    <row r="158" spans="1:24" ht="15.75">
      <c r="A158" s="43"/>
      <c r="B158" s="1174" t="s">
        <v>1328</v>
      </c>
      <c r="C158" s="1274"/>
      <c r="D158" s="1274"/>
      <c r="E158" s="1274"/>
      <c r="F158" s="1274"/>
      <c r="G158" s="1274"/>
      <c r="H158" s="1274"/>
      <c r="I158" s="1274"/>
      <c r="J158" s="1274"/>
      <c r="K158" s="1275"/>
      <c r="L158" s="1345"/>
      <c r="M158" s="1345"/>
      <c r="N158" s="1345"/>
      <c r="O158" s="1345"/>
      <c r="P158" s="1345"/>
      <c r="Q158" s="1345"/>
      <c r="R158" s="1345"/>
      <c r="S158" s="1345"/>
      <c r="T158" s="1345"/>
      <c r="U158" s="1345"/>
      <c r="V158" s="1345"/>
      <c r="W158" s="1345"/>
      <c r="X158" s="1345"/>
    </row>
    <row r="159" spans="1:24" ht="15.75">
      <c r="A159" s="43"/>
      <c r="B159" s="1174" t="s">
        <v>2068</v>
      </c>
      <c r="C159" s="1274"/>
      <c r="D159" s="1274"/>
      <c r="E159" s="1274"/>
      <c r="F159" s="1274"/>
      <c r="G159" s="1274"/>
      <c r="H159" s="1274"/>
      <c r="I159" s="1274"/>
      <c r="J159" s="1274"/>
      <c r="K159" s="1275"/>
      <c r="L159" s="1345"/>
      <c r="M159" s="1345"/>
      <c r="N159" s="1345"/>
      <c r="O159" s="1345"/>
      <c r="P159" s="1345"/>
      <c r="Q159" s="1345"/>
      <c r="R159" s="1345"/>
      <c r="S159" s="1345"/>
      <c r="T159" s="1345"/>
      <c r="U159" s="1345"/>
      <c r="V159" s="1345"/>
      <c r="W159" s="1345"/>
      <c r="X159" s="1345"/>
    </row>
    <row r="160" spans="1:24" ht="15.75">
      <c r="A160" s="43"/>
      <c r="B160" s="1174" t="s">
        <v>1376</v>
      </c>
      <c r="C160" s="1274"/>
      <c r="D160" s="1274"/>
      <c r="E160" s="1274"/>
      <c r="F160" s="1274"/>
      <c r="G160" s="1274"/>
      <c r="H160" s="1274"/>
      <c r="I160" s="1274"/>
      <c r="J160" s="1274"/>
      <c r="K160" s="1275"/>
      <c r="L160" s="1345"/>
      <c r="M160" s="1345"/>
      <c r="N160" s="1345"/>
      <c r="O160" s="1345"/>
      <c r="P160" s="1345"/>
      <c r="Q160" s="1345"/>
      <c r="R160" s="1345"/>
      <c r="S160" s="1345"/>
      <c r="T160" s="1345"/>
      <c r="U160" s="1345"/>
      <c r="V160" s="1345"/>
      <c r="W160" s="1345"/>
      <c r="X160" s="1345"/>
    </row>
    <row r="161" spans="1:25" ht="15.75">
      <c r="A161" s="43"/>
      <c r="B161" s="1177" t="s">
        <v>1377</v>
      </c>
      <c r="C161" s="1276"/>
      <c r="D161" s="1276"/>
      <c r="E161" s="1276"/>
      <c r="F161" s="1276"/>
      <c r="G161" s="1276"/>
      <c r="H161" s="1276"/>
      <c r="I161" s="1276"/>
      <c r="J161" s="1276"/>
      <c r="K161" s="1277"/>
      <c r="L161" s="1345"/>
      <c r="M161" s="1345"/>
      <c r="N161" s="1345"/>
      <c r="O161" s="1345"/>
      <c r="P161" s="1345"/>
      <c r="Q161" s="1345"/>
      <c r="R161" s="1345"/>
      <c r="S161" s="1345"/>
      <c r="T161" s="1345"/>
      <c r="U161" s="1345"/>
      <c r="V161" s="1345"/>
      <c r="W161" s="1345"/>
      <c r="X161" s="1345"/>
    </row>
    <row r="162" spans="1:25" ht="15.75">
      <c r="A162" s="43"/>
      <c r="B162" s="1923" t="s">
        <v>2079</v>
      </c>
      <c r="C162" s="1927"/>
      <c r="D162" s="1927"/>
      <c r="E162" s="1927"/>
      <c r="F162" s="1927"/>
      <c r="G162" s="1927"/>
      <c r="H162" s="1927"/>
      <c r="I162" s="1927"/>
      <c r="J162" s="1927"/>
      <c r="K162" s="2165"/>
      <c r="L162" s="1345"/>
      <c r="M162" s="1345"/>
      <c r="N162" s="1345"/>
      <c r="O162" s="1345"/>
      <c r="P162" s="1345"/>
      <c r="Q162" s="1345"/>
      <c r="R162" s="1345"/>
      <c r="S162" s="1345"/>
      <c r="T162" s="1345"/>
      <c r="U162" s="1345"/>
      <c r="V162" s="1345"/>
      <c r="W162" s="1345"/>
      <c r="X162" s="1345"/>
    </row>
    <row r="163" spans="1:25" ht="15.75">
      <c r="A163" s="43"/>
      <c r="B163" s="1923" t="s">
        <v>2076</v>
      </c>
      <c r="C163" s="1927"/>
      <c r="D163" s="2535">
        <f>+E8-1</f>
        <v>2020</v>
      </c>
      <c r="E163" s="2535"/>
      <c r="F163" s="2535"/>
      <c r="G163" s="1927" t="s">
        <v>2077</v>
      </c>
      <c r="H163" s="1927"/>
      <c r="I163" s="1927"/>
      <c r="J163" s="1927"/>
      <c r="K163" s="2165"/>
      <c r="L163" s="1345"/>
      <c r="M163" s="1345"/>
      <c r="N163" s="1345"/>
      <c r="O163" s="1345"/>
      <c r="P163" s="1345"/>
      <c r="Q163" s="1345"/>
      <c r="R163" s="1345"/>
      <c r="S163" s="1345"/>
      <c r="T163" s="1345"/>
      <c r="U163" s="1345"/>
      <c r="V163" s="1345"/>
      <c r="W163" s="1345"/>
      <c r="X163" s="1345"/>
    </row>
    <row r="164" spans="1:25" ht="15.75">
      <c r="A164" s="43"/>
      <c r="B164" s="1923" t="s">
        <v>2078</v>
      </c>
      <c r="C164" s="1927"/>
      <c r="D164" s="2166">
        <f>+E8-1</f>
        <v>2020</v>
      </c>
      <c r="E164" s="1927" t="s">
        <v>2080</v>
      </c>
      <c r="F164" s="1927"/>
      <c r="G164" s="1927"/>
      <c r="H164" s="1927"/>
      <c r="I164" s="1927"/>
      <c r="J164" s="1927"/>
      <c r="K164" s="2165"/>
      <c r="L164" s="1345"/>
      <c r="M164" s="1345"/>
      <c r="N164" s="1345"/>
      <c r="O164" s="1345"/>
      <c r="P164" s="1345"/>
      <c r="Q164" s="1345"/>
      <c r="R164" s="1345"/>
      <c r="S164" s="1345"/>
      <c r="T164" s="1345"/>
      <c r="U164" s="1345"/>
      <c r="V164" s="1345"/>
      <c r="W164" s="1345"/>
      <c r="X164" s="1345"/>
    </row>
    <row r="165" spans="1:25" ht="15.75">
      <c r="A165" s="43"/>
      <c r="B165" s="1923" t="s">
        <v>2137</v>
      </c>
      <c r="C165" s="1927"/>
      <c r="D165" s="2166"/>
      <c r="E165" s="1927"/>
      <c r="F165" s="1927"/>
      <c r="G165" s="1927"/>
      <c r="H165" s="1927"/>
      <c r="I165" s="1927"/>
      <c r="J165" s="1927"/>
      <c r="K165" s="2165"/>
      <c r="L165" s="1345"/>
      <c r="M165" s="1345"/>
      <c r="N165" s="1345"/>
      <c r="O165" s="1345"/>
      <c r="P165" s="1345"/>
      <c r="Q165" s="1345"/>
      <c r="R165" s="1345"/>
      <c r="S165" s="1345"/>
      <c r="T165" s="1345"/>
      <c r="U165" s="1345"/>
      <c r="V165" s="1345"/>
      <c r="W165" s="1345"/>
      <c r="X165" s="1345"/>
    </row>
    <row r="166" spans="1:25" ht="15.75">
      <c r="A166" s="43"/>
      <c r="B166" s="1923" t="s">
        <v>2132</v>
      </c>
      <c r="C166" s="1927"/>
      <c r="D166" s="2166"/>
      <c r="E166" s="1927"/>
      <c r="F166" s="1927"/>
      <c r="G166" s="1927"/>
      <c r="H166" s="1927"/>
      <c r="I166" s="1927"/>
      <c r="J166" s="1927"/>
      <c r="K166" s="2165"/>
      <c r="L166" s="1345"/>
      <c r="M166" s="1345"/>
      <c r="N166" s="1345"/>
      <c r="O166" s="1345"/>
      <c r="P166" s="1345"/>
      <c r="Q166" s="1345"/>
      <c r="R166" s="1345"/>
      <c r="S166" s="1345"/>
      <c r="T166" s="1345"/>
      <c r="U166" s="1345"/>
      <c r="V166" s="1345"/>
      <c r="W166" s="1345"/>
      <c r="X166" s="1345"/>
    </row>
    <row r="167" spans="1:25" ht="15.75">
      <c r="A167" s="43"/>
      <c r="B167" s="1923" t="s">
        <v>2135</v>
      </c>
      <c r="C167" s="1927"/>
      <c r="D167" s="2166"/>
      <c r="E167" s="1927"/>
      <c r="F167" s="1927"/>
      <c r="G167" s="1927"/>
      <c r="H167" s="1927"/>
      <c r="I167" s="1927"/>
      <c r="J167" s="1927"/>
      <c r="K167" s="2165"/>
      <c r="L167" s="1345"/>
      <c r="M167" s="1345"/>
      <c r="N167" s="1345"/>
      <c r="O167" s="1345"/>
      <c r="P167" s="1345"/>
      <c r="Q167" s="1345"/>
      <c r="R167" s="1345"/>
      <c r="S167" s="1345"/>
      <c r="T167" s="1345"/>
      <c r="U167" s="1345"/>
      <c r="V167" s="1345"/>
      <c r="W167" s="1345"/>
      <c r="X167" s="1345"/>
    </row>
    <row r="168" spans="1:25" ht="15.75">
      <c r="A168" s="43"/>
      <c r="B168" s="1923" t="s">
        <v>2136</v>
      </c>
      <c r="C168" s="1927"/>
      <c r="D168" s="2166"/>
      <c r="E168" s="1927"/>
      <c r="F168" s="1927"/>
      <c r="G168" s="1927"/>
      <c r="H168" s="1927"/>
      <c r="I168" s="1927"/>
      <c r="J168" s="1927"/>
      <c r="K168" s="2165"/>
      <c r="L168" s="1345"/>
      <c r="M168" s="1345"/>
      <c r="N168" s="1345"/>
      <c r="O168" s="1345"/>
      <c r="P168" s="1345"/>
      <c r="Q168" s="1345"/>
      <c r="R168" s="1345"/>
      <c r="S168" s="1345"/>
      <c r="T168" s="1345"/>
      <c r="U168" s="1345"/>
      <c r="V168" s="1345"/>
      <c r="W168" s="1345"/>
      <c r="X168" s="1345"/>
    </row>
    <row r="169" spans="1:25" ht="15.75">
      <c r="A169" s="43"/>
      <c r="B169" s="1923" t="s">
        <v>2133</v>
      </c>
      <c r="C169" s="1927"/>
      <c r="D169" s="2166"/>
      <c r="E169" s="1927"/>
      <c r="F169" s="1927"/>
      <c r="G169" s="1927"/>
      <c r="H169" s="1927"/>
      <c r="I169" s="1927"/>
      <c r="J169" s="1927"/>
      <c r="K169" s="2165"/>
      <c r="L169" s="1345"/>
      <c r="M169" s="1345"/>
      <c r="N169" s="1345"/>
      <c r="O169" s="1345"/>
      <c r="P169" s="1345"/>
      <c r="Q169" s="1345"/>
      <c r="R169" s="1345"/>
      <c r="S169" s="1345"/>
      <c r="T169" s="1345"/>
      <c r="U169" s="1345"/>
      <c r="V169" s="1345"/>
      <c r="W169" s="1345"/>
      <c r="X169" s="1345"/>
    </row>
    <row r="170" spans="1:25" ht="15.75">
      <c r="A170" s="43"/>
      <c r="B170" s="1923" t="s">
        <v>2139</v>
      </c>
      <c r="C170" s="1927"/>
      <c r="D170" s="2166"/>
      <c r="E170" s="1927"/>
      <c r="F170" s="1927"/>
      <c r="G170" s="1927"/>
      <c r="H170" s="1927"/>
      <c r="I170" s="1927"/>
      <c r="J170" s="1927"/>
      <c r="K170" s="2165"/>
      <c r="L170" s="1345"/>
      <c r="M170" s="1345"/>
      <c r="N170" s="1345"/>
      <c r="O170" s="1345"/>
      <c r="P170" s="1345"/>
      <c r="Q170" s="1345"/>
      <c r="R170" s="1345"/>
      <c r="S170" s="1345"/>
      <c r="T170" s="1345"/>
      <c r="U170" s="1345"/>
      <c r="V170" s="1345"/>
      <c r="W170" s="1345"/>
      <c r="X170" s="1345"/>
    </row>
    <row r="171" spans="1:25" ht="15.75">
      <c r="A171" s="43"/>
      <c r="B171" s="1171" t="s">
        <v>2072</v>
      </c>
      <c r="C171" s="1271"/>
      <c r="D171" s="1271"/>
      <c r="E171" s="1271"/>
      <c r="F171" s="1271"/>
      <c r="G171" s="1271"/>
      <c r="H171" s="1271"/>
      <c r="I171" s="1271"/>
      <c r="J171" s="1271"/>
      <c r="K171" s="1273"/>
      <c r="L171" s="1345"/>
      <c r="M171" s="1345"/>
      <c r="N171" s="1345"/>
      <c r="O171" s="1345"/>
      <c r="P171" s="1345"/>
      <c r="Q171" s="1345"/>
      <c r="R171" s="1345"/>
      <c r="S171" s="1345"/>
      <c r="T171" s="1345"/>
      <c r="U171" s="1345"/>
      <c r="V171" s="1345"/>
      <c r="W171" s="1345"/>
      <c r="X171" s="1345"/>
    </row>
    <row r="172" spans="1:25" ht="15.75">
      <c r="A172" s="1345"/>
      <c r="B172" s="1174" t="s">
        <v>2073</v>
      </c>
      <c r="C172" s="1274"/>
      <c r="D172" s="1274"/>
      <c r="E172" s="1274"/>
      <c r="F172" s="1274"/>
      <c r="G172" s="1274"/>
      <c r="H172" s="1274"/>
      <c r="I172" s="1274"/>
      <c r="J172" s="1274"/>
      <c r="K172" s="1275"/>
      <c r="L172" s="1345"/>
      <c r="M172" s="1345"/>
      <c r="N172" s="1345"/>
      <c r="O172" s="1345"/>
      <c r="P172" s="1345"/>
      <c r="Q172" s="1345"/>
      <c r="R172" s="1345"/>
      <c r="S172" s="1345"/>
      <c r="T172" s="1345"/>
      <c r="U172" s="1345"/>
      <c r="V172" s="1345"/>
      <c r="W172" s="1345"/>
      <c r="X172" s="1345"/>
    </row>
    <row r="173" spans="1:25" ht="15.75" customHeight="1">
      <c r="A173" s="1345"/>
      <c r="B173" s="1174" t="s">
        <v>2074</v>
      </c>
      <c r="C173" s="1274"/>
      <c r="D173" s="1274"/>
      <c r="E173" s="1274"/>
      <c r="F173" s="1274"/>
      <c r="G173" s="1274"/>
      <c r="H173" s="1274"/>
      <c r="I173" s="1274"/>
      <c r="J173" s="1274"/>
      <c r="K173" s="1275"/>
      <c r="L173" s="1345"/>
      <c r="M173" s="1345"/>
      <c r="N173" s="1345"/>
      <c r="O173" s="1345"/>
      <c r="P173" s="1345"/>
      <c r="Q173" s="1345"/>
      <c r="R173" s="1345"/>
      <c r="S173" s="1345"/>
      <c r="T173" s="1345"/>
      <c r="U173" s="1345"/>
      <c r="V173" s="1345"/>
      <c r="W173" s="1345"/>
      <c r="X173" s="1345"/>
    </row>
    <row r="174" spans="1:25" ht="15.75">
      <c r="A174" s="1345"/>
      <c r="B174" s="1174" t="s">
        <v>2075</v>
      </c>
      <c r="C174" s="1274"/>
      <c r="D174" s="1274"/>
      <c r="E174" s="1274"/>
      <c r="F174" s="1274"/>
      <c r="G174" s="1274"/>
      <c r="H174" s="1274"/>
      <c r="I174" s="1274"/>
      <c r="J174" s="1274"/>
      <c r="K174" s="1275"/>
      <c r="L174" s="1345"/>
      <c r="M174" s="1345"/>
      <c r="N174" s="1345"/>
      <c r="O174" s="1345"/>
      <c r="P174" s="1345"/>
      <c r="Q174" s="1345"/>
      <c r="R174" s="1345"/>
      <c r="S174" s="1345"/>
      <c r="T174" s="1345"/>
      <c r="U174" s="1345"/>
      <c r="V174" s="1345"/>
      <c r="W174" s="1345"/>
      <c r="X174" s="1345"/>
    </row>
    <row r="175" spans="1:25" s="1393" customFormat="1" ht="15.75">
      <c r="A175" s="43"/>
      <c r="B175" s="1174" t="s">
        <v>1443</v>
      </c>
      <c r="C175" s="1274"/>
      <c r="D175" s="1274"/>
      <c r="E175" s="1731" t="s">
        <v>1444</v>
      </c>
      <c r="F175" s="1729"/>
      <c r="G175" s="1730"/>
      <c r="H175" s="1274"/>
      <c r="I175" s="1274"/>
      <c r="J175" s="1274"/>
      <c r="K175" s="1275"/>
      <c r="L175" s="1345"/>
      <c r="M175" s="1345"/>
      <c r="N175" s="1345"/>
      <c r="O175" s="1345"/>
      <c r="P175" s="1345"/>
      <c r="Q175" s="1345"/>
      <c r="R175" s="1345"/>
      <c r="S175" s="1345"/>
      <c r="T175" s="1345"/>
      <c r="U175" s="1345"/>
      <c r="V175" s="1345"/>
      <c r="W175" s="1345"/>
      <c r="X175" s="1345"/>
      <c r="Y175" s="1392"/>
    </row>
    <row r="176" spans="1:25" s="1393" customFormat="1" ht="15.75">
      <c r="A176" s="43"/>
      <c r="B176" s="1174" t="s">
        <v>2094</v>
      </c>
      <c r="C176" s="1274"/>
      <c r="D176" s="1274"/>
      <c r="E176" s="1274"/>
      <c r="F176" s="1274"/>
      <c r="G176" s="1274"/>
      <c r="H176" s="1274"/>
      <c r="I176" s="1274"/>
      <c r="J176" s="1274"/>
      <c r="K176" s="1275"/>
      <c r="L176" s="1345"/>
      <c r="M176" s="1345"/>
      <c r="N176" s="1345"/>
      <c r="O176" s="1345"/>
      <c r="P176" s="1345"/>
      <c r="Q176" s="1345"/>
      <c r="R176" s="1345"/>
      <c r="S176" s="1345"/>
      <c r="T176" s="1345"/>
      <c r="U176" s="1345"/>
      <c r="V176" s="1345"/>
      <c r="W176" s="1345"/>
      <c r="X176" s="1345"/>
      <c r="Y176" s="1392"/>
    </row>
    <row r="177" spans="1:25" s="1393" customFormat="1" ht="15.75">
      <c r="A177" s="43"/>
      <c r="B177" s="1174" t="s">
        <v>1367</v>
      </c>
      <c r="C177" s="1274"/>
      <c r="D177" s="1274"/>
      <c r="E177" s="1274"/>
      <c r="F177" s="1274"/>
      <c r="G177" s="1274"/>
      <c r="H177" s="1274"/>
      <c r="I177" s="1274"/>
      <c r="J177" s="1274"/>
      <c r="K177" s="1275"/>
      <c r="L177" s="1345"/>
      <c r="M177" s="1345"/>
      <c r="N177" s="1345"/>
      <c r="O177" s="1345"/>
      <c r="P177" s="1345"/>
      <c r="Q177" s="1345"/>
      <c r="R177" s="1345"/>
      <c r="S177" s="1345"/>
      <c r="T177" s="1345"/>
      <c r="U177" s="1345"/>
      <c r="V177" s="1345"/>
      <c r="W177" s="1345"/>
      <c r="X177" s="1345"/>
      <c r="Y177" s="1392"/>
    </row>
    <row r="178" spans="1:25" s="1393" customFormat="1" ht="15.75">
      <c r="A178" s="43"/>
      <c r="B178" s="1174" t="s">
        <v>1372</v>
      </c>
      <c r="C178" s="1274"/>
      <c r="D178" s="1274"/>
      <c r="E178" s="1274"/>
      <c r="F178" s="1274"/>
      <c r="G178" s="1274"/>
      <c r="H178" s="1274"/>
      <c r="I178" s="1274"/>
      <c r="J178" s="1274"/>
      <c r="K178" s="1275"/>
      <c r="L178" s="1345"/>
      <c r="M178" s="1345"/>
      <c r="N178" s="1345"/>
      <c r="O178" s="1345"/>
      <c r="P178" s="1345"/>
      <c r="Q178" s="1345"/>
      <c r="R178" s="1345"/>
      <c r="S178" s="1345"/>
      <c r="T178" s="1345"/>
      <c r="U178" s="1345"/>
      <c r="V178" s="1345"/>
      <c r="W178" s="1345"/>
      <c r="X178" s="1345"/>
      <c r="Y178" s="1392"/>
    </row>
    <row r="179" spans="1:25" s="1393" customFormat="1" ht="15.75">
      <c r="A179" s="43"/>
      <c r="B179" s="1174" t="s">
        <v>1371</v>
      </c>
      <c r="C179" s="1274"/>
      <c r="D179" s="1274"/>
      <c r="E179" s="1274"/>
      <c r="F179" s="1274"/>
      <c r="G179" s="1274"/>
      <c r="H179" s="1274"/>
      <c r="I179" s="1274"/>
      <c r="J179" s="1274"/>
      <c r="K179" s="1275"/>
      <c r="L179" s="1345"/>
      <c r="M179" s="1345"/>
      <c r="N179" s="1345"/>
      <c r="O179" s="1345"/>
      <c r="P179" s="1345"/>
      <c r="Q179" s="1345"/>
      <c r="R179" s="1345"/>
      <c r="S179" s="1345"/>
      <c r="T179" s="1345"/>
      <c r="U179" s="1345"/>
      <c r="V179" s="1345"/>
      <c r="W179" s="1345"/>
      <c r="X179" s="1345"/>
      <c r="Y179" s="1392"/>
    </row>
    <row r="180" spans="1:25" s="1393" customFormat="1" ht="15.75">
      <c r="A180" s="43"/>
      <c r="B180" s="1174" t="s">
        <v>2095</v>
      </c>
      <c r="C180" s="1274"/>
      <c r="D180" s="1274"/>
      <c r="E180" s="1274"/>
      <c r="F180" s="1274"/>
      <c r="G180" s="1274"/>
      <c r="H180" s="1274"/>
      <c r="I180" s="1274"/>
      <c r="J180" s="1274"/>
      <c r="K180" s="1275"/>
      <c r="L180" s="1345"/>
      <c r="M180" s="1345"/>
      <c r="N180" s="1345"/>
      <c r="O180" s="1345"/>
      <c r="P180" s="1345"/>
      <c r="Q180" s="1345"/>
      <c r="R180" s="1345"/>
      <c r="S180" s="1345"/>
      <c r="T180" s="1345"/>
      <c r="U180" s="1345"/>
      <c r="V180" s="1345"/>
      <c r="W180" s="1345"/>
      <c r="X180" s="1345"/>
      <c r="Y180" s="1392"/>
    </row>
    <row r="181" spans="1:25" s="1393" customFormat="1" ht="15.75">
      <c r="A181" s="43"/>
      <c r="B181" s="1174" t="s">
        <v>1368</v>
      </c>
      <c r="C181" s="1274"/>
      <c r="D181" s="1274"/>
      <c r="E181" s="1274"/>
      <c r="F181" s="1274"/>
      <c r="G181" s="1274"/>
      <c r="H181" s="1274"/>
      <c r="I181" s="1274"/>
      <c r="J181" s="1274"/>
      <c r="K181" s="1275"/>
      <c r="L181" s="1345"/>
      <c r="M181" s="1345"/>
      <c r="N181" s="1345"/>
      <c r="O181" s="1345"/>
      <c r="P181" s="1345"/>
      <c r="Q181" s="1345"/>
      <c r="R181" s="1345"/>
      <c r="S181" s="1345"/>
      <c r="T181" s="1345"/>
      <c r="U181" s="1345"/>
      <c r="V181" s="1345"/>
      <c r="W181" s="1345"/>
      <c r="X181" s="1345"/>
      <c r="Y181" s="1392"/>
    </row>
    <row r="182" spans="1:25" s="1393" customFormat="1" ht="15.75">
      <c r="A182" s="43"/>
      <c r="B182" s="1174" t="s">
        <v>1369</v>
      </c>
      <c r="C182" s="1274"/>
      <c r="D182" s="1274"/>
      <c r="E182" s="1274"/>
      <c r="F182" s="1274"/>
      <c r="G182" s="1274"/>
      <c r="H182" s="1274"/>
      <c r="I182" s="1274"/>
      <c r="J182" s="1274"/>
      <c r="K182" s="1275"/>
      <c r="L182" s="1345"/>
      <c r="M182" s="1345"/>
      <c r="N182" s="1345"/>
      <c r="O182" s="1345"/>
      <c r="P182" s="1345"/>
      <c r="Q182" s="1345"/>
      <c r="R182" s="1345"/>
      <c r="S182" s="1345"/>
      <c r="T182" s="1345"/>
      <c r="U182" s="1345"/>
      <c r="V182" s="1345"/>
      <c r="W182" s="1345"/>
      <c r="X182" s="1345"/>
      <c r="Y182" s="1392"/>
    </row>
    <row r="183" spans="1:25" s="1393" customFormat="1" ht="15.75">
      <c r="A183" s="43"/>
      <c r="B183" s="1174" t="s">
        <v>1994</v>
      </c>
      <c r="C183" s="1274"/>
      <c r="D183" s="1274"/>
      <c r="E183" s="1274"/>
      <c r="F183" s="1274"/>
      <c r="G183" s="1274"/>
      <c r="H183" s="1274"/>
      <c r="I183" s="1274"/>
      <c r="J183" s="1274"/>
      <c r="K183" s="1275"/>
      <c r="L183" s="1345"/>
      <c r="M183" s="1345"/>
      <c r="N183" s="1345"/>
      <c r="O183" s="1345"/>
      <c r="P183" s="1345"/>
      <c r="Q183" s="1345"/>
      <c r="R183" s="1345"/>
      <c r="S183" s="1345"/>
      <c r="T183" s="1345"/>
      <c r="U183" s="1345"/>
      <c r="V183" s="1345"/>
      <c r="W183" s="1345"/>
      <c r="X183" s="1345"/>
      <c r="Y183" s="1392"/>
    </row>
    <row r="184" spans="1:25" s="1393" customFormat="1" ht="15.75">
      <c r="A184" s="43"/>
      <c r="B184" s="1174" t="s">
        <v>2066</v>
      </c>
      <c r="C184" s="1274"/>
      <c r="D184" s="1274"/>
      <c r="E184" s="1274"/>
      <c r="F184" s="1274"/>
      <c r="G184" s="1274"/>
      <c r="H184" s="1274"/>
      <c r="I184" s="1274"/>
      <c r="J184" s="1274"/>
      <c r="K184" s="1275"/>
      <c r="L184" s="1345"/>
      <c r="M184" s="1345"/>
      <c r="N184" s="1345"/>
      <c r="O184" s="1345"/>
      <c r="P184" s="1345"/>
      <c r="Q184" s="1345"/>
      <c r="R184" s="1345"/>
      <c r="S184" s="1345"/>
      <c r="T184" s="1345"/>
      <c r="U184" s="1345"/>
      <c r="V184" s="1345"/>
      <c r="W184" s="1345"/>
      <c r="X184" s="1345"/>
      <c r="Y184" s="1392"/>
    </row>
    <row r="185" spans="1:25" s="1393" customFormat="1" ht="15.75">
      <c r="A185" s="43"/>
      <c r="B185" s="1174" t="s">
        <v>1370</v>
      </c>
      <c r="C185" s="1274"/>
      <c r="D185" s="1274"/>
      <c r="E185" s="1274"/>
      <c r="F185" s="1274"/>
      <c r="G185" s="1274"/>
      <c r="H185" s="1274"/>
      <c r="I185" s="1274"/>
      <c r="J185" s="1274"/>
      <c r="K185" s="1275"/>
      <c r="L185" s="1345"/>
      <c r="M185" s="1345"/>
      <c r="N185" s="1345"/>
      <c r="O185" s="1345"/>
      <c r="P185" s="1345"/>
      <c r="Q185" s="1345"/>
      <c r="R185" s="1345"/>
      <c r="S185" s="1345"/>
      <c r="T185" s="1345"/>
      <c r="U185" s="1345"/>
      <c r="V185" s="1345"/>
      <c r="W185" s="1345"/>
      <c r="X185" s="1345"/>
      <c r="Y185" s="1392"/>
    </row>
    <row r="186" spans="1:25" s="1393" customFormat="1" ht="15.75">
      <c r="A186" s="43"/>
      <c r="B186" s="1174" t="s">
        <v>2096</v>
      </c>
      <c r="C186" s="1274"/>
      <c r="D186" s="1274"/>
      <c r="E186" s="1274"/>
      <c r="F186" s="1274"/>
      <c r="G186" s="1274"/>
      <c r="H186" s="1274"/>
      <c r="I186" s="1274"/>
      <c r="J186" s="1274"/>
      <c r="K186" s="1275"/>
      <c r="L186" s="1345"/>
      <c r="M186" s="1345"/>
      <c r="N186" s="1345"/>
      <c r="O186" s="1345"/>
      <c r="P186" s="1345"/>
      <c r="Q186" s="1345"/>
      <c r="R186" s="1345"/>
      <c r="S186" s="1345"/>
      <c r="T186" s="1345"/>
      <c r="U186" s="1345"/>
      <c r="V186" s="1345"/>
      <c r="W186" s="1345"/>
      <c r="X186" s="1345"/>
      <c r="Y186" s="1392"/>
    </row>
    <row r="187" spans="1:25" s="1393" customFormat="1" ht="15.75">
      <c r="A187" s="43"/>
      <c r="B187" s="1174" t="s">
        <v>2070</v>
      </c>
      <c r="C187" s="1274"/>
      <c r="D187" s="1274"/>
      <c r="E187" s="1274"/>
      <c r="F187" s="1274"/>
      <c r="G187" s="1274"/>
      <c r="H187" s="1274"/>
      <c r="I187" s="1274"/>
      <c r="J187" s="1274"/>
      <c r="K187" s="1275"/>
      <c r="L187" s="1345"/>
      <c r="M187" s="1345"/>
      <c r="N187" s="1345"/>
      <c r="O187" s="1345"/>
      <c r="P187" s="1345"/>
      <c r="Q187" s="1345"/>
      <c r="R187" s="1345"/>
      <c r="S187" s="1345"/>
      <c r="T187" s="1345"/>
      <c r="U187" s="1345"/>
      <c r="V187" s="1345"/>
      <c r="W187" s="1345"/>
      <c r="X187" s="1345"/>
      <c r="Y187" s="1392"/>
    </row>
    <row r="188" spans="1:25" s="1393" customFormat="1" ht="15.75">
      <c r="A188" s="43"/>
      <c r="B188" s="1177" t="s">
        <v>2069</v>
      </c>
      <c r="C188" s="1276"/>
      <c r="D188" s="1276"/>
      <c r="E188" s="1276"/>
      <c r="F188" s="1276"/>
      <c r="G188" s="1276"/>
      <c r="H188" s="1276"/>
      <c r="I188" s="1276"/>
      <c r="J188" s="1276"/>
      <c r="K188" s="1277"/>
      <c r="L188" s="1345"/>
      <c r="M188" s="1345"/>
      <c r="N188" s="1345"/>
      <c r="O188" s="1345"/>
      <c r="P188" s="1345"/>
      <c r="Q188" s="1345"/>
      <c r="R188" s="1345"/>
      <c r="S188" s="1345"/>
      <c r="T188" s="1345"/>
      <c r="U188" s="1345"/>
      <c r="V188" s="1345"/>
      <c r="W188" s="1345"/>
      <c r="X188" s="1345"/>
      <c r="Y188" s="1392"/>
    </row>
    <row r="189" spans="1:25" s="1393" customFormat="1" ht="15.75">
      <c r="A189" s="43"/>
      <c r="B189" s="1174" t="s">
        <v>2097</v>
      </c>
      <c r="C189" s="1274"/>
      <c r="D189" s="1274"/>
      <c r="E189" s="1274"/>
      <c r="F189" s="1274"/>
      <c r="G189" s="1274"/>
      <c r="H189" s="1274"/>
      <c r="I189" s="1274"/>
      <c r="J189" s="1274"/>
      <c r="K189" s="1275"/>
      <c r="L189" s="1345"/>
      <c r="M189" s="1345"/>
      <c r="N189" s="1345"/>
      <c r="O189" s="1345"/>
      <c r="P189" s="1345"/>
      <c r="Q189" s="1345"/>
      <c r="R189" s="1345"/>
      <c r="S189" s="1345"/>
      <c r="T189" s="1345"/>
      <c r="U189" s="1345"/>
      <c r="V189" s="1345"/>
      <c r="W189" s="1345"/>
      <c r="X189" s="1345"/>
      <c r="Y189" s="1392"/>
    </row>
    <row r="190" spans="1:25" s="1393" customFormat="1" ht="15.75">
      <c r="A190" s="43"/>
      <c r="B190" s="1174" t="s">
        <v>1379</v>
      </c>
      <c r="C190" s="1274"/>
      <c r="D190" s="1274"/>
      <c r="E190" s="1274"/>
      <c r="F190" s="1274"/>
      <c r="G190" s="1274"/>
      <c r="H190" s="1274"/>
      <c r="I190" s="1274"/>
      <c r="J190" s="1274"/>
      <c r="K190" s="1275"/>
      <c r="L190" s="1345"/>
      <c r="M190" s="1345"/>
      <c r="N190" s="1345"/>
      <c r="O190" s="1345"/>
      <c r="P190" s="1345"/>
      <c r="Q190" s="1345"/>
      <c r="R190" s="1345"/>
      <c r="S190" s="1345"/>
      <c r="T190" s="1345"/>
      <c r="U190" s="1345"/>
      <c r="V190" s="1345"/>
      <c r="W190" s="1345"/>
      <c r="X190" s="1345"/>
      <c r="Y190" s="1392"/>
    </row>
    <row r="191" spans="1:25" s="1393" customFormat="1" ht="15.75">
      <c r="A191" s="43"/>
      <c r="B191" s="1174" t="s">
        <v>1380</v>
      </c>
      <c r="C191" s="1274"/>
      <c r="D191" s="1274"/>
      <c r="E191" s="1274"/>
      <c r="F191" s="1274"/>
      <c r="G191" s="1274"/>
      <c r="H191" s="1274"/>
      <c r="I191" s="1274"/>
      <c r="J191" s="1274"/>
      <c r="K191" s="1275"/>
      <c r="L191" s="1345"/>
      <c r="M191" s="1345"/>
      <c r="N191" s="1345"/>
      <c r="O191" s="1345"/>
      <c r="P191" s="1345"/>
      <c r="Q191" s="1345"/>
      <c r="R191" s="1345"/>
      <c r="S191" s="1345"/>
      <c r="T191" s="1345"/>
      <c r="U191" s="1345"/>
      <c r="V191" s="1345"/>
      <c r="W191" s="1345"/>
      <c r="X191" s="1345"/>
      <c r="Y191" s="1392"/>
    </row>
    <row r="192" spans="1:25" s="1393" customFormat="1" ht="15.75">
      <c r="A192" s="43"/>
      <c r="B192" s="1174" t="s">
        <v>1381</v>
      </c>
      <c r="C192" s="1274"/>
      <c r="D192" s="1274"/>
      <c r="E192" s="1274"/>
      <c r="F192" s="1274"/>
      <c r="G192" s="1274"/>
      <c r="H192" s="1274"/>
      <c r="I192" s="1274"/>
      <c r="J192" s="1274"/>
      <c r="K192" s="1275"/>
      <c r="L192" s="1345"/>
      <c r="M192" s="1345"/>
      <c r="N192" s="1345"/>
      <c r="O192" s="1345"/>
      <c r="P192" s="1345"/>
      <c r="Q192" s="1345"/>
      <c r="R192" s="1345"/>
      <c r="S192" s="1345"/>
      <c r="T192" s="1345"/>
      <c r="U192" s="1345"/>
      <c r="V192" s="1345"/>
      <c r="W192" s="1345"/>
      <c r="X192" s="1345"/>
      <c r="Y192" s="1392"/>
    </row>
    <row r="193" spans="1:25" s="1393" customFormat="1" ht="15.75">
      <c r="A193" s="43"/>
      <c r="B193" s="1174" t="s">
        <v>1445</v>
      </c>
      <c r="C193" s="1274"/>
      <c r="D193" s="1274"/>
      <c r="E193" s="1274"/>
      <c r="F193" s="1274"/>
      <c r="G193" s="1274"/>
      <c r="H193" s="1274"/>
      <c r="I193" s="1274"/>
      <c r="J193" s="1274"/>
      <c r="K193" s="1275"/>
      <c r="L193" s="1345"/>
      <c r="M193" s="1345"/>
      <c r="N193" s="1345"/>
      <c r="O193" s="1345"/>
      <c r="P193" s="1345"/>
      <c r="Q193" s="1345"/>
      <c r="R193" s="1345"/>
      <c r="S193" s="1345"/>
      <c r="T193" s="1345"/>
      <c r="U193" s="1345"/>
      <c r="V193" s="1345"/>
      <c r="W193" s="1345"/>
      <c r="X193" s="1345"/>
      <c r="Y193" s="1392"/>
    </row>
    <row r="194" spans="1:25" s="1393" customFormat="1" ht="15.75">
      <c r="A194" s="43"/>
      <c r="B194" s="1755" t="s">
        <v>2098</v>
      </c>
      <c r="C194" s="1756"/>
      <c r="D194" s="1756"/>
      <c r="E194" s="1756"/>
      <c r="F194" s="1757"/>
      <c r="G194" s="1756"/>
      <c r="H194" s="1756"/>
      <c r="I194" s="1756"/>
      <c r="J194" s="1756"/>
      <c r="K194" s="1758"/>
      <c r="L194" s="1345"/>
      <c r="M194" s="1345"/>
      <c r="N194" s="1345"/>
      <c r="O194" s="1345"/>
      <c r="P194" s="1345"/>
      <c r="Q194" s="1345"/>
      <c r="R194" s="1345"/>
      <c r="S194" s="1345"/>
      <c r="T194" s="1345"/>
      <c r="U194" s="1345"/>
      <c r="V194" s="1345"/>
      <c r="W194" s="1345"/>
      <c r="X194" s="1345"/>
      <c r="Y194" s="1392"/>
    </row>
    <row r="195" spans="1:25" s="1393" customFormat="1" ht="15.75">
      <c r="A195" s="43"/>
      <c r="B195" s="1759" t="s">
        <v>1894</v>
      </c>
      <c r="C195" s="1760"/>
      <c r="D195" s="2527">
        <f>+E8</f>
        <v>2021</v>
      </c>
      <c r="E195" s="2527"/>
      <c r="F195" s="2527"/>
      <c r="G195" s="1910" t="s">
        <v>1893</v>
      </c>
      <c r="H195" s="2534">
        <f>+E8</f>
        <v>2021</v>
      </c>
      <c r="I195" s="2534"/>
      <c r="J195" s="2140"/>
      <c r="K195" s="1911" t="s">
        <v>1895</v>
      </c>
      <c r="L195" s="1345"/>
      <c r="M195" s="1345"/>
      <c r="N195" s="1345"/>
      <c r="O195" s="1345"/>
      <c r="P195" s="1345"/>
      <c r="Q195" s="1345"/>
      <c r="R195" s="1345"/>
      <c r="S195" s="1345"/>
      <c r="T195" s="1345"/>
      <c r="U195" s="1345"/>
      <c r="V195" s="1345"/>
      <c r="W195" s="1345"/>
      <c r="X195" s="1345"/>
      <c r="Y195" s="1392"/>
    </row>
    <row r="196" spans="1:25" s="1393" customFormat="1" ht="15.75">
      <c r="A196" s="43"/>
      <c r="B196" s="1759" t="s">
        <v>1896</v>
      </c>
      <c r="C196" s="1760"/>
      <c r="D196" s="1760"/>
      <c r="E196" s="1760"/>
      <c r="F196" s="1760"/>
      <c r="G196" s="1760"/>
      <c r="H196" s="1760"/>
      <c r="I196" s="1760"/>
      <c r="J196" s="1760"/>
      <c r="K196" s="1761"/>
      <c r="L196" s="1345"/>
      <c r="M196" s="1345"/>
      <c r="N196" s="1345"/>
      <c r="O196" s="1345"/>
      <c r="P196" s="1345"/>
      <c r="Q196" s="1345"/>
      <c r="R196" s="1345"/>
      <c r="S196" s="1345"/>
      <c r="T196" s="1345"/>
      <c r="U196" s="1345"/>
      <c r="V196" s="1345"/>
      <c r="W196" s="1345"/>
      <c r="X196" s="1345"/>
      <c r="Y196" s="1392"/>
    </row>
    <row r="197" spans="1:25" s="1393" customFormat="1" ht="15.75">
      <c r="A197" s="607" t="s">
        <v>265</v>
      </c>
      <c r="B197" s="1759" t="s">
        <v>1446</v>
      </c>
      <c r="C197" s="1760"/>
      <c r="D197" s="1760"/>
      <c r="E197" s="1760"/>
      <c r="F197" s="1760"/>
      <c r="G197" s="1760"/>
      <c r="H197" s="1760"/>
      <c r="I197" s="1760"/>
      <c r="J197" s="1760"/>
      <c r="K197" s="1761"/>
      <c r="L197" s="1345"/>
      <c r="M197" s="1345"/>
      <c r="N197" s="1345"/>
      <c r="O197" s="1345"/>
      <c r="P197" s="1345"/>
      <c r="Q197" s="1345"/>
      <c r="R197" s="1345"/>
      <c r="S197" s="1345"/>
      <c r="T197" s="1345"/>
      <c r="U197" s="1345"/>
      <c r="V197" s="1345"/>
      <c r="W197" s="1345"/>
      <c r="X197" s="1345"/>
      <c r="Y197" s="1392"/>
    </row>
    <row r="198" spans="1:25" s="1393" customFormat="1" ht="15.75">
      <c r="A198" s="607"/>
      <c r="B198" s="1759" t="s">
        <v>1968</v>
      </c>
      <c r="C198" s="1760"/>
      <c r="D198" s="1760"/>
      <c r="E198" s="1760"/>
      <c r="F198" s="1760"/>
      <c r="G198" s="1760"/>
      <c r="H198" s="1760"/>
      <c r="I198" s="1760"/>
      <c r="J198" s="1760"/>
      <c r="K198" s="1761"/>
      <c r="L198" s="1345"/>
      <c r="M198" s="1345"/>
      <c r="N198" s="1345"/>
      <c r="O198" s="1345"/>
      <c r="P198" s="1345"/>
      <c r="Q198" s="1345"/>
      <c r="R198" s="1345"/>
      <c r="S198" s="1345"/>
      <c r="T198" s="1345"/>
      <c r="U198" s="1345"/>
      <c r="V198" s="1345"/>
      <c r="W198" s="1345"/>
      <c r="X198" s="1345"/>
      <c r="Y198" s="1392"/>
    </row>
    <row r="199" spans="1:25" ht="15.75">
      <c r="A199" s="43"/>
      <c r="B199" s="1759" t="s">
        <v>1897</v>
      </c>
      <c r="C199" s="1760"/>
      <c r="D199" s="1760"/>
      <c r="E199" s="1760"/>
      <c r="F199" s="1760"/>
      <c r="G199" s="1760"/>
      <c r="H199" s="1760"/>
      <c r="I199" s="1760"/>
      <c r="J199" s="1760"/>
      <c r="K199" s="1761"/>
      <c r="L199" s="1345"/>
      <c r="M199" s="1345"/>
      <c r="N199" s="1345"/>
      <c r="O199" s="1345"/>
      <c r="P199" s="1345"/>
      <c r="Q199" s="1345"/>
      <c r="R199" s="1345"/>
      <c r="S199" s="1345"/>
      <c r="T199" s="1345"/>
      <c r="U199" s="1345"/>
      <c r="V199" s="1345"/>
      <c r="W199" s="1345"/>
      <c r="X199" s="1345"/>
    </row>
    <row r="200" spans="1:25" ht="15.75">
      <c r="A200" s="43"/>
      <c r="B200" s="1759" t="s">
        <v>1898</v>
      </c>
      <c r="C200" s="1760"/>
      <c r="D200" s="1760"/>
      <c r="E200" s="1760"/>
      <c r="F200" s="1760"/>
      <c r="G200" s="2188" t="s">
        <v>2100</v>
      </c>
      <c r="H200" s="2137"/>
      <c r="I200" s="2137"/>
      <c r="J200" s="2137"/>
      <c r="K200" s="1911"/>
      <c r="L200" s="1345"/>
      <c r="M200" s="1345"/>
      <c r="N200" s="1345"/>
      <c r="O200" s="1345"/>
      <c r="P200" s="1345"/>
      <c r="Q200" s="1345"/>
      <c r="R200" s="1345"/>
      <c r="S200" s="1345"/>
      <c r="T200" s="1345"/>
      <c r="U200" s="1345"/>
      <c r="V200" s="1345"/>
      <c r="W200" s="1345"/>
      <c r="X200" s="1345"/>
    </row>
    <row r="201" spans="1:25" ht="12.75">
      <c r="A201" s="43"/>
      <c r="B201" s="1345"/>
      <c r="C201" s="1345"/>
      <c r="D201" s="1345"/>
      <c r="E201" s="1345"/>
      <c r="F201" s="1345"/>
      <c r="G201" s="1345"/>
      <c r="H201" s="1345"/>
      <c r="I201" s="1345"/>
      <c r="J201" s="1345"/>
      <c r="K201" s="1345"/>
      <c r="L201" s="1345"/>
      <c r="M201" s="1345"/>
      <c r="N201" s="1345"/>
      <c r="O201" s="1345"/>
      <c r="P201" s="1345"/>
      <c r="Q201" s="1345"/>
      <c r="R201" s="1345"/>
      <c r="S201" s="1345"/>
      <c r="T201" s="1345"/>
      <c r="U201" s="1345"/>
      <c r="V201" s="1345"/>
      <c r="W201" s="1345"/>
      <c r="X201" s="1345"/>
    </row>
    <row r="436" spans="1:20" s="1395" customFormat="1">
      <c r="A436" s="1392"/>
      <c r="B436" s="1392"/>
      <c r="C436" s="1392"/>
      <c r="D436" s="1392"/>
      <c r="E436" s="1392"/>
      <c r="F436" s="1392"/>
      <c r="G436" s="1392"/>
      <c r="H436" s="1392"/>
      <c r="I436" s="1392"/>
      <c r="J436" s="1392"/>
      <c r="K436" s="1392"/>
      <c r="L436" s="1392"/>
      <c r="N436" s="1396"/>
      <c r="O436" s="1393"/>
      <c r="P436" s="1393"/>
      <c r="Q436" s="1392"/>
      <c r="R436" s="1393"/>
      <c r="S436" s="1393"/>
      <c r="T436" s="1393"/>
    </row>
    <row r="437" spans="1:20" s="1395" customFormat="1">
      <c r="A437" s="1392"/>
      <c r="B437" s="1392"/>
      <c r="C437" s="1392"/>
      <c r="D437" s="1392"/>
      <c r="E437" s="1392"/>
      <c r="F437" s="1392"/>
      <c r="G437" s="1392"/>
      <c r="H437" s="1392"/>
      <c r="I437" s="1392"/>
      <c r="J437" s="1392"/>
      <c r="K437" s="1392"/>
      <c r="L437" s="1392"/>
      <c r="N437" s="1396"/>
      <c r="O437" s="1393"/>
      <c r="P437" s="1393"/>
      <c r="Q437" s="1392"/>
      <c r="R437" s="1393"/>
      <c r="S437" s="1393"/>
      <c r="T437" s="1393"/>
    </row>
    <row r="438" spans="1:20" s="1395" customFormat="1">
      <c r="A438" s="1392"/>
      <c r="B438" s="1392"/>
      <c r="C438" s="1392"/>
      <c r="D438" s="1392"/>
      <c r="E438" s="1392"/>
      <c r="F438" s="1392"/>
      <c r="G438" s="1392"/>
      <c r="H438" s="1392"/>
      <c r="I438" s="1392"/>
      <c r="J438" s="1392"/>
      <c r="K438" s="1392"/>
      <c r="L438" s="1392"/>
      <c r="N438" s="1396"/>
      <c r="O438" s="1393"/>
      <c r="P438" s="1393"/>
      <c r="Q438" s="1392"/>
      <c r="R438" s="1393"/>
      <c r="S438" s="1393"/>
      <c r="T438" s="1393"/>
    </row>
    <row r="439" spans="1:20" s="1395" customFormat="1">
      <c r="A439" s="1392"/>
      <c r="B439" s="1392"/>
      <c r="C439" s="1392"/>
      <c r="D439" s="1392"/>
      <c r="E439" s="1392"/>
      <c r="F439" s="1392"/>
      <c r="G439" s="1392"/>
      <c r="H439" s="1392"/>
      <c r="I439" s="1392"/>
      <c r="J439" s="1392"/>
      <c r="K439" s="1392"/>
      <c r="L439" s="1392"/>
      <c r="N439" s="1396"/>
      <c r="O439" s="1393"/>
      <c r="P439" s="1393"/>
      <c r="Q439" s="1392"/>
      <c r="R439" s="1393"/>
      <c r="S439" s="1393"/>
      <c r="T439" s="1393"/>
    </row>
    <row r="440" spans="1:20" s="1395" customFormat="1">
      <c r="A440" s="1392"/>
      <c r="B440" s="1392"/>
      <c r="C440" s="1392"/>
      <c r="D440" s="1392"/>
      <c r="E440" s="1392"/>
      <c r="F440" s="1392"/>
      <c r="G440" s="1392"/>
      <c r="H440" s="1392"/>
      <c r="I440" s="1392"/>
      <c r="J440" s="1392"/>
      <c r="K440" s="1392"/>
      <c r="L440" s="1392"/>
      <c r="N440" s="1396"/>
      <c r="O440" s="1393"/>
      <c r="P440" s="1393"/>
      <c r="Q440" s="1392"/>
      <c r="R440" s="1393"/>
      <c r="S440" s="1393"/>
      <c r="T440" s="1393"/>
    </row>
    <row r="441" spans="1:20" s="1395" customFormat="1">
      <c r="A441" s="1392"/>
      <c r="B441" s="1392"/>
      <c r="C441" s="1392"/>
      <c r="D441" s="1392"/>
      <c r="E441" s="1392"/>
      <c r="F441" s="1392"/>
      <c r="G441" s="1392"/>
      <c r="H441" s="1392"/>
      <c r="I441" s="1392"/>
      <c r="J441" s="1392"/>
      <c r="K441" s="1392"/>
      <c r="L441" s="1392"/>
      <c r="N441" s="1396"/>
      <c r="O441" s="1393"/>
      <c r="P441" s="1393"/>
      <c r="Q441" s="1392"/>
      <c r="R441" s="1393"/>
      <c r="S441" s="1393"/>
      <c r="T441" s="1393"/>
    </row>
    <row r="442" spans="1:20" s="1395" customFormat="1">
      <c r="A442" s="1392"/>
      <c r="B442" s="1392"/>
      <c r="C442" s="1392"/>
      <c r="D442" s="1392"/>
      <c r="E442" s="1392"/>
      <c r="F442" s="1392"/>
      <c r="G442" s="1392"/>
      <c r="H442" s="1392"/>
      <c r="I442" s="1392"/>
      <c r="J442" s="1392"/>
      <c r="K442" s="1392"/>
      <c r="L442" s="1392"/>
      <c r="N442" s="1396"/>
      <c r="O442" s="1393"/>
      <c r="P442" s="1393"/>
      <c r="Q442" s="1392"/>
      <c r="R442" s="1393"/>
      <c r="S442" s="1393"/>
      <c r="T442" s="1393"/>
    </row>
    <row r="443" spans="1:20" s="1395" customFormat="1">
      <c r="A443" s="1392"/>
      <c r="B443" s="1392"/>
      <c r="C443" s="1392"/>
      <c r="D443" s="1392"/>
      <c r="E443" s="1392"/>
      <c r="F443" s="1392"/>
      <c r="G443" s="1392"/>
      <c r="H443" s="1392"/>
      <c r="I443" s="1392"/>
      <c r="J443" s="1392"/>
      <c r="K443" s="1392"/>
      <c r="L443" s="1392"/>
      <c r="N443" s="1396"/>
      <c r="O443" s="1393"/>
      <c r="P443" s="1393"/>
      <c r="Q443" s="1392"/>
      <c r="R443" s="1393"/>
      <c r="S443" s="1393"/>
      <c r="T443" s="1393"/>
    </row>
    <row r="444" spans="1:20" s="1395" customFormat="1">
      <c r="A444" s="1392"/>
      <c r="B444" s="1392"/>
      <c r="C444" s="1392"/>
      <c r="D444" s="1392"/>
      <c r="E444" s="1392"/>
      <c r="F444" s="1392"/>
      <c r="G444" s="1392"/>
      <c r="H444" s="1392"/>
      <c r="I444" s="1392"/>
      <c r="J444" s="1392"/>
      <c r="K444" s="1392"/>
      <c r="L444" s="1392"/>
      <c r="N444" s="1396"/>
      <c r="O444" s="1393"/>
      <c r="P444" s="1393"/>
      <c r="Q444" s="1392"/>
      <c r="R444" s="1393"/>
      <c r="S444" s="1393"/>
      <c r="T444" s="1393"/>
    </row>
    <row r="445" spans="1:20" s="1395" customFormat="1">
      <c r="A445" s="1392"/>
      <c r="B445" s="1392"/>
      <c r="C445" s="1392"/>
      <c r="D445" s="1392"/>
      <c r="E445" s="1392"/>
      <c r="F445" s="1392"/>
      <c r="G445" s="1392"/>
      <c r="H445" s="1392"/>
      <c r="I445" s="1392"/>
      <c r="J445" s="1392"/>
      <c r="K445" s="1392"/>
      <c r="L445" s="1392"/>
      <c r="N445" s="1396"/>
      <c r="O445" s="1393"/>
      <c r="P445" s="1393"/>
      <c r="Q445" s="1392"/>
      <c r="R445" s="1393"/>
      <c r="S445" s="1393"/>
      <c r="T445" s="1393"/>
    </row>
    <row r="446" spans="1:20" s="1395" customFormat="1">
      <c r="A446" s="1392"/>
      <c r="B446" s="1392"/>
      <c r="C446" s="1392"/>
      <c r="D446" s="1392"/>
      <c r="E446" s="1392"/>
      <c r="F446" s="1392"/>
      <c r="G446" s="1392"/>
      <c r="H446" s="1392"/>
      <c r="I446" s="1392"/>
      <c r="J446" s="1392"/>
      <c r="K446" s="1392"/>
      <c r="L446" s="1392"/>
      <c r="N446" s="1396"/>
      <c r="O446" s="1393"/>
      <c r="P446" s="1393"/>
      <c r="Q446" s="1392"/>
      <c r="R446" s="1393"/>
      <c r="S446" s="1393"/>
      <c r="T446" s="1393"/>
    </row>
    <row r="447" spans="1:20" s="1395" customFormat="1">
      <c r="A447" s="1392"/>
      <c r="B447" s="1392"/>
      <c r="C447" s="1392"/>
      <c r="D447" s="1392"/>
      <c r="E447" s="1392"/>
      <c r="F447" s="1392"/>
      <c r="G447" s="1392"/>
      <c r="H447" s="1392"/>
      <c r="I447" s="1392"/>
      <c r="J447" s="1392"/>
      <c r="K447" s="1392"/>
      <c r="L447" s="1392"/>
      <c r="N447" s="1396"/>
      <c r="O447" s="1393"/>
      <c r="P447" s="1393"/>
      <c r="Q447" s="1392"/>
      <c r="R447" s="1393"/>
      <c r="S447" s="1393"/>
      <c r="T447" s="1393"/>
    </row>
    <row r="448" spans="1:20" s="1395" customFormat="1">
      <c r="A448" s="1392"/>
      <c r="B448" s="1392"/>
      <c r="C448" s="1392"/>
      <c r="D448" s="1392"/>
      <c r="E448" s="1392"/>
      <c r="F448" s="1392"/>
      <c r="G448" s="1392"/>
      <c r="H448" s="1392"/>
      <c r="I448" s="1392"/>
      <c r="J448" s="1392"/>
      <c r="K448" s="1392"/>
      <c r="L448" s="1392"/>
      <c r="N448" s="1396"/>
      <c r="O448" s="1393"/>
      <c r="P448" s="1393"/>
      <c r="Q448" s="1392"/>
      <c r="R448" s="1393"/>
      <c r="S448" s="1393"/>
      <c r="T448" s="1393"/>
    </row>
    <row r="449" spans="1:20" s="1395" customFormat="1">
      <c r="A449" s="1392"/>
      <c r="B449" s="1392"/>
      <c r="C449" s="1392"/>
      <c r="D449" s="1392"/>
      <c r="E449" s="1392"/>
      <c r="F449" s="1392"/>
      <c r="G449" s="1392"/>
      <c r="H449" s="1392"/>
      <c r="I449" s="1392"/>
      <c r="J449" s="1392"/>
      <c r="K449" s="1392"/>
      <c r="L449" s="1392"/>
      <c r="N449" s="1396"/>
      <c r="O449" s="1393"/>
      <c r="P449" s="1393"/>
      <c r="Q449" s="1392"/>
      <c r="R449" s="1393"/>
      <c r="S449" s="1393"/>
      <c r="T449" s="1393"/>
    </row>
    <row r="450" spans="1:20" s="1395" customFormat="1">
      <c r="A450" s="1392"/>
      <c r="B450" s="1392"/>
      <c r="C450" s="1392"/>
      <c r="D450" s="1392"/>
      <c r="E450" s="1392"/>
      <c r="F450" s="1392"/>
      <c r="G450" s="1392"/>
      <c r="H450" s="1392"/>
      <c r="I450" s="1392"/>
      <c r="J450" s="1392"/>
      <c r="K450" s="1392"/>
      <c r="L450" s="1392"/>
      <c r="N450" s="1396"/>
      <c r="O450" s="1393"/>
      <c r="P450" s="1393"/>
      <c r="Q450" s="1392"/>
      <c r="R450" s="1393"/>
      <c r="S450" s="1393"/>
      <c r="T450" s="1393"/>
    </row>
    <row r="451" spans="1:20" s="1395" customFormat="1">
      <c r="A451" s="1392"/>
      <c r="B451" s="1392"/>
      <c r="C451" s="1392"/>
      <c r="D451" s="1392"/>
      <c r="E451" s="1392"/>
      <c r="F451" s="1392"/>
      <c r="G451" s="1392"/>
      <c r="H451" s="1392"/>
      <c r="I451" s="1392"/>
      <c r="J451" s="1392"/>
      <c r="K451" s="1392"/>
      <c r="L451" s="1392"/>
      <c r="N451" s="1396"/>
      <c r="O451" s="1393"/>
      <c r="P451" s="1393"/>
      <c r="Q451" s="1392"/>
      <c r="R451" s="1393"/>
      <c r="S451" s="1393"/>
      <c r="T451" s="1393"/>
    </row>
    <row r="452" spans="1:20" s="1395" customFormat="1">
      <c r="A452" s="1392"/>
      <c r="B452" s="1392"/>
      <c r="C452" s="1392"/>
      <c r="D452" s="1392"/>
      <c r="E452" s="1392"/>
      <c r="F452" s="1392"/>
      <c r="G452" s="1392"/>
      <c r="H452" s="1392"/>
      <c r="I452" s="1392"/>
      <c r="J452" s="1392"/>
      <c r="K452" s="1392"/>
      <c r="L452" s="1392"/>
      <c r="N452" s="1396"/>
      <c r="O452" s="1393"/>
      <c r="P452" s="1393"/>
      <c r="Q452" s="1392"/>
      <c r="R452" s="1393"/>
      <c r="S452" s="1393"/>
      <c r="T452" s="1393"/>
    </row>
    <row r="453" spans="1:20" s="1395" customFormat="1">
      <c r="A453" s="1392"/>
      <c r="B453" s="1392"/>
      <c r="C453" s="1392"/>
      <c r="D453" s="1392"/>
      <c r="E453" s="1392"/>
      <c r="F453" s="1392"/>
      <c r="G453" s="1392"/>
      <c r="H453" s="1392"/>
      <c r="I453" s="1392"/>
      <c r="J453" s="1392"/>
      <c r="K453" s="1392"/>
      <c r="L453" s="1392"/>
      <c r="N453" s="1396"/>
      <c r="O453" s="1393"/>
      <c r="P453" s="1393"/>
      <c r="Q453" s="1392"/>
      <c r="R453" s="1393"/>
      <c r="S453" s="1393"/>
      <c r="T453" s="1393"/>
    </row>
    <row r="454" spans="1:20" s="1395" customFormat="1">
      <c r="A454" s="1392"/>
      <c r="B454" s="1392"/>
      <c r="C454" s="1392"/>
      <c r="D454" s="1392"/>
      <c r="E454" s="1392"/>
      <c r="F454" s="1392"/>
      <c r="G454" s="1392"/>
      <c r="H454" s="1392"/>
      <c r="I454" s="1392"/>
      <c r="J454" s="1392"/>
      <c r="K454" s="1392"/>
      <c r="L454" s="1392"/>
      <c r="N454" s="1396"/>
      <c r="O454" s="1393"/>
      <c r="P454" s="1393"/>
      <c r="Q454" s="1392"/>
      <c r="R454" s="1393"/>
      <c r="S454" s="1393"/>
      <c r="T454" s="1393"/>
    </row>
    <row r="455" spans="1:20" s="1395" customFormat="1">
      <c r="A455" s="1392"/>
      <c r="B455" s="1392"/>
      <c r="C455" s="1392"/>
      <c r="D455" s="1392"/>
      <c r="E455" s="1392"/>
      <c r="F455" s="1392"/>
      <c r="G455" s="1392"/>
      <c r="H455" s="1392"/>
      <c r="I455" s="1392"/>
      <c r="J455" s="1392"/>
      <c r="K455" s="1392"/>
      <c r="L455" s="1392"/>
      <c r="N455" s="1396"/>
      <c r="O455" s="1393"/>
      <c r="P455" s="1393"/>
      <c r="Q455" s="1392"/>
      <c r="R455" s="1393"/>
      <c r="S455" s="1393"/>
      <c r="T455" s="1393"/>
    </row>
    <row r="456" spans="1:20" s="1395" customFormat="1">
      <c r="A456" s="1392"/>
      <c r="B456" s="1392"/>
      <c r="C456" s="1392"/>
      <c r="D456" s="1392"/>
      <c r="E456" s="1392"/>
      <c r="F456" s="1392"/>
      <c r="G456" s="1392"/>
      <c r="H456" s="1392"/>
      <c r="I456" s="1392"/>
      <c r="J456" s="1392"/>
      <c r="K456" s="1392"/>
      <c r="L456" s="1392"/>
      <c r="N456" s="1396"/>
      <c r="O456" s="1393"/>
      <c r="P456" s="1393"/>
      <c r="Q456" s="1392"/>
      <c r="R456" s="1393"/>
      <c r="S456" s="1393"/>
      <c r="T456" s="1393"/>
    </row>
    <row r="457" spans="1:20" s="1395" customFormat="1">
      <c r="A457" s="1392"/>
      <c r="B457" s="1392"/>
      <c r="C457" s="1392"/>
      <c r="D457" s="1392"/>
      <c r="E457" s="1392"/>
      <c r="F457" s="1392"/>
      <c r="G457" s="1392"/>
      <c r="H457" s="1392"/>
      <c r="I457" s="1392"/>
      <c r="J457" s="1392"/>
      <c r="K457" s="1392"/>
      <c r="L457" s="1392"/>
      <c r="N457" s="1396"/>
      <c r="O457" s="1393"/>
      <c r="P457" s="1393"/>
      <c r="Q457" s="1392"/>
      <c r="R457" s="1393"/>
      <c r="S457" s="1393"/>
      <c r="T457" s="1393"/>
    </row>
    <row r="458" spans="1:20" s="1395" customFormat="1">
      <c r="A458" s="1392"/>
      <c r="B458" s="1392"/>
      <c r="C458" s="1392"/>
      <c r="D458" s="1392"/>
      <c r="E458" s="1392"/>
      <c r="F458" s="1392"/>
      <c r="G458" s="1392"/>
      <c r="H458" s="1392"/>
      <c r="I458" s="1392"/>
      <c r="J458" s="1392"/>
      <c r="K458" s="1392"/>
      <c r="L458" s="1392"/>
      <c r="N458" s="1396"/>
      <c r="O458" s="1393"/>
      <c r="P458" s="1393"/>
      <c r="Q458" s="1392"/>
      <c r="R458" s="1393"/>
      <c r="S458" s="1393"/>
      <c r="T458" s="1393"/>
    </row>
    <row r="459" spans="1:20" s="1395" customFormat="1">
      <c r="A459" s="1392"/>
      <c r="B459" s="1392"/>
      <c r="C459" s="1392"/>
      <c r="D459" s="1392"/>
      <c r="E459" s="1392"/>
      <c r="F459" s="1392"/>
      <c r="G459" s="1392"/>
      <c r="H459" s="1392"/>
      <c r="I459" s="1392"/>
      <c r="J459" s="1392"/>
      <c r="K459" s="1392"/>
      <c r="L459" s="1392"/>
      <c r="N459" s="1396"/>
      <c r="O459" s="1393"/>
      <c r="P459" s="1393"/>
      <c r="Q459" s="1392"/>
      <c r="R459" s="1393"/>
      <c r="S459" s="1393"/>
      <c r="T459" s="1393"/>
    </row>
    <row r="460" spans="1:20" s="1395" customFormat="1">
      <c r="A460" s="1392"/>
      <c r="B460" s="1392"/>
      <c r="C460" s="1392"/>
      <c r="D460" s="1392"/>
      <c r="E460" s="1392"/>
      <c r="F460" s="1392"/>
      <c r="G460" s="1392"/>
      <c r="H460" s="1392"/>
      <c r="I460" s="1392"/>
      <c r="J460" s="1392"/>
      <c r="K460" s="1392"/>
      <c r="L460" s="1392"/>
      <c r="N460" s="1396"/>
      <c r="O460" s="1393"/>
      <c r="P460" s="1393"/>
      <c r="Q460" s="1392"/>
      <c r="R460" s="1393"/>
      <c r="S460" s="1393"/>
      <c r="T460" s="1393"/>
    </row>
    <row r="461" spans="1:20" s="1395" customFormat="1">
      <c r="A461" s="1392"/>
      <c r="B461" s="1392"/>
      <c r="C461" s="1392"/>
      <c r="D461" s="1392"/>
      <c r="E461" s="1392"/>
      <c r="F461" s="1392"/>
      <c r="G461" s="1392"/>
      <c r="H461" s="1392"/>
      <c r="I461" s="1392"/>
      <c r="J461" s="1392"/>
      <c r="K461" s="1392"/>
      <c r="L461" s="1392"/>
      <c r="N461" s="1396"/>
      <c r="O461" s="1393"/>
      <c r="P461" s="1393"/>
      <c r="Q461" s="1392"/>
      <c r="R461" s="1393"/>
      <c r="S461" s="1393"/>
      <c r="T461" s="1393"/>
    </row>
    <row r="462" spans="1:20" s="1395" customFormat="1">
      <c r="A462" s="1392"/>
      <c r="B462" s="1392"/>
      <c r="C462" s="1392"/>
      <c r="D462" s="1392"/>
      <c r="E462" s="1392"/>
      <c r="F462" s="1392"/>
      <c r="G462" s="1392"/>
      <c r="H462" s="1392"/>
      <c r="I462" s="1392"/>
      <c r="J462" s="1392"/>
      <c r="K462" s="1392"/>
      <c r="L462" s="1392"/>
      <c r="N462" s="1396"/>
      <c r="O462" s="1393"/>
      <c r="P462" s="1393"/>
      <c r="Q462" s="1392"/>
      <c r="R462" s="1393"/>
      <c r="S462" s="1393"/>
      <c r="T462" s="1393"/>
    </row>
    <row r="463" spans="1:20" s="1395" customFormat="1">
      <c r="A463" s="1392"/>
      <c r="B463" s="1392"/>
      <c r="C463" s="1392"/>
      <c r="D463" s="1392"/>
      <c r="E463" s="1392"/>
      <c r="F463" s="1392"/>
      <c r="G463" s="1392"/>
      <c r="H463" s="1392"/>
      <c r="I463" s="1392"/>
      <c r="J463" s="1392"/>
      <c r="K463" s="1392"/>
      <c r="L463" s="1392"/>
      <c r="N463" s="1396"/>
      <c r="O463" s="1393"/>
      <c r="P463" s="1393"/>
      <c r="Q463" s="1392"/>
      <c r="R463" s="1393"/>
      <c r="S463" s="1393"/>
      <c r="T463" s="1393"/>
    </row>
    <row r="464" spans="1:20" s="1395" customFormat="1">
      <c r="A464" s="1392"/>
      <c r="B464" s="1392"/>
      <c r="C464" s="1392"/>
      <c r="D464" s="1392"/>
      <c r="E464" s="1392"/>
      <c r="F464" s="1392"/>
      <c r="G464" s="1392"/>
      <c r="H464" s="1392"/>
      <c r="I464" s="1392"/>
      <c r="J464" s="1392"/>
      <c r="K464" s="1392"/>
      <c r="L464" s="1392"/>
      <c r="N464" s="1396"/>
      <c r="O464" s="1393"/>
      <c r="P464" s="1393"/>
      <c r="Q464" s="1392"/>
      <c r="R464" s="1393"/>
      <c r="S464" s="1393"/>
      <c r="T464" s="1393"/>
    </row>
    <row r="465" spans="1:20" s="1395" customFormat="1">
      <c r="A465" s="1392"/>
      <c r="B465" s="1392"/>
      <c r="C465" s="1392"/>
      <c r="D465" s="1392"/>
      <c r="E465" s="1392"/>
      <c r="F465" s="1392"/>
      <c r="G465" s="1392"/>
      <c r="H465" s="1392"/>
      <c r="I465" s="1392"/>
      <c r="J465" s="1392"/>
      <c r="K465" s="1392"/>
      <c r="L465" s="1392"/>
      <c r="N465" s="1396"/>
      <c r="O465" s="1393"/>
      <c r="P465" s="1393"/>
      <c r="Q465" s="1392"/>
      <c r="R465" s="1393"/>
      <c r="S465" s="1393"/>
      <c r="T465" s="1393"/>
    </row>
    <row r="466" spans="1:20" s="1395" customFormat="1">
      <c r="A466" s="1392"/>
      <c r="B466" s="1392"/>
      <c r="C466" s="1392"/>
      <c r="D466" s="1392"/>
      <c r="E466" s="1392"/>
      <c r="F466" s="1392"/>
      <c r="G466" s="1392"/>
      <c r="H466" s="1392"/>
      <c r="I466" s="1392"/>
      <c r="J466" s="1392"/>
      <c r="K466" s="1392"/>
      <c r="L466" s="1392"/>
      <c r="N466" s="1396"/>
      <c r="O466" s="1393"/>
      <c r="P466" s="1393"/>
      <c r="Q466" s="1392"/>
      <c r="R466" s="1393"/>
      <c r="S466" s="1393"/>
      <c r="T466" s="1393"/>
    </row>
    <row r="467" spans="1:20" s="1395" customFormat="1">
      <c r="A467" s="1392"/>
      <c r="B467" s="1392"/>
      <c r="C467" s="1392"/>
      <c r="D467" s="1392"/>
      <c r="E467" s="1392"/>
      <c r="F467" s="1392"/>
      <c r="G467" s="1392"/>
      <c r="H467" s="1392"/>
      <c r="I467" s="1392"/>
      <c r="J467" s="1392"/>
      <c r="K467" s="1392"/>
      <c r="L467" s="1392"/>
      <c r="N467" s="1396"/>
      <c r="O467" s="1393"/>
      <c r="P467" s="1393"/>
      <c r="Q467" s="1392"/>
      <c r="R467" s="1393"/>
      <c r="S467" s="1393"/>
      <c r="T467" s="1393"/>
    </row>
    <row r="468" spans="1:20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</row>
    <row r="469" spans="1:20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</row>
    <row r="470" spans="1:20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</row>
    <row r="471" spans="1:20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</row>
    <row r="472" spans="1:20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</row>
    <row r="473" spans="1:20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</row>
    <row r="474" spans="1:20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</row>
    <row r="475" spans="1:20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</row>
    <row r="476" spans="1:20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</row>
    <row r="477" spans="1:20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</row>
    <row r="478" spans="1:20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</row>
    <row r="479" spans="1:20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</row>
    <row r="480" spans="1:20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</row>
    <row r="481" spans="1:20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</row>
    <row r="482" spans="1:20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</row>
    <row r="483" spans="1:20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</row>
    <row r="484" spans="1:20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</row>
    <row r="485" spans="1:20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</row>
    <row r="486" spans="1:20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</row>
    <row r="487" spans="1:20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</row>
    <row r="488" spans="1:20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</row>
    <row r="489" spans="1:20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</row>
    <row r="490" spans="1:20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</row>
    <row r="491" spans="1:20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</row>
    <row r="492" spans="1:20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</row>
    <row r="493" spans="1:20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</row>
    <row r="494" spans="1:20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</row>
    <row r="495" spans="1:20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</row>
    <row r="496" spans="1:20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</row>
    <row r="497" spans="1:20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</row>
    <row r="498" spans="1:20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</row>
    <row r="499" spans="1:20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</row>
    <row r="500" spans="1:20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</row>
    <row r="501" spans="1:20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</row>
    <row r="502" spans="1:20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</row>
    <row r="503" spans="1:20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</row>
    <row r="504" spans="1:20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</row>
    <row r="505" spans="1:20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</row>
    <row r="506" spans="1:20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</row>
    <row r="507" spans="1:20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</row>
    <row r="508" spans="1:20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</row>
    <row r="509" spans="1:20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</row>
    <row r="510" spans="1:20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</row>
    <row r="511" spans="1:20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</row>
    <row r="512" spans="1:20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</row>
    <row r="513" spans="1:20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</row>
    <row r="514" spans="1:20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</row>
    <row r="515" spans="1:20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</row>
    <row r="516" spans="1:20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</row>
    <row r="517" spans="1:20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</row>
    <row r="518" spans="1:20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</row>
    <row r="519" spans="1:20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</row>
    <row r="520" spans="1:20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</row>
    <row r="521" spans="1:20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</row>
    <row r="522" spans="1:20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</row>
    <row r="523" spans="1:20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</row>
    <row r="524" spans="1:20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</row>
    <row r="525" spans="1:20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</row>
    <row r="526" spans="1:20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</row>
    <row r="527" spans="1:20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</row>
    <row r="528" spans="1:20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</row>
    <row r="529" spans="1:20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</row>
    <row r="530" spans="1:20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</row>
    <row r="531" spans="1:20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</row>
    <row r="532" spans="1:20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</row>
    <row r="533" spans="1:20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</row>
    <row r="534" spans="1:20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</row>
    <row r="535" spans="1:20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</row>
    <row r="536" spans="1:20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</row>
    <row r="537" spans="1:20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</row>
    <row r="538" spans="1:20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</row>
    <row r="539" spans="1:20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</row>
    <row r="540" spans="1:20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</row>
    <row r="541" spans="1:20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</row>
    <row r="542" spans="1:20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</row>
    <row r="543" spans="1:20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</row>
    <row r="544" spans="1:20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</row>
    <row r="545" spans="1:20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</row>
    <row r="546" spans="1:20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</row>
    <row r="547" spans="1:20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</row>
    <row r="548" spans="1:20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</row>
    <row r="549" spans="1:20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</row>
    <row r="550" spans="1:20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</row>
    <row r="551" spans="1:20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</row>
    <row r="552" spans="1:20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</row>
    <row r="553" spans="1:20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</row>
    <row r="554" spans="1:20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</row>
    <row r="555" spans="1:20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</row>
    <row r="556" spans="1:20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</row>
    <row r="557" spans="1:20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</row>
    <row r="558" spans="1:20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</row>
    <row r="559" spans="1:20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</row>
    <row r="560" spans="1:20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</row>
    <row r="561" spans="1:20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</row>
    <row r="562" spans="1:20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</row>
    <row r="563" spans="1:20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</row>
    <row r="564" spans="1:20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</row>
    <row r="565" spans="1:20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</row>
    <row r="566" spans="1:20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</row>
    <row r="567" spans="1:20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</row>
    <row r="568" spans="1:20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</row>
    <row r="569" spans="1:20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</row>
    <row r="570" spans="1:20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</row>
    <row r="571" spans="1:20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</row>
    <row r="572" spans="1:20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</row>
    <row r="573" spans="1:20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</row>
    <row r="574" spans="1:20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</row>
    <row r="575" spans="1:20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</row>
    <row r="576" spans="1:20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</row>
    <row r="577" spans="1:20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</row>
    <row r="578" spans="1:20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</row>
    <row r="579" spans="1:20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</row>
    <row r="580" spans="1:20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</row>
    <row r="581" spans="1:20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</row>
    <row r="582" spans="1:20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</row>
    <row r="583" spans="1:20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</row>
    <row r="584" spans="1:20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</row>
    <row r="585" spans="1:20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</row>
    <row r="586" spans="1:20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</row>
    <row r="587" spans="1:20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</row>
    <row r="588" spans="1:20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</row>
    <row r="589" spans="1:20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</row>
    <row r="590" spans="1:20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</row>
    <row r="591" spans="1:20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</row>
    <row r="592" spans="1:20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</row>
    <row r="593" spans="1:20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</row>
    <row r="594" spans="1:20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</row>
    <row r="595" spans="1:20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</row>
    <row r="596" spans="1:20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</row>
    <row r="597" spans="1:20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</row>
    <row r="598" spans="1:20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</row>
    <row r="599" spans="1:20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</row>
    <row r="600" spans="1:20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</row>
    <row r="601" spans="1:20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</row>
    <row r="602" spans="1:20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</row>
    <row r="603" spans="1:20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</row>
    <row r="604" spans="1:20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</row>
    <row r="605" spans="1:20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</row>
    <row r="606" spans="1:20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</row>
    <row r="607" spans="1:20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</row>
    <row r="608" spans="1:20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</row>
    <row r="609" spans="1:20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</row>
    <row r="610" spans="1:20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</row>
    <row r="611" spans="1:20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</row>
    <row r="612" spans="1:20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</row>
    <row r="613" spans="1:20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</row>
    <row r="614" spans="1:20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</row>
    <row r="615" spans="1:20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</row>
    <row r="616" spans="1:20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</row>
    <row r="617" spans="1:20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</row>
    <row r="618" spans="1:20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</row>
    <row r="619" spans="1:20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</row>
    <row r="620" spans="1:20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</row>
    <row r="621" spans="1:20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</row>
    <row r="622" spans="1:20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</row>
    <row r="623" spans="1:20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</row>
    <row r="624" spans="1:20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</row>
    <row r="625" spans="1:20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</row>
    <row r="626" spans="1:20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</row>
    <row r="627" spans="1:20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</row>
    <row r="628" spans="1:20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</row>
    <row r="629" spans="1:20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</row>
    <row r="630" spans="1:20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</row>
    <row r="631" spans="1:20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</row>
    <row r="632" spans="1:20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</row>
    <row r="633" spans="1:20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</row>
    <row r="634" spans="1:20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</row>
    <row r="635" spans="1:20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</row>
    <row r="636" spans="1:20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</row>
    <row r="637" spans="1:20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</row>
    <row r="638" spans="1:20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</row>
    <row r="639" spans="1:20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</row>
    <row r="640" spans="1:20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</row>
    <row r="641" spans="1:20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</row>
  </sheetData>
  <sheetProtection password="889B" sheet="1"/>
  <mergeCells count="16">
    <mergeCell ref="T123:U123"/>
    <mergeCell ref="T124:U124"/>
    <mergeCell ref="E2:L2"/>
    <mergeCell ref="C6:E6"/>
    <mergeCell ref="G6:L6"/>
    <mergeCell ref="G8:H8"/>
    <mergeCell ref="J8:L8"/>
    <mergeCell ref="A3:C5"/>
    <mergeCell ref="D4:E4"/>
    <mergeCell ref="G4:L4"/>
    <mergeCell ref="K10:L10"/>
    <mergeCell ref="H12:K12"/>
    <mergeCell ref="B96:C96"/>
    <mergeCell ref="H195:I195"/>
    <mergeCell ref="D195:F195"/>
    <mergeCell ref="D163:F163"/>
  </mergeCells>
  <conditionalFormatting sqref="P90 R90 R92:R95 O92:P94 O97:P97 R97 U131">
    <cfRule type="cellIs" dxfId="2278" priority="2297" stopIfTrue="1" operator="lessThan">
      <formula>0</formula>
    </cfRule>
  </conditionalFormatting>
  <conditionalFormatting sqref="E12:F12">
    <cfRule type="cellIs" dxfId="2277" priority="2304" stopIfTrue="1" operator="equal">
      <formula>0</formula>
    </cfRule>
  </conditionalFormatting>
  <conditionalFormatting sqref="N10">
    <cfRule type="cellIs" dxfId="2276" priority="2305" stopIfTrue="1" operator="equal">
      <formula>0</formula>
    </cfRule>
  </conditionalFormatting>
  <conditionalFormatting sqref="E2:L2 C6:E6 G6:L6 C8 C10 K10:L10 F10">
    <cfRule type="cellIs" dxfId="2275" priority="2296" stopIfTrue="1" operator="equal">
      <formula>0</formula>
    </cfRule>
  </conditionalFormatting>
  <conditionalFormatting sqref="O14:P14 P15">
    <cfRule type="cellIs" dxfId="2274" priority="2289" stopIfTrue="1" operator="lessThan">
      <formula>0</formula>
    </cfRule>
  </conditionalFormatting>
  <conditionalFormatting sqref="P17">
    <cfRule type="cellIs" dxfId="2273" priority="2195" stopIfTrue="1" operator="lessThan">
      <formula>0</formula>
    </cfRule>
  </conditionalFormatting>
  <conditionalFormatting sqref="G8:H8">
    <cfRule type="cellIs" dxfId="2272" priority="2223" stopIfTrue="1" operator="equal">
      <formula>0</formula>
    </cfRule>
  </conditionalFormatting>
  <conditionalFormatting sqref="J8:L8">
    <cfRule type="cellIs" dxfId="2271" priority="2222" stopIfTrue="1" operator="equal">
      <formula>0</formula>
    </cfRule>
  </conditionalFormatting>
  <conditionalFormatting sqref="P16">
    <cfRule type="cellIs" dxfId="2270" priority="2219" stopIfTrue="1" operator="lessThan">
      <formula>0</formula>
    </cfRule>
  </conditionalFormatting>
  <conditionalFormatting sqref="O26:P26">
    <cfRule type="cellIs" dxfId="2269" priority="2180" stopIfTrue="1" operator="lessThan">
      <formula>0</formula>
    </cfRule>
  </conditionalFormatting>
  <conditionalFormatting sqref="O21:P21">
    <cfRule type="cellIs" dxfId="2268" priority="2176" stopIfTrue="1" operator="lessThan">
      <formula>0</formula>
    </cfRule>
  </conditionalFormatting>
  <conditionalFormatting sqref="O13:P13">
    <cfRule type="cellIs" dxfId="2267" priority="2199" stopIfTrue="1" operator="lessThan">
      <formula>0</formula>
    </cfRule>
  </conditionalFormatting>
  <conditionalFormatting sqref="O17">
    <cfRule type="cellIs" dxfId="2266" priority="2192" stopIfTrue="1" operator="lessThan">
      <formula>0</formula>
    </cfRule>
  </conditionalFormatting>
  <conditionalFormatting sqref="R26:S26">
    <cfRule type="cellIs" dxfId="2265" priority="2179" stopIfTrue="1" operator="lessThan">
      <formula>0</formula>
    </cfRule>
  </conditionalFormatting>
  <conditionalFormatting sqref="O15:O16">
    <cfRule type="cellIs" dxfId="2264" priority="2193" stopIfTrue="1" operator="lessThan">
      <formula>0</formula>
    </cfRule>
  </conditionalFormatting>
  <conditionalFormatting sqref="R21:S21">
    <cfRule type="cellIs" dxfId="2263" priority="2175" stopIfTrue="1" operator="lessThan">
      <formula>0</formula>
    </cfRule>
  </conditionalFormatting>
  <conditionalFormatting sqref="S37">
    <cfRule type="cellIs" dxfId="2262" priority="2015" stopIfTrue="1" operator="lessThan">
      <formula>0</formula>
    </cfRule>
  </conditionalFormatting>
  <conditionalFormatting sqref="R18:S18">
    <cfRule type="cellIs" dxfId="2261" priority="2144" stopIfTrue="1" operator="lessThan">
      <formula>0</formula>
    </cfRule>
  </conditionalFormatting>
  <conditionalFormatting sqref="R13:S13">
    <cfRule type="cellIs" dxfId="2260" priority="2165" stopIfTrue="1" operator="lessThan">
      <formula>0</formula>
    </cfRule>
  </conditionalFormatting>
  <conditionalFormatting sqref="R15:R16">
    <cfRule type="cellIs" dxfId="2259" priority="2163" stopIfTrue="1" operator="lessThan">
      <formula>0</formula>
    </cfRule>
  </conditionalFormatting>
  <conditionalFormatting sqref="R14">
    <cfRule type="cellIs" dxfId="2258" priority="2167" stopIfTrue="1" operator="lessThan">
      <formula>0</formula>
    </cfRule>
  </conditionalFormatting>
  <conditionalFormatting sqref="P22">
    <cfRule type="cellIs" dxfId="2257" priority="2158" stopIfTrue="1" operator="lessThan">
      <formula>0</formula>
    </cfRule>
  </conditionalFormatting>
  <conditionalFormatting sqref="P23:P24">
    <cfRule type="cellIs" dxfId="2256" priority="2157" stopIfTrue="1" operator="lessThan">
      <formula>0</formula>
    </cfRule>
  </conditionalFormatting>
  <conditionalFormatting sqref="R17">
    <cfRule type="cellIs" dxfId="2255" priority="2162" stopIfTrue="1" operator="lessThan">
      <formula>0</formula>
    </cfRule>
  </conditionalFormatting>
  <conditionalFormatting sqref="S17">
    <cfRule type="cellIs" dxfId="2254" priority="2164" stopIfTrue="1" operator="lessThan">
      <formula>0</formula>
    </cfRule>
  </conditionalFormatting>
  <conditionalFormatting sqref="O24">
    <cfRule type="cellIs" dxfId="2253" priority="2160" stopIfTrue="1" operator="lessThan">
      <formula>0</formula>
    </cfRule>
  </conditionalFormatting>
  <conditionalFormatting sqref="O25">
    <cfRule type="cellIs" dxfId="2252" priority="2159" stopIfTrue="1" operator="lessThan">
      <formula>0</formula>
    </cfRule>
  </conditionalFormatting>
  <conditionalFormatting sqref="O23">
    <cfRule type="cellIs" dxfId="2251" priority="2161" stopIfTrue="1" operator="lessThan">
      <formula>0</formula>
    </cfRule>
  </conditionalFormatting>
  <conditionalFormatting sqref="R25">
    <cfRule type="cellIs" dxfId="2250" priority="2153" stopIfTrue="1" operator="lessThan">
      <formula>0</formula>
    </cfRule>
  </conditionalFormatting>
  <conditionalFormatting sqref="R23">
    <cfRule type="cellIs" dxfId="2249" priority="2155" stopIfTrue="1" operator="lessThan">
      <formula>0</formula>
    </cfRule>
  </conditionalFormatting>
  <conditionalFormatting sqref="P25">
    <cfRule type="cellIs" dxfId="2248" priority="2156" stopIfTrue="1" operator="lessThan">
      <formula>0</formula>
    </cfRule>
  </conditionalFormatting>
  <conditionalFormatting sqref="R24">
    <cfRule type="cellIs" dxfId="2247" priority="2154" stopIfTrue="1" operator="lessThan">
      <formula>0</formula>
    </cfRule>
  </conditionalFormatting>
  <conditionalFormatting sqref="S22">
    <cfRule type="cellIs" dxfId="2246" priority="2152" stopIfTrue="1" operator="lessThan">
      <formula>0</formula>
    </cfRule>
  </conditionalFormatting>
  <conditionalFormatting sqref="S23:S24">
    <cfRule type="cellIs" dxfId="2245" priority="2151" stopIfTrue="1" operator="lessThan">
      <formula>0</formula>
    </cfRule>
  </conditionalFormatting>
  <conditionalFormatting sqref="S25">
    <cfRule type="cellIs" dxfId="2244" priority="2150" stopIfTrue="1" operator="lessThan">
      <formula>0</formula>
    </cfRule>
  </conditionalFormatting>
  <conditionalFormatting sqref="O18:P18">
    <cfRule type="cellIs" dxfId="2243" priority="2145" stopIfTrue="1" operator="lessThan">
      <formula>0</formula>
    </cfRule>
  </conditionalFormatting>
  <conditionalFormatting sqref="R37">
    <cfRule type="cellIs" dxfId="2242" priority="2014" stopIfTrue="1" operator="lessThan">
      <formula>0</formula>
    </cfRule>
  </conditionalFormatting>
  <conditionalFormatting sqref="O32:P32">
    <cfRule type="cellIs" dxfId="2241" priority="2069" stopIfTrue="1" operator="lessThan">
      <formula>0</formula>
    </cfRule>
  </conditionalFormatting>
  <conditionalFormatting sqref="P31">
    <cfRule type="cellIs" dxfId="2240" priority="2063" stopIfTrue="1" operator="lessThan">
      <formula>0</formula>
    </cfRule>
  </conditionalFormatting>
  <conditionalFormatting sqref="R57">
    <cfRule type="cellIs" dxfId="2239" priority="2002" stopIfTrue="1" operator="lessThan">
      <formula>0</formula>
    </cfRule>
  </conditionalFormatting>
  <conditionalFormatting sqref="O29:P29">
    <cfRule type="cellIs" dxfId="2238" priority="2108" stopIfTrue="1" operator="lessThan">
      <formula>0</formula>
    </cfRule>
  </conditionalFormatting>
  <conditionalFormatting sqref="R35:S35">
    <cfRule type="cellIs" dxfId="2237" priority="2096" stopIfTrue="1" operator="lessThan">
      <formula>0</formula>
    </cfRule>
  </conditionalFormatting>
  <conditionalFormatting sqref="O35:P35">
    <cfRule type="cellIs" dxfId="2236" priority="2097" stopIfTrue="1" operator="lessThan">
      <formula>0</formula>
    </cfRule>
  </conditionalFormatting>
  <conditionalFormatting sqref="R38:S38">
    <cfRule type="cellIs" dxfId="2235" priority="2099" stopIfTrue="1" operator="lessThan">
      <formula>0</formula>
    </cfRule>
  </conditionalFormatting>
  <conditionalFormatting sqref="O38:P38">
    <cfRule type="cellIs" dxfId="2234" priority="2100" stopIfTrue="1" operator="lessThan">
      <formula>0</formula>
    </cfRule>
  </conditionalFormatting>
  <conditionalFormatting sqref="O31">
    <cfRule type="cellIs" dxfId="2233" priority="2066" stopIfTrue="1" operator="lessThan">
      <formula>0</formula>
    </cfRule>
  </conditionalFormatting>
  <conditionalFormatting sqref="P30">
    <cfRule type="cellIs" dxfId="2232" priority="2065" stopIfTrue="1" operator="lessThan">
      <formula>0</formula>
    </cfRule>
  </conditionalFormatting>
  <conditionalFormatting sqref="S30">
    <cfRule type="cellIs" dxfId="2231" priority="2058" stopIfTrue="1" operator="lessThan">
      <formula>0</formula>
    </cfRule>
  </conditionalFormatting>
  <conditionalFormatting sqref="R32:S32">
    <cfRule type="cellIs" dxfId="2230" priority="2062" stopIfTrue="1" operator="lessThan">
      <formula>0</formula>
    </cfRule>
  </conditionalFormatting>
  <conditionalFormatting sqref="R30">
    <cfRule type="cellIs" dxfId="2229" priority="2061" stopIfTrue="1" operator="lessThan">
      <formula>0</formula>
    </cfRule>
  </conditionalFormatting>
  <conditionalFormatting sqref="O30">
    <cfRule type="cellIs" dxfId="2228" priority="2068" stopIfTrue="1" operator="lessThan">
      <formula>0</formula>
    </cfRule>
  </conditionalFormatting>
  <conditionalFormatting sqref="R31">
    <cfRule type="cellIs" dxfId="2227" priority="2059" stopIfTrue="1" operator="lessThan">
      <formula>0</formula>
    </cfRule>
  </conditionalFormatting>
  <conditionalFormatting sqref="S31">
    <cfRule type="cellIs" dxfId="2226" priority="2056" stopIfTrue="1" operator="lessThan">
      <formula>0</formula>
    </cfRule>
  </conditionalFormatting>
  <conditionalFormatting sqref="O80">
    <cfRule type="cellIs" dxfId="2225" priority="1906" stopIfTrue="1" operator="lessThan">
      <formula>0</formula>
    </cfRule>
  </conditionalFormatting>
  <conditionalFormatting sqref="O48:P48">
    <cfRule type="cellIs" dxfId="2224" priority="2033" stopIfTrue="1" operator="lessThan">
      <formula>0</formula>
    </cfRule>
  </conditionalFormatting>
  <conditionalFormatting sqref="P45">
    <cfRule type="cellIs" dxfId="2223" priority="2029" stopIfTrue="1" operator="lessThan">
      <formula>0</formula>
    </cfRule>
  </conditionalFormatting>
  <conditionalFormatting sqref="O41:P41">
    <cfRule type="cellIs" dxfId="2222" priority="2045" stopIfTrue="1" operator="lessThan">
      <formula>0</formula>
    </cfRule>
  </conditionalFormatting>
  <conditionalFormatting sqref="R53:S53">
    <cfRule type="cellIs" dxfId="2221" priority="2041" stopIfTrue="1" operator="lessThan">
      <formula>0</formula>
    </cfRule>
  </conditionalFormatting>
  <conditionalFormatting sqref="O53:P53">
    <cfRule type="cellIs" dxfId="2220" priority="2042" stopIfTrue="1" operator="lessThan">
      <formula>0</formula>
    </cfRule>
  </conditionalFormatting>
  <conditionalFormatting sqref="O45">
    <cfRule type="cellIs" dxfId="2219" priority="2031" stopIfTrue="1" operator="lessThan">
      <formula>0</formula>
    </cfRule>
  </conditionalFormatting>
  <conditionalFormatting sqref="P42">
    <cfRule type="cellIs" dxfId="2218" priority="2030" stopIfTrue="1" operator="lessThan">
      <formula>0</formula>
    </cfRule>
  </conditionalFormatting>
  <conditionalFormatting sqref="S42">
    <cfRule type="cellIs" dxfId="2217" priority="2025" stopIfTrue="1" operator="lessThan">
      <formula>0</formula>
    </cfRule>
  </conditionalFormatting>
  <conditionalFormatting sqref="R48:S48">
    <cfRule type="cellIs" dxfId="2216" priority="2028" stopIfTrue="1" operator="lessThan">
      <formula>0</formula>
    </cfRule>
  </conditionalFormatting>
  <conditionalFormatting sqref="R45">
    <cfRule type="cellIs" dxfId="2215" priority="2026" stopIfTrue="1" operator="lessThan">
      <formula>0</formula>
    </cfRule>
  </conditionalFormatting>
  <conditionalFormatting sqref="P37">
    <cfRule type="cellIs" dxfId="2214" priority="2018" stopIfTrue="1" operator="lessThan">
      <formula>0</formula>
    </cfRule>
  </conditionalFormatting>
  <conditionalFormatting sqref="S45">
    <cfRule type="cellIs" dxfId="2213" priority="2024" stopIfTrue="1" operator="lessThan">
      <formula>0</formula>
    </cfRule>
  </conditionalFormatting>
  <conditionalFormatting sqref="N88">
    <cfRule type="cellIs" dxfId="2212" priority="1881" stopIfTrue="1" operator="lessThan">
      <formula>0</formula>
    </cfRule>
  </conditionalFormatting>
  <conditionalFormatting sqref="N71">
    <cfRule type="cellIs" dxfId="2211" priority="1924" stopIfTrue="1" operator="lessThan">
      <formula>0</formula>
    </cfRule>
  </conditionalFormatting>
  <conditionalFormatting sqref="O36:P36">
    <cfRule type="cellIs" dxfId="2210" priority="2019" stopIfTrue="1" operator="lessThan">
      <formula>0</formula>
    </cfRule>
  </conditionalFormatting>
  <conditionalFormatting sqref="O37">
    <cfRule type="cellIs" dxfId="2209" priority="2017" stopIfTrue="1" operator="lessThan">
      <formula>0</formula>
    </cfRule>
  </conditionalFormatting>
  <conditionalFormatting sqref="R36:S36">
    <cfRule type="cellIs" dxfId="2208" priority="2016" stopIfTrue="1" operator="lessThan">
      <formula>0</formula>
    </cfRule>
  </conditionalFormatting>
  <conditionalFormatting sqref="O22">
    <cfRule type="cellIs" dxfId="2207" priority="2013" stopIfTrue="1" operator="lessThan">
      <formula>0</formula>
    </cfRule>
  </conditionalFormatting>
  <conditionalFormatting sqref="R22">
    <cfRule type="cellIs" dxfId="2206" priority="2012" stopIfTrue="1" operator="lessThan">
      <formula>0</formula>
    </cfRule>
  </conditionalFormatting>
  <conditionalFormatting sqref="R29:S29">
    <cfRule type="cellIs" dxfId="2205" priority="2011" stopIfTrue="1" operator="lessThan">
      <formula>0</formula>
    </cfRule>
  </conditionalFormatting>
  <conditionalFormatting sqref="R60:S60">
    <cfRule type="cellIs" dxfId="2204" priority="2008" stopIfTrue="1" operator="lessThan">
      <formula>0</formula>
    </cfRule>
  </conditionalFormatting>
  <conditionalFormatting sqref="O60:P60">
    <cfRule type="cellIs" dxfId="2203" priority="2009" stopIfTrue="1" operator="lessThan">
      <formula>0</formula>
    </cfRule>
  </conditionalFormatting>
  <conditionalFormatting sqref="O54">
    <cfRule type="cellIs" dxfId="2202" priority="2007" stopIfTrue="1" operator="lessThan">
      <formula>0</formula>
    </cfRule>
  </conditionalFormatting>
  <conditionalFormatting sqref="R54">
    <cfRule type="cellIs" dxfId="2201" priority="2004" stopIfTrue="1" operator="lessThan">
      <formula>0</formula>
    </cfRule>
  </conditionalFormatting>
  <conditionalFormatting sqref="O57">
    <cfRule type="cellIs" dxfId="2200" priority="2005" stopIfTrue="1" operator="lessThan">
      <formula>0</formula>
    </cfRule>
  </conditionalFormatting>
  <conditionalFormatting sqref="S14">
    <cfRule type="cellIs" dxfId="2199" priority="1994" stopIfTrue="1" operator="lessThan">
      <formula>0</formula>
    </cfRule>
  </conditionalFormatting>
  <conditionalFormatting sqref="R41:S41">
    <cfRule type="cellIs" dxfId="2198" priority="2001" stopIfTrue="1" operator="lessThan">
      <formula>0</formula>
    </cfRule>
  </conditionalFormatting>
  <conditionalFormatting sqref="N68">
    <cfRule type="cellIs" dxfId="2197" priority="1936" stopIfTrue="1" operator="lessThan">
      <formula>0</formula>
    </cfRule>
  </conditionalFormatting>
  <conditionalFormatting sqref="O76:P76">
    <cfRule type="cellIs" dxfId="2196" priority="1934" stopIfTrue="1" operator="lessThan">
      <formula>0</formula>
    </cfRule>
  </conditionalFormatting>
  <conditionalFormatting sqref="R65:S65">
    <cfRule type="cellIs" dxfId="2195" priority="1952" stopIfTrue="1" operator="lessThan">
      <formula>0</formula>
    </cfRule>
  </conditionalFormatting>
  <conditionalFormatting sqref="O65:P65">
    <cfRule type="cellIs" dxfId="2194" priority="1953" stopIfTrue="1" operator="lessThan">
      <formula>0</formula>
    </cfRule>
  </conditionalFormatting>
  <conditionalFormatting sqref="O68 L96">
    <cfRule type="cellIs" dxfId="2193" priority="1941" stopIfTrue="1" operator="equal">
      <formula>"2002 г. крайно ДТ с-до"</formula>
    </cfRule>
  </conditionalFormatting>
  <conditionalFormatting sqref="R77">
    <cfRule type="cellIs" dxfId="2192" priority="1895" stopIfTrue="1" operator="equal">
      <formula>"2002 г. крайно ДТ с-до"</formula>
    </cfRule>
  </conditionalFormatting>
  <conditionalFormatting sqref="R76:S76">
    <cfRule type="cellIs" dxfId="2191" priority="1896" stopIfTrue="1" operator="lessThan">
      <formula>0</formula>
    </cfRule>
  </conditionalFormatting>
  <conditionalFormatting sqref="R81">
    <cfRule type="cellIs" dxfId="2190" priority="1928" stopIfTrue="1" operator="lessThan">
      <formula>0</formula>
    </cfRule>
  </conditionalFormatting>
  <conditionalFormatting sqref="R90 P90 R92:R95 R97">
    <cfRule type="cellIs" dxfId="2189" priority="1927" stopIfTrue="1" operator="lessThan">
      <formula>0</formula>
    </cfRule>
  </conditionalFormatting>
  <conditionalFormatting sqref="R71">
    <cfRule type="cellIs" dxfId="2188" priority="1891" stopIfTrue="1" operator="equal">
      <formula>"2002 г. крайно ДТ с-до"</formula>
    </cfRule>
  </conditionalFormatting>
  <conditionalFormatting sqref="R68">
    <cfRule type="cellIs" dxfId="2187" priority="1897" stopIfTrue="1" operator="equal">
      <formula>"2002 г. крайно ДТ с-до"</formula>
    </cfRule>
  </conditionalFormatting>
  <conditionalFormatting sqref="O77">
    <cfRule type="cellIs" dxfId="2186" priority="1921" stopIfTrue="1" operator="equal">
      <formula>"2002 г. крайно ДТ с-до"</formula>
    </cfRule>
  </conditionalFormatting>
  <conditionalFormatting sqref="N77">
    <cfRule type="cellIs" dxfId="2185" priority="1918" stopIfTrue="1" operator="lessThan">
      <formula>0</formula>
    </cfRule>
  </conditionalFormatting>
  <conditionalFormatting sqref="P80">
    <cfRule type="cellIs" dxfId="2184" priority="1907" stopIfTrue="1" operator="equal">
      <formula>"2002 г. крайно ДТ с-до"</formula>
    </cfRule>
  </conditionalFormatting>
  <conditionalFormatting sqref="O71">
    <cfRule type="cellIs" dxfId="2183" priority="1905" stopIfTrue="1" operator="equal">
      <formula>"2002 г. крайно ДТ с-до"</formula>
    </cfRule>
  </conditionalFormatting>
  <conditionalFormatting sqref="N82">
    <cfRule type="cellIs" dxfId="2182" priority="1887" stopIfTrue="1" operator="lessThan">
      <formula>0</formula>
    </cfRule>
  </conditionalFormatting>
  <conditionalFormatting sqref="P91">
    <cfRule type="cellIs" dxfId="2181" priority="1870" stopIfTrue="1" operator="equal">
      <formula>"2002 г. крайно ДТ с-до"</formula>
    </cfRule>
  </conditionalFormatting>
  <conditionalFormatting sqref="N69">
    <cfRule type="cellIs" dxfId="2180" priority="1867" stopIfTrue="1" operator="lessThan">
      <formula>0</formula>
    </cfRule>
  </conditionalFormatting>
  <conditionalFormatting sqref="N72">
    <cfRule type="cellIs" dxfId="2179" priority="1863" stopIfTrue="1" operator="lessThan">
      <formula>0</formula>
    </cfRule>
  </conditionalFormatting>
  <conditionalFormatting sqref="N78">
    <cfRule type="cellIs" dxfId="2178" priority="1859" stopIfTrue="1" operator="lessThan">
      <formula>0</formula>
    </cfRule>
  </conditionalFormatting>
  <conditionalFormatting sqref="O79:P79">
    <cfRule type="cellIs" dxfId="2177" priority="1857" stopIfTrue="1" operator="lessThan">
      <formula>0</formula>
    </cfRule>
  </conditionalFormatting>
  <conditionalFormatting sqref="R79:S79">
    <cfRule type="cellIs" dxfId="2176" priority="1856" stopIfTrue="1" operator="lessThan">
      <formula>0</formula>
    </cfRule>
  </conditionalFormatting>
  <conditionalFormatting sqref="N83">
    <cfRule type="cellIs" dxfId="2175" priority="1854" stopIfTrue="1" operator="lessThan">
      <formula>0</formula>
    </cfRule>
  </conditionalFormatting>
  <conditionalFormatting sqref="N89">
    <cfRule type="cellIs" dxfId="2174" priority="1851" stopIfTrue="1" operator="lessThan">
      <formula>0</formula>
    </cfRule>
  </conditionalFormatting>
  <conditionalFormatting sqref="O91">
    <cfRule type="cellIs" dxfId="2173" priority="1848" stopIfTrue="1" operator="lessThan">
      <formula>0</formula>
    </cfRule>
  </conditionalFormatting>
  <conditionalFormatting sqref="P92">
    <cfRule type="cellIs" dxfId="2172" priority="1845" stopIfTrue="1" operator="notEqual">
      <formula>0</formula>
    </cfRule>
  </conditionalFormatting>
  <conditionalFormatting sqref="P93">
    <cfRule type="cellIs" dxfId="2171" priority="1843" stopIfTrue="1" operator="notEqual">
      <formula>0</formula>
    </cfRule>
  </conditionalFormatting>
  <conditionalFormatting sqref="P94">
    <cfRule type="cellIs" dxfId="2170" priority="1842" stopIfTrue="1" operator="notEqual">
      <formula>0</formula>
    </cfRule>
  </conditionalFormatting>
  <conditionalFormatting sqref="P81:P83">
    <cfRule type="cellIs" dxfId="2169" priority="1841" stopIfTrue="1" operator="lessThan">
      <formula>0</formula>
    </cfRule>
  </conditionalFormatting>
  <conditionalFormatting sqref="P81:P83">
    <cfRule type="cellIs" dxfId="2168" priority="1840" stopIfTrue="1" operator="lessThan">
      <formula>0</formula>
    </cfRule>
  </conditionalFormatting>
  <conditionalFormatting sqref="P81">
    <cfRule type="cellIs" dxfId="2167" priority="1839" stopIfTrue="1" operator="notEqual">
      <formula>0</formula>
    </cfRule>
  </conditionalFormatting>
  <conditionalFormatting sqref="P82">
    <cfRule type="cellIs" dxfId="2166" priority="1838" stopIfTrue="1" operator="notEqual">
      <formula>0</formula>
    </cfRule>
  </conditionalFormatting>
  <conditionalFormatting sqref="P83">
    <cfRule type="cellIs" dxfId="2165" priority="1837" stopIfTrue="1" operator="notEqual">
      <formula>0</formula>
    </cfRule>
  </conditionalFormatting>
  <conditionalFormatting sqref="S90 S92:S95 S97">
    <cfRule type="cellIs" dxfId="2164" priority="1836" stopIfTrue="1" operator="lessThan">
      <formula>0</formula>
    </cfRule>
  </conditionalFormatting>
  <conditionalFormatting sqref="S90 S92:S95 S97">
    <cfRule type="cellIs" dxfId="2163" priority="1834" stopIfTrue="1" operator="lessThan">
      <formula>0</formula>
    </cfRule>
  </conditionalFormatting>
  <conditionalFormatting sqref="S80">
    <cfRule type="cellIs" dxfId="2162" priority="1833" stopIfTrue="1" operator="equal">
      <formula>"2002 г. крайно ДТ с-до"</formula>
    </cfRule>
  </conditionalFormatting>
  <conditionalFormatting sqref="S91">
    <cfRule type="cellIs" dxfId="2161" priority="1832" stopIfTrue="1" operator="equal">
      <formula>"2002 г. крайно ДТ с-до"</formula>
    </cfRule>
  </conditionalFormatting>
  <conditionalFormatting sqref="S92">
    <cfRule type="cellIs" dxfId="2160" priority="1831" stopIfTrue="1" operator="notEqual">
      <formula>0</formula>
    </cfRule>
  </conditionalFormatting>
  <conditionalFormatting sqref="S93">
    <cfRule type="cellIs" dxfId="2159" priority="1830" stopIfTrue="1" operator="notEqual">
      <formula>0</formula>
    </cfRule>
  </conditionalFormatting>
  <conditionalFormatting sqref="S94">
    <cfRule type="cellIs" dxfId="2158" priority="1829" stopIfTrue="1" operator="notEqual">
      <formula>0</formula>
    </cfRule>
  </conditionalFormatting>
  <conditionalFormatting sqref="S81:S83">
    <cfRule type="cellIs" dxfId="2157" priority="1828" stopIfTrue="1" operator="lessThan">
      <formula>0</formula>
    </cfRule>
  </conditionalFormatting>
  <conditionalFormatting sqref="S81:S83">
    <cfRule type="cellIs" dxfId="2156" priority="1827" stopIfTrue="1" operator="lessThan">
      <formula>0</formula>
    </cfRule>
  </conditionalFormatting>
  <conditionalFormatting sqref="S81">
    <cfRule type="cellIs" dxfId="2155" priority="1826" stopIfTrue="1" operator="notEqual">
      <formula>0</formula>
    </cfRule>
  </conditionalFormatting>
  <conditionalFormatting sqref="S82">
    <cfRule type="cellIs" dxfId="2154" priority="1825" stopIfTrue="1" operator="notEqual">
      <formula>0</formula>
    </cfRule>
  </conditionalFormatting>
  <conditionalFormatting sqref="S83">
    <cfRule type="cellIs" dxfId="2153" priority="1824" stopIfTrue="1" operator="notEqual">
      <formula>0</formula>
    </cfRule>
  </conditionalFormatting>
  <conditionalFormatting sqref="S15">
    <cfRule type="cellIs" dxfId="2152" priority="1811" stopIfTrue="1" operator="lessThan">
      <formula>0</formula>
    </cfRule>
  </conditionalFormatting>
  <conditionalFormatting sqref="S16">
    <cfRule type="cellIs" dxfId="2151" priority="1810" stopIfTrue="1" operator="lessThan">
      <formula>0</formula>
    </cfRule>
  </conditionalFormatting>
  <conditionalFormatting sqref="R80">
    <cfRule type="cellIs" dxfId="2150" priority="1809" stopIfTrue="1" operator="lessThan">
      <formula>0</formula>
    </cfRule>
  </conditionalFormatting>
  <conditionalFormatting sqref="R91">
    <cfRule type="cellIs" dxfId="2149" priority="1808" stopIfTrue="1" operator="lessThan">
      <formula>0</formula>
    </cfRule>
  </conditionalFormatting>
  <conditionalFormatting sqref="P69">
    <cfRule type="cellIs" dxfId="2148" priority="1807" stopIfTrue="1" operator="equal">
      <formula>"2002 г. крайно ДТ с-до"</formula>
    </cfRule>
  </conditionalFormatting>
  <conditionalFormatting sqref="P72">
    <cfRule type="cellIs" dxfId="2147" priority="1806" stopIfTrue="1" operator="equal">
      <formula>"2002 г. крайно ДТ с-до"</formula>
    </cfRule>
  </conditionalFormatting>
  <conditionalFormatting sqref="P78">
    <cfRule type="cellIs" dxfId="2146" priority="1805" stopIfTrue="1" operator="equal">
      <formula>"2002 г. крайно ДТ с-до"</formula>
    </cfRule>
  </conditionalFormatting>
  <conditionalFormatting sqref="N85">
    <cfRule type="cellIs" dxfId="2145" priority="1803" stopIfTrue="1" operator="lessThan">
      <formula>0</formula>
    </cfRule>
  </conditionalFormatting>
  <conditionalFormatting sqref="O85">
    <cfRule type="cellIs" dxfId="2144" priority="1804" stopIfTrue="1" operator="equal">
      <formula>"2002 г. крайно ДТ с-до"</formula>
    </cfRule>
  </conditionalFormatting>
  <conditionalFormatting sqref="R85">
    <cfRule type="cellIs" dxfId="2143" priority="1802" stopIfTrue="1" operator="equal">
      <formula>"2002 г. крайно ДТ с-до"</formula>
    </cfRule>
  </conditionalFormatting>
  <conditionalFormatting sqref="O82">
    <cfRule type="cellIs" dxfId="2142" priority="1708" stopIfTrue="1" operator="equal">
      <formula>"2002 г. крайно ДТ с-до"</formula>
    </cfRule>
  </conditionalFormatting>
  <conditionalFormatting sqref="N86">
    <cfRule type="cellIs" dxfId="2141" priority="1800" stopIfTrue="1" operator="lessThan">
      <formula>0</formula>
    </cfRule>
  </conditionalFormatting>
  <conditionalFormatting sqref="R82">
    <cfRule type="cellIs" dxfId="2140" priority="1706" stopIfTrue="1" operator="equal">
      <formula>"2002 г. крайно ДТ с-до"</formula>
    </cfRule>
  </conditionalFormatting>
  <conditionalFormatting sqref="O88">
    <cfRule type="cellIs" dxfId="2139" priority="1705" stopIfTrue="1" operator="equal">
      <formula>"2002 г. крайно ДТ с-до"</formula>
    </cfRule>
  </conditionalFormatting>
  <conditionalFormatting sqref="R88">
    <cfRule type="cellIs" dxfId="2138" priority="1704" stopIfTrue="1" operator="equal">
      <formula>"2002 г. крайно ДТ с-до"</formula>
    </cfRule>
  </conditionalFormatting>
  <conditionalFormatting sqref="P43:P44">
    <cfRule type="cellIs" dxfId="2137" priority="1701" stopIfTrue="1" operator="lessThan">
      <formula>0</formula>
    </cfRule>
  </conditionalFormatting>
  <conditionalFormatting sqref="O44">
    <cfRule type="cellIs" dxfId="2136" priority="1702" stopIfTrue="1" operator="lessThan">
      <formula>0</formula>
    </cfRule>
  </conditionalFormatting>
  <conditionalFormatting sqref="O43">
    <cfRule type="cellIs" dxfId="2135" priority="1703" stopIfTrue="1" operator="lessThan">
      <formula>0</formula>
    </cfRule>
  </conditionalFormatting>
  <conditionalFormatting sqref="R43">
    <cfRule type="cellIs" dxfId="2134" priority="1700" stopIfTrue="1" operator="lessThan">
      <formula>0</formula>
    </cfRule>
  </conditionalFormatting>
  <conditionalFormatting sqref="R44">
    <cfRule type="cellIs" dxfId="2133" priority="1699" stopIfTrue="1" operator="lessThan">
      <formula>0</formula>
    </cfRule>
  </conditionalFormatting>
  <conditionalFormatting sqref="S43:S44">
    <cfRule type="cellIs" dxfId="2132" priority="1698" stopIfTrue="1" operator="lessThan">
      <formula>0</formula>
    </cfRule>
  </conditionalFormatting>
  <conditionalFormatting sqref="O42">
    <cfRule type="cellIs" dxfId="2131" priority="1697" stopIfTrue="1" operator="lessThan">
      <formula>0</formula>
    </cfRule>
  </conditionalFormatting>
  <conditionalFormatting sqref="R42">
    <cfRule type="cellIs" dxfId="2130" priority="1696" stopIfTrue="1" operator="lessThan">
      <formula>0</formula>
    </cfRule>
  </conditionalFormatting>
  <conditionalFormatting sqref="R50">
    <cfRule type="cellIs" dxfId="2129" priority="1692" stopIfTrue="1" operator="lessThan">
      <formula>0</formula>
    </cfRule>
  </conditionalFormatting>
  <conditionalFormatting sqref="O50">
    <cfRule type="cellIs" dxfId="2128" priority="1695" stopIfTrue="1" operator="lessThan">
      <formula>0</formula>
    </cfRule>
  </conditionalFormatting>
  <conditionalFormatting sqref="O51">
    <cfRule type="cellIs" dxfId="2127" priority="1689" stopIfTrue="1" operator="lessThan">
      <formula>0</formula>
    </cfRule>
  </conditionalFormatting>
  <conditionalFormatting sqref="R51">
    <cfRule type="cellIs" dxfId="2126" priority="1688" stopIfTrue="1" operator="lessThan">
      <formula>0</formula>
    </cfRule>
  </conditionalFormatting>
  <conditionalFormatting sqref="P46:P47">
    <cfRule type="cellIs" dxfId="2125" priority="1685" stopIfTrue="1" operator="lessThan">
      <formula>0</formula>
    </cfRule>
  </conditionalFormatting>
  <conditionalFormatting sqref="O47">
    <cfRule type="cellIs" dxfId="2124" priority="1686" stopIfTrue="1" operator="lessThan">
      <formula>0</formula>
    </cfRule>
  </conditionalFormatting>
  <conditionalFormatting sqref="O46">
    <cfRule type="cellIs" dxfId="2123" priority="1687" stopIfTrue="1" operator="lessThan">
      <formula>0</formula>
    </cfRule>
  </conditionalFormatting>
  <conditionalFormatting sqref="R46">
    <cfRule type="cellIs" dxfId="2122" priority="1684" stopIfTrue="1" operator="lessThan">
      <formula>0</formula>
    </cfRule>
  </conditionalFormatting>
  <conditionalFormatting sqref="R47">
    <cfRule type="cellIs" dxfId="2121" priority="1683" stopIfTrue="1" operator="lessThan">
      <formula>0</formula>
    </cfRule>
  </conditionalFormatting>
  <conditionalFormatting sqref="S46:S47">
    <cfRule type="cellIs" dxfId="2120" priority="1682" stopIfTrue="1" operator="lessThan">
      <formula>0</formula>
    </cfRule>
  </conditionalFormatting>
  <conditionalFormatting sqref="E2:L2 C8">
    <cfRule type="cellIs" dxfId="2119" priority="1667" stopIfTrue="1" operator="equal">
      <formula>0</formula>
    </cfRule>
  </conditionalFormatting>
  <conditionalFormatting sqref="O20:P20">
    <cfRule type="cellIs" dxfId="2118" priority="1666" stopIfTrue="1" operator="lessThan">
      <formula>0</formula>
    </cfRule>
  </conditionalFormatting>
  <conditionalFormatting sqref="P20">
    <cfRule type="cellIs" dxfId="2117" priority="1665" stopIfTrue="1" operator="notEqual">
      <formula>0</formula>
    </cfRule>
  </conditionalFormatting>
  <conditionalFormatting sqref="O20">
    <cfRule type="cellIs" dxfId="2116" priority="1664" stopIfTrue="1" operator="notEqual">
      <formula>"O K"</formula>
    </cfRule>
  </conditionalFormatting>
  <conditionalFormatting sqref="R20:S20">
    <cfRule type="cellIs" dxfId="2115" priority="1663" stopIfTrue="1" operator="lessThan">
      <formula>0</formula>
    </cfRule>
  </conditionalFormatting>
  <conditionalFormatting sqref="S20">
    <cfRule type="cellIs" dxfId="2114" priority="1662" stopIfTrue="1" operator="notEqual">
      <formula>0</formula>
    </cfRule>
  </conditionalFormatting>
  <conditionalFormatting sqref="R20">
    <cfRule type="cellIs" dxfId="2113" priority="1661" stopIfTrue="1" operator="notEqual">
      <formula>"O K"</formula>
    </cfRule>
  </conditionalFormatting>
  <conditionalFormatting sqref="P28">
    <cfRule type="cellIs" dxfId="2112" priority="1660" stopIfTrue="1" operator="lessThan">
      <formula>0</formula>
    </cfRule>
  </conditionalFormatting>
  <conditionalFormatting sqref="P28">
    <cfRule type="cellIs" dxfId="2111" priority="1659" stopIfTrue="1" operator="notEqual">
      <formula>"O K"</formula>
    </cfRule>
  </conditionalFormatting>
  <conditionalFormatting sqref="O28">
    <cfRule type="cellIs" dxfId="2110" priority="1658" stopIfTrue="1" operator="lessThan">
      <formula>0</formula>
    </cfRule>
  </conditionalFormatting>
  <conditionalFormatting sqref="O28">
    <cfRule type="cellIs" dxfId="2109" priority="1657" stopIfTrue="1" operator="notEqual">
      <formula>0</formula>
    </cfRule>
  </conditionalFormatting>
  <conditionalFormatting sqref="S28">
    <cfRule type="cellIs" dxfId="2108" priority="1656" stopIfTrue="1" operator="lessThan">
      <formula>0</formula>
    </cfRule>
  </conditionalFormatting>
  <conditionalFormatting sqref="S28">
    <cfRule type="cellIs" dxfId="2107" priority="1655" stopIfTrue="1" operator="notEqual">
      <formula>"O K"</formula>
    </cfRule>
  </conditionalFormatting>
  <conditionalFormatting sqref="R28">
    <cfRule type="cellIs" dxfId="2106" priority="1654" stopIfTrue="1" operator="lessThan">
      <formula>0</formula>
    </cfRule>
  </conditionalFormatting>
  <conditionalFormatting sqref="R28">
    <cfRule type="cellIs" dxfId="2105" priority="1653" stopIfTrue="1" operator="notEqual">
      <formula>0</formula>
    </cfRule>
  </conditionalFormatting>
  <conditionalFormatting sqref="P34">
    <cfRule type="cellIs" dxfId="2104" priority="1650" stopIfTrue="1" operator="lessThan">
      <formula>0</formula>
    </cfRule>
  </conditionalFormatting>
  <conditionalFormatting sqref="O34">
    <cfRule type="cellIs" dxfId="2103" priority="1652" stopIfTrue="1" operator="lessThan">
      <formula>0</formula>
    </cfRule>
  </conditionalFormatting>
  <conditionalFormatting sqref="O34">
    <cfRule type="cellIs" dxfId="2102" priority="1651" stopIfTrue="1" operator="notEqual">
      <formula>0</formula>
    </cfRule>
  </conditionalFormatting>
  <conditionalFormatting sqref="P34">
    <cfRule type="cellIs" dxfId="2101" priority="1649" stopIfTrue="1" operator="notEqual">
      <formula>"O K"</formula>
    </cfRule>
  </conditionalFormatting>
  <conditionalFormatting sqref="S34">
    <cfRule type="cellIs" dxfId="2100" priority="1646" stopIfTrue="1" operator="lessThan">
      <formula>0</formula>
    </cfRule>
  </conditionalFormatting>
  <conditionalFormatting sqref="R34">
    <cfRule type="cellIs" dxfId="2099" priority="1648" stopIfTrue="1" operator="lessThan">
      <formula>0</formula>
    </cfRule>
  </conditionalFormatting>
  <conditionalFormatting sqref="R34">
    <cfRule type="cellIs" dxfId="2098" priority="1647" stopIfTrue="1" operator="notEqual">
      <formula>0</formula>
    </cfRule>
  </conditionalFormatting>
  <conditionalFormatting sqref="S34">
    <cfRule type="cellIs" dxfId="2097" priority="1645" stopIfTrue="1" operator="notEqual">
      <formula>"O K"</formula>
    </cfRule>
  </conditionalFormatting>
  <conditionalFormatting sqref="P40">
    <cfRule type="cellIs" dxfId="2096" priority="1642" stopIfTrue="1" operator="lessThan">
      <formula>0</formula>
    </cfRule>
  </conditionalFormatting>
  <conditionalFormatting sqref="O40">
    <cfRule type="cellIs" dxfId="2095" priority="1644" stopIfTrue="1" operator="lessThan">
      <formula>0</formula>
    </cfRule>
  </conditionalFormatting>
  <conditionalFormatting sqref="O40">
    <cfRule type="cellIs" dxfId="2094" priority="1643" stopIfTrue="1" operator="notEqual">
      <formula>"O K"</formula>
    </cfRule>
  </conditionalFormatting>
  <conditionalFormatting sqref="P40">
    <cfRule type="cellIs" dxfId="2093" priority="1641" stopIfTrue="1" operator="notEqual">
      <formula>0</formula>
    </cfRule>
  </conditionalFormatting>
  <conditionalFormatting sqref="S40">
    <cfRule type="cellIs" dxfId="2092" priority="1638" stopIfTrue="1" operator="lessThan">
      <formula>0</formula>
    </cfRule>
  </conditionalFormatting>
  <conditionalFormatting sqref="R40">
    <cfRule type="cellIs" dxfId="2091" priority="1640" stopIfTrue="1" operator="lessThan">
      <formula>0</formula>
    </cfRule>
  </conditionalFormatting>
  <conditionalFormatting sqref="R40">
    <cfRule type="cellIs" dxfId="2090" priority="1639" stopIfTrue="1" operator="notEqual">
      <formula>"O K"</formula>
    </cfRule>
  </conditionalFormatting>
  <conditionalFormatting sqref="S40">
    <cfRule type="cellIs" dxfId="2089" priority="1637" stopIfTrue="1" operator="notEqual">
      <formula>0</formula>
    </cfRule>
  </conditionalFormatting>
  <conditionalFormatting sqref="P52">
    <cfRule type="cellIs" dxfId="2088" priority="1634" stopIfTrue="1" operator="lessThan">
      <formula>0</formula>
    </cfRule>
  </conditionalFormatting>
  <conditionalFormatting sqref="O52">
    <cfRule type="cellIs" dxfId="2087" priority="1636" stopIfTrue="1" operator="lessThan">
      <formula>0</formula>
    </cfRule>
  </conditionalFormatting>
  <conditionalFormatting sqref="O52">
    <cfRule type="cellIs" dxfId="2086" priority="1635" stopIfTrue="1" operator="notEqual">
      <formula>0</formula>
    </cfRule>
  </conditionalFormatting>
  <conditionalFormatting sqref="P52">
    <cfRule type="cellIs" dxfId="2085" priority="1633" stopIfTrue="1" operator="notEqual">
      <formula>"O K"</formula>
    </cfRule>
  </conditionalFormatting>
  <conditionalFormatting sqref="S52">
    <cfRule type="cellIs" dxfId="2084" priority="1630" stopIfTrue="1" operator="lessThan">
      <formula>0</formula>
    </cfRule>
  </conditionalFormatting>
  <conditionalFormatting sqref="R52">
    <cfRule type="cellIs" dxfId="2083" priority="1632" stopIfTrue="1" operator="lessThan">
      <formula>0</formula>
    </cfRule>
  </conditionalFormatting>
  <conditionalFormatting sqref="R52">
    <cfRule type="cellIs" dxfId="2082" priority="1631" stopIfTrue="1" operator="notEqual">
      <formula>0</formula>
    </cfRule>
  </conditionalFormatting>
  <conditionalFormatting sqref="S52">
    <cfRule type="cellIs" dxfId="2081" priority="1629" stopIfTrue="1" operator="notEqual">
      <formula>"O K"</formula>
    </cfRule>
  </conditionalFormatting>
  <conditionalFormatting sqref="P50">
    <cfRule type="cellIs" dxfId="2080" priority="1628" stopIfTrue="1" operator="lessThan">
      <formula>0</formula>
    </cfRule>
  </conditionalFormatting>
  <conditionalFormatting sqref="P50">
    <cfRule type="cellIs" dxfId="2079" priority="1627" stopIfTrue="1" operator="notEqual">
      <formula>0</formula>
    </cfRule>
  </conditionalFormatting>
  <conditionalFormatting sqref="P51">
    <cfRule type="cellIs" dxfId="2078" priority="1626" stopIfTrue="1" operator="lessThan">
      <formula>0</formula>
    </cfRule>
  </conditionalFormatting>
  <conditionalFormatting sqref="P51">
    <cfRule type="cellIs" dxfId="2077" priority="1625" stopIfTrue="1" operator="notEqual">
      <formula>0</formula>
    </cfRule>
  </conditionalFormatting>
  <conditionalFormatting sqref="S50">
    <cfRule type="cellIs" dxfId="2076" priority="1624" stopIfTrue="1" operator="lessThan">
      <formula>0</formula>
    </cfRule>
  </conditionalFormatting>
  <conditionalFormatting sqref="S50">
    <cfRule type="cellIs" dxfId="2075" priority="1623" stopIfTrue="1" operator="notEqual">
      <formula>0</formula>
    </cfRule>
  </conditionalFormatting>
  <conditionalFormatting sqref="S51">
    <cfRule type="cellIs" dxfId="2074" priority="1622" stopIfTrue="1" operator="lessThan">
      <formula>0</formula>
    </cfRule>
  </conditionalFormatting>
  <conditionalFormatting sqref="S51">
    <cfRule type="cellIs" dxfId="2073" priority="1621" stopIfTrue="1" operator="notEqual">
      <formula>0</formula>
    </cfRule>
  </conditionalFormatting>
  <conditionalFormatting sqref="P64">
    <cfRule type="cellIs" dxfId="2072" priority="1618" stopIfTrue="1" operator="lessThan">
      <formula>0</formula>
    </cfRule>
  </conditionalFormatting>
  <conditionalFormatting sqref="O64">
    <cfRule type="cellIs" dxfId="2071" priority="1620" stopIfTrue="1" operator="lessThan">
      <formula>0</formula>
    </cfRule>
  </conditionalFormatting>
  <conditionalFormatting sqref="O64">
    <cfRule type="cellIs" dxfId="2070" priority="1619" stopIfTrue="1" operator="notEqual">
      <formula>"O K"</formula>
    </cfRule>
  </conditionalFormatting>
  <conditionalFormatting sqref="P64">
    <cfRule type="cellIs" dxfId="2069" priority="1617" stopIfTrue="1" operator="notEqual">
      <formula>0</formula>
    </cfRule>
  </conditionalFormatting>
  <conditionalFormatting sqref="S64">
    <cfRule type="cellIs" dxfId="2068" priority="1614" stopIfTrue="1" operator="lessThan">
      <formula>0</formula>
    </cfRule>
  </conditionalFormatting>
  <conditionalFormatting sqref="R64">
    <cfRule type="cellIs" dxfId="2067" priority="1616" stopIfTrue="1" operator="lessThan">
      <formula>0</formula>
    </cfRule>
  </conditionalFormatting>
  <conditionalFormatting sqref="R64">
    <cfRule type="cellIs" dxfId="2066" priority="1615" stopIfTrue="1" operator="notEqual">
      <formula>"O K"</formula>
    </cfRule>
  </conditionalFormatting>
  <conditionalFormatting sqref="S64">
    <cfRule type="cellIs" dxfId="2065" priority="1613" stopIfTrue="1" operator="notEqual">
      <formula>0</formula>
    </cfRule>
  </conditionalFormatting>
  <conditionalFormatting sqref="Q67">
    <cfRule type="cellIs" dxfId="2064" priority="1603" stopIfTrue="1" operator="lessThan">
      <formula>0</formula>
    </cfRule>
  </conditionalFormatting>
  <conditionalFormatting sqref="P67">
    <cfRule type="cellIs" dxfId="2063" priority="1600" stopIfTrue="1" operator="lessThan">
      <formula>0</formula>
    </cfRule>
  </conditionalFormatting>
  <conditionalFormatting sqref="O67">
    <cfRule type="cellIs" dxfId="2062" priority="1602" stopIfTrue="1" operator="lessThan">
      <formula>0</formula>
    </cfRule>
  </conditionalFormatting>
  <conditionalFormatting sqref="O67">
    <cfRule type="cellIs" dxfId="2061" priority="1601" stopIfTrue="1" operator="notEqual">
      <formula>"O K"</formula>
    </cfRule>
  </conditionalFormatting>
  <conditionalFormatting sqref="P67">
    <cfRule type="cellIs" dxfId="2060" priority="1599" stopIfTrue="1" operator="notEqual">
      <formula>0</formula>
    </cfRule>
  </conditionalFormatting>
  <conditionalFormatting sqref="S67">
    <cfRule type="cellIs" dxfId="2059" priority="1596" stopIfTrue="1" operator="lessThan">
      <formula>0</formula>
    </cfRule>
  </conditionalFormatting>
  <conditionalFormatting sqref="R67">
    <cfRule type="cellIs" dxfId="2058" priority="1598" stopIfTrue="1" operator="lessThan">
      <formula>0</formula>
    </cfRule>
  </conditionalFormatting>
  <conditionalFormatting sqref="R67">
    <cfRule type="cellIs" dxfId="2057" priority="1597" stopIfTrue="1" operator="notEqual">
      <formula>"O K"</formula>
    </cfRule>
  </conditionalFormatting>
  <conditionalFormatting sqref="S67">
    <cfRule type="cellIs" dxfId="2056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5" priority="1594" stopIfTrue="1" operator="lessThan">
      <formula>0</formula>
    </cfRule>
  </conditionalFormatting>
  <conditionalFormatting sqref="S146:S147">
    <cfRule type="cellIs" dxfId="2054" priority="1526" stopIfTrue="1" operator="lessThan">
      <formula>0</formula>
    </cfRule>
  </conditionalFormatting>
  <conditionalFormatting sqref="S147">
    <cfRule type="cellIs" dxfId="2053" priority="1523" stopIfTrue="1" operator="lessThan">
      <formula>0</formula>
    </cfRule>
  </conditionalFormatting>
  <conditionalFormatting sqref="O122:O123 R122:R123">
    <cfRule type="cellIs" dxfId="2052" priority="1531" stopIfTrue="1" operator="lessThan">
      <formula>0</formula>
    </cfRule>
  </conditionalFormatting>
  <conditionalFormatting sqref="S129:S130">
    <cfRule type="cellIs" dxfId="2051" priority="1527" stopIfTrue="1" operator="lessThan">
      <formula>0</formula>
    </cfRule>
  </conditionalFormatting>
  <conditionalFormatting sqref="R150:S150 O150:P150">
    <cfRule type="cellIs" dxfId="2050" priority="1521" stopIfTrue="1" operator="lessThan">
      <formula>0</formula>
    </cfRule>
  </conditionalFormatting>
  <conditionalFormatting sqref="O160:P160 R160:S160">
    <cfRule type="cellIs" dxfId="2049" priority="1520" stopIfTrue="1" operator="lessThan">
      <formula>0</formula>
    </cfRule>
  </conditionalFormatting>
  <conditionalFormatting sqref="O161:P161 R161:S161">
    <cfRule type="cellIs" dxfId="2048" priority="1460" stopIfTrue="1" operator="lessThan">
      <formula>0</formula>
    </cfRule>
  </conditionalFormatting>
  <conditionalFormatting sqref="S146">
    <cfRule type="cellIs" dxfId="2047" priority="1464" stopIfTrue="1" operator="lessThan">
      <formula>0</formula>
    </cfRule>
  </conditionalFormatting>
  <conditionalFormatting sqref="S129">
    <cfRule type="cellIs" dxfId="2046" priority="1466" stopIfTrue="1" operator="lessThan">
      <formula>0</formula>
    </cfRule>
  </conditionalFormatting>
  <conditionalFormatting sqref="R151:S151 O151:P151">
    <cfRule type="cellIs" dxfId="2045" priority="1461" stopIfTrue="1" operator="lessThan">
      <formula>0</formula>
    </cfRule>
  </conditionalFormatting>
  <conditionalFormatting sqref="S148">
    <cfRule type="cellIs" dxfId="2044" priority="1463" stopIfTrue="1" operator="lessThan">
      <formula>0</formula>
    </cfRule>
  </conditionalFormatting>
  <conditionalFormatting sqref="D4">
    <cfRule type="cellIs" dxfId="2043" priority="1411" stopIfTrue="1" operator="between">
      <formula>1000000000000</formula>
      <formula>9999999999999990</formula>
    </cfRule>
    <cfRule type="cellIs" dxfId="2042" priority="1412" stopIfTrue="1" operator="between">
      <formula>1000000000</formula>
      <formula>999999999999</formula>
    </cfRule>
    <cfRule type="cellIs" dxfId="2041" priority="1413" stopIfTrue="1" operator="between">
      <formula>10000</formula>
      <formula>99999999</formula>
    </cfRule>
    <cfRule type="cellIs" dxfId="2040" priority="1414" stopIfTrue="1" operator="between">
      <formula>10</formula>
      <formula>9999</formula>
    </cfRule>
  </conditionalFormatting>
  <conditionalFormatting sqref="D4">
    <cfRule type="cellIs" dxfId="2039" priority="1410" operator="equal">
      <formula>0</formula>
    </cfRule>
  </conditionalFormatting>
  <conditionalFormatting sqref="A3:C5">
    <cfRule type="cellIs" dxfId="2038" priority="1409" operator="equal">
      <formula>"Код на общински разпоредител с бюджет"</formula>
    </cfRule>
  </conditionalFormatting>
  <conditionalFormatting sqref="O73:P73">
    <cfRule type="cellIs" dxfId="2037" priority="1408" stopIfTrue="1" operator="lessThan">
      <formula>0</formula>
    </cfRule>
  </conditionalFormatting>
  <conditionalFormatting sqref="R74">
    <cfRule type="cellIs" dxfId="2036" priority="1404" stopIfTrue="1" operator="equal">
      <formula>"2002 г. крайно ДТ с-до"</formula>
    </cfRule>
  </conditionalFormatting>
  <conditionalFormatting sqref="R73:S73">
    <cfRule type="cellIs" dxfId="2035" priority="1405" stopIfTrue="1" operator="lessThan">
      <formula>0</formula>
    </cfRule>
  </conditionalFormatting>
  <conditionalFormatting sqref="O74">
    <cfRule type="cellIs" dxfId="2034" priority="1407" stopIfTrue="1" operator="equal">
      <formula>"2002 г. крайно ДТ с-до"</formula>
    </cfRule>
  </conditionalFormatting>
  <conditionalFormatting sqref="N74">
    <cfRule type="cellIs" dxfId="2033" priority="1406" stopIfTrue="1" operator="lessThan">
      <formula>0</formula>
    </cfRule>
  </conditionalFormatting>
  <conditionalFormatting sqref="V100">
    <cfRule type="cellIs" dxfId="2032" priority="1307" stopIfTrue="1" operator="equal">
      <formula>"2002 г. крайно ДТ с-до"</formula>
    </cfRule>
  </conditionalFormatting>
  <conditionalFormatting sqref="N75">
    <cfRule type="cellIs" dxfId="2031" priority="1402" stopIfTrue="1" operator="lessThan">
      <formula>0</formula>
    </cfRule>
  </conditionalFormatting>
  <conditionalFormatting sqref="U107">
    <cfRule type="cellIs" dxfId="2030" priority="1302" stopIfTrue="1" operator="equal">
      <formula>"2002 г. крайно ДТ с-до"</formula>
    </cfRule>
  </conditionalFormatting>
  <conditionalFormatting sqref="P75">
    <cfRule type="cellIs" dxfId="2029" priority="1400" stopIfTrue="1" operator="equal">
      <formula>"2002 г. крайно ДТ с-до"</formula>
    </cfRule>
  </conditionalFormatting>
  <conditionalFormatting sqref="G4:L4">
    <cfRule type="cellIs" dxfId="2028" priority="1399" operator="equal">
      <formula>0</formula>
    </cfRule>
  </conditionalFormatting>
  <conditionalFormatting sqref="U76:V76">
    <cfRule type="cellIs" dxfId="2027" priority="1397" stopIfTrue="1" operator="lessThan">
      <formula>0</formula>
    </cfRule>
  </conditionalFormatting>
  <conditionalFormatting sqref="U68">
    <cfRule type="cellIs" dxfId="2026" priority="1398" stopIfTrue="1" operator="equal">
      <formula>"2002 г. крайно ДТ с-до"</formula>
    </cfRule>
  </conditionalFormatting>
  <conditionalFormatting sqref="U69">
    <cfRule type="cellIs" dxfId="2025" priority="1396" stopIfTrue="1" operator="equal">
      <formula>"2002 г. крайно ДТ с-до"</formula>
    </cfRule>
  </conditionalFormatting>
  <conditionalFormatting sqref="U79:V79">
    <cfRule type="cellIs" dxfId="2024" priority="1395" stopIfTrue="1" operator="lessThan">
      <formula>0</formula>
    </cfRule>
  </conditionalFormatting>
  <conditionalFormatting sqref="V80">
    <cfRule type="cellIs" dxfId="2023" priority="1394" stopIfTrue="1" operator="equal">
      <formula>"2002 г. крайно ДТ с-до"</formula>
    </cfRule>
  </conditionalFormatting>
  <conditionalFormatting sqref="U80">
    <cfRule type="cellIs" dxfId="2022" priority="1393" stopIfTrue="1" operator="lessThan">
      <formula>0</formula>
    </cfRule>
  </conditionalFormatting>
  <conditionalFormatting sqref="U73:V73">
    <cfRule type="cellIs" dxfId="2021" priority="1392" stopIfTrue="1" operator="lessThan">
      <formula>0</formula>
    </cfRule>
  </conditionalFormatting>
  <conditionalFormatting sqref="U71">
    <cfRule type="cellIs" dxfId="2020" priority="1391" stopIfTrue="1" operator="equal">
      <formula>"2002 г. крайно ДТ с-до"</formula>
    </cfRule>
  </conditionalFormatting>
  <conditionalFormatting sqref="U72">
    <cfRule type="cellIs" dxfId="2019" priority="1390" stopIfTrue="1" operator="equal">
      <formula>"2002 г. крайно ДТ с-до"</formula>
    </cfRule>
  </conditionalFormatting>
  <conditionalFormatting sqref="U74">
    <cfRule type="cellIs" dxfId="2018" priority="1389" stopIfTrue="1" operator="equal">
      <formula>"2002 г. крайно ДТ с-до"</formula>
    </cfRule>
  </conditionalFormatting>
  <conditionalFormatting sqref="U75">
    <cfRule type="cellIs" dxfId="2017" priority="1388" stopIfTrue="1" operator="equal">
      <formula>"2002 г. крайно ДТ с-до"</formula>
    </cfRule>
  </conditionalFormatting>
  <conditionalFormatting sqref="U77">
    <cfRule type="cellIs" dxfId="2016" priority="1387" stopIfTrue="1" operator="equal">
      <formula>"2002 г. крайно ДТ с-до"</formula>
    </cfRule>
  </conditionalFormatting>
  <conditionalFormatting sqref="U78">
    <cfRule type="cellIs" dxfId="2015" priority="1386" stopIfTrue="1" operator="equal">
      <formula>"2002 г. крайно ДТ с-до"</formula>
    </cfRule>
  </conditionalFormatting>
  <conditionalFormatting sqref="U82">
    <cfRule type="cellIs" dxfId="2014" priority="1385" stopIfTrue="1" operator="equal">
      <formula>"2002 г. крайно ДТ с-до"</formula>
    </cfRule>
  </conditionalFormatting>
  <conditionalFormatting sqref="U83">
    <cfRule type="cellIs" dxfId="2013" priority="1384" stopIfTrue="1" operator="equal">
      <formula>"2002 г. крайно ДТ с-до"</formula>
    </cfRule>
  </conditionalFormatting>
  <conditionalFormatting sqref="U85">
    <cfRule type="cellIs" dxfId="2012" priority="1383" stopIfTrue="1" operator="equal">
      <formula>"2002 г. крайно ДТ с-до"</formula>
    </cfRule>
  </conditionalFormatting>
  <conditionalFormatting sqref="U86">
    <cfRule type="cellIs" dxfId="2011" priority="1382" stopIfTrue="1" operator="equal">
      <formula>"2002 г. крайно ДТ с-до"</formula>
    </cfRule>
  </conditionalFormatting>
  <conditionalFormatting sqref="U88">
    <cfRule type="cellIs" dxfId="2010" priority="1381" stopIfTrue="1" operator="equal">
      <formula>"2002 г. крайно ДТ с-до"</formula>
    </cfRule>
  </conditionalFormatting>
  <conditionalFormatting sqref="U89">
    <cfRule type="cellIs" dxfId="2009" priority="1380" stopIfTrue="1" operator="equal">
      <formula>"2002 г. крайно ДТ с-до"</formula>
    </cfRule>
  </conditionalFormatting>
  <conditionalFormatting sqref="V91">
    <cfRule type="cellIs" dxfId="2008" priority="1379" stopIfTrue="1" operator="equal">
      <formula>"2002 г. крайно ДТ с-до"</formula>
    </cfRule>
  </conditionalFormatting>
  <conditionalFormatting sqref="U91">
    <cfRule type="cellIs" dxfId="2007" priority="1378" stopIfTrue="1" operator="lessThan">
      <formula>0</formula>
    </cfRule>
  </conditionalFormatting>
  <conditionalFormatting sqref="V103">
    <cfRule type="cellIs" dxfId="2006" priority="1376" stopIfTrue="1" operator="lessThan">
      <formula>0</formula>
    </cfRule>
  </conditionalFormatting>
  <conditionalFormatting sqref="V106">
    <cfRule type="cellIs" dxfId="2005" priority="1374" stopIfTrue="1" operator="lessThan">
      <formula>0</formula>
    </cfRule>
  </conditionalFormatting>
  <conditionalFormatting sqref="U107">
    <cfRule type="cellIs" dxfId="2004" priority="1372" stopIfTrue="1" operator="lessThan">
      <formula>0</formula>
    </cfRule>
  </conditionalFormatting>
  <conditionalFormatting sqref="V100">
    <cfRule type="cellIs" dxfId="2003" priority="1371" stopIfTrue="1" operator="lessThan">
      <formula>0</formula>
    </cfRule>
  </conditionalFormatting>
  <conditionalFormatting sqref="U98">
    <cfRule type="cellIs" dxfId="2002" priority="1370" stopIfTrue="1" operator="equal">
      <formula>"2002 г. крайно ДТ с-до"</formula>
    </cfRule>
  </conditionalFormatting>
  <conditionalFormatting sqref="U99">
    <cfRule type="cellIs" dxfId="2001" priority="1369" stopIfTrue="1" operator="equal">
      <formula>"2002 г. крайно ДТ с-до"</formula>
    </cfRule>
  </conditionalFormatting>
  <conditionalFormatting sqref="U101">
    <cfRule type="cellIs" dxfId="2000" priority="1368" stopIfTrue="1" operator="equal">
      <formula>"2002 г. крайно ДТ с-до"</formula>
    </cfRule>
  </conditionalFormatting>
  <conditionalFormatting sqref="U102">
    <cfRule type="cellIs" dxfId="1999" priority="1367" stopIfTrue="1" operator="equal">
      <formula>"2002 г. крайно ДТ с-до"</formula>
    </cfRule>
  </conditionalFormatting>
  <conditionalFormatting sqref="U104">
    <cfRule type="cellIs" dxfId="1998" priority="1366" stopIfTrue="1" operator="equal">
      <formula>"2002 г. крайно ДТ с-до"</formula>
    </cfRule>
  </conditionalFormatting>
  <conditionalFormatting sqref="U105">
    <cfRule type="cellIs" dxfId="1997" priority="1365" stopIfTrue="1" operator="equal">
      <formula>"2002 г. крайно ДТ с-до"</formula>
    </cfRule>
  </conditionalFormatting>
  <conditionalFormatting sqref="U104">
    <cfRule type="cellIs" dxfId="1996" priority="1355" stopIfTrue="1" operator="lessThan">
      <formula>0</formula>
    </cfRule>
  </conditionalFormatting>
  <conditionalFormatting sqref="U107">
    <cfRule type="cellIs" dxfId="1995" priority="1353" stopIfTrue="1" operator="lessThan">
      <formula>0</formula>
    </cfRule>
  </conditionalFormatting>
  <conditionalFormatting sqref="U108">
    <cfRule type="cellIs" dxfId="1994" priority="1351" stopIfTrue="1" operator="lessThan">
      <formula>0</formula>
    </cfRule>
  </conditionalFormatting>
  <conditionalFormatting sqref="U101">
    <cfRule type="cellIs" dxfId="1993" priority="1350" stopIfTrue="1" operator="lessThan">
      <formula>0</formula>
    </cfRule>
  </conditionalFormatting>
  <conditionalFormatting sqref="U99">
    <cfRule type="cellIs" dxfId="1992" priority="1349" stopIfTrue="1" operator="equal">
      <formula>"2002 г. крайно ДТ с-до"</formula>
    </cfRule>
  </conditionalFormatting>
  <conditionalFormatting sqref="V100">
    <cfRule type="cellIs" dxfId="1991" priority="1348" stopIfTrue="1" operator="equal">
      <formula>"2002 г. крайно ДТ с-до"</formula>
    </cfRule>
  </conditionalFormatting>
  <conditionalFormatting sqref="U102">
    <cfRule type="cellIs" dxfId="1990" priority="1347" stopIfTrue="1" operator="equal">
      <formula>"2002 г. крайно ДТ с-до"</formula>
    </cfRule>
  </conditionalFormatting>
  <conditionalFormatting sqref="V103">
    <cfRule type="cellIs" dxfId="1989" priority="1346" stopIfTrue="1" operator="equal">
      <formula>"2002 г. крайно ДТ с-до"</formula>
    </cfRule>
  </conditionalFormatting>
  <conditionalFormatting sqref="U105">
    <cfRule type="cellIs" dxfId="1988" priority="1345" stopIfTrue="1" operator="equal">
      <formula>"2002 г. крайно ДТ с-до"</formula>
    </cfRule>
  </conditionalFormatting>
  <conditionalFormatting sqref="V106">
    <cfRule type="cellIs" dxfId="1987" priority="1344" stopIfTrue="1" operator="equal">
      <formula>"2002 г. крайно ДТ с-до"</formula>
    </cfRule>
  </conditionalFormatting>
  <conditionalFormatting sqref="U104">
    <cfRule type="cellIs" dxfId="1986" priority="1334" stopIfTrue="1" operator="lessThan">
      <formula>0</formula>
    </cfRule>
  </conditionalFormatting>
  <conditionalFormatting sqref="U107">
    <cfRule type="cellIs" dxfId="1985" priority="1332" stopIfTrue="1" operator="lessThan">
      <formula>0</formula>
    </cfRule>
  </conditionalFormatting>
  <conditionalFormatting sqref="U108">
    <cfRule type="cellIs" dxfId="1984" priority="1330" stopIfTrue="1" operator="lessThan">
      <formula>0</formula>
    </cfRule>
  </conditionalFormatting>
  <conditionalFormatting sqref="U101">
    <cfRule type="cellIs" dxfId="1983" priority="1329" stopIfTrue="1" operator="lessThan">
      <formula>0</formula>
    </cfRule>
  </conditionalFormatting>
  <conditionalFormatting sqref="U99">
    <cfRule type="cellIs" dxfId="1982" priority="1328" stopIfTrue="1" operator="equal">
      <formula>"2002 г. крайно ДТ с-до"</formula>
    </cfRule>
  </conditionalFormatting>
  <conditionalFormatting sqref="V100">
    <cfRule type="cellIs" dxfId="1981" priority="1327" stopIfTrue="1" operator="equal">
      <formula>"2002 г. крайно ДТ с-до"</formula>
    </cfRule>
  </conditionalFormatting>
  <conditionalFormatting sqref="U102">
    <cfRule type="cellIs" dxfId="1980" priority="1326" stopIfTrue="1" operator="equal">
      <formula>"2002 г. крайно ДТ с-до"</formula>
    </cfRule>
  </conditionalFormatting>
  <conditionalFormatting sqref="V103">
    <cfRule type="cellIs" dxfId="1979" priority="1325" stopIfTrue="1" operator="equal">
      <formula>"2002 г. крайно ДТ с-до"</formula>
    </cfRule>
  </conditionalFormatting>
  <conditionalFormatting sqref="U105">
    <cfRule type="cellIs" dxfId="1978" priority="1324" stopIfTrue="1" operator="equal">
      <formula>"2002 г. крайно ДТ с-до"</formula>
    </cfRule>
  </conditionalFormatting>
  <conditionalFormatting sqref="V106">
    <cfRule type="cellIs" dxfId="1977" priority="1323" stopIfTrue="1" operator="equal">
      <formula>"2002 г. крайно ДТ с-до"</formula>
    </cfRule>
  </conditionalFormatting>
  <conditionalFormatting sqref="U98">
    <cfRule type="cellIs" dxfId="1976" priority="1312" stopIfTrue="1" operator="equal">
      <formula>"2002 г. крайно ДТ с-до"</formula>
    </cfRule>
  </conditionalFormatting>
  <conditionalFormatting sqref="U105">
    <cfRule type="cellIs" dxfId="1975" priority="1313" stopIfTrue="1" operator="lessThan">
      <formula>0</formula>
    </cfRule>
  </conditionalFormatting>
  <conditionalFormatting sqref="U108">
    <cfRule type="cellIs" dxfId="1974" priority="1311" stopIfTrue="1" operator="lessThan">
      <formula>0</formula>
    </cfRule>
  </conditionalFormatting>
  <conditionalFormatting sqref="V109">
    <cfRule type="cellIs" dxfId="1973" priority="1310" stopIfTrue="1" operator="equal">
      <formula>"2002 г. крайно ДТ с-до"</formula>
    </cfRule>
  </conditionalFormatting>
  <conditionalFormatting sqref="R188">
    <cfRule type="cellIs" dxfId="1972" priority="1092" stopIfTrue="1" operator="lessThan">
      <formula>0</formula>
    </cfRule>
  </conditionalFormatting>
  <conditionalFormatting sqref="U102">
    <cfRule type="cellIs" dxfId="1971" priority="1308" stopIfTrue="1" operator="lessThan">
      <formula>0</formula>
    </cfRule>
  </conditionalFormatting>
  <conditionalFormatting sqref="U101">
    <cfRule type="cellIs" dxfId="1970" priority="1306" stopIfTrue="1" operator="equal">
      <formula>"2002 г. крайно ДТ с-до"</formula>
    </cfRule>
  </conditionalFormatting>
  <conditionalFormatting sqref="V103">
    <cfRule type="cellIs" dxfId="1969" priority="1305" stopIfTrue="1" operator="equal">
      <formula>"2002 г. крайно ДТ с-до"</formula>
    </cfRule>
  </conditionalFormatting>
  <conditionalFormatting sqref="U104">
    <cfRule type="cellIs" dxfId="1968" priority="1304" stopIfTrue="1" operator="equal">
      <formula>"2002 г. крайно ДТ с-до"</formula>
    </cfRule>
  </conditionalFormatting>
  <conditionalFormatting sqref="V106">
    <cfRule type="cellIs" dxfId="1967" priority="1303" stopIfTrue="1" operator="equal">
      <formula>"2002 г. крайно ДТ с-до"</formula>
    </cfRule>
  </conditionalFormatting>
  <conditionalFormatting sqref="V120">
    <cfRule type="cellIs" dxfId="1966" priority="1295" stopIfTrue="1" operator="equal">
      <formula>"2002 г. крайно ДТ с-до"</formula>
    </cfRule>
  </conditionalFormatting>
  <conditionalFormatting sqref="R185">
    <cfRule type="cellIs" dxfId="1965" priority="1077" stopIfTrue="1" operator="lessThan">
      <formula>0</formula>
    </cfRule>
  </conditionalFormatting>
  <conditionalFormatting sqref="U104">
    <cfRule type="cellIs" dxfId="1964" priority="1292" stopIfTrue="1" operator="lessThan">
      <formula>0</formula>
    </cfRule>
  </conditionalFormatting>
  <conditionalFormatting sqref="U107">
    <cfRule type="cellIs" dxfId="1963" priority="1290" stopIfTrue="1" operator="lessThan">
      <formula>0</formula>
    </cfRule>
  </conditionalFormatting>
  <conditionalFormatting sqref="U108">
    <cfRule type="cellIs" dxfId="1962" priority="1288" stopIfTrue="1" operator="lessThan">
      <formula>0</formula>
    </cfRule>
  </conditionalFormatting>
  <conditionalFormatting sqref="U101">
    <cfRule type="cellIs" dxfId="1961" priority="1287" stopIfTrue="1" operator="lessThan">
      <formula>0</formula>
    </cfRule>
  </conditionalFormatting>
  <conditionalFormatting sqref="U99">
    <cfRule type="cellIs" dxfId="1960" priority="1286" stopIfTrue="1" operator="equal">
      <formula>"2002 г. крайно ДТ с-до"</formula>
    </cfRule>
  </conditionalFormatting>
  <conditionalFormatting sqref="V100">
    <cfRule type="cellIs" dxfId="1959" priority="1285" stopIfTrue="1" operator="equal">
      <formula>"2002 г. крайно ДТ с-до"</formula>
    </cfRule>
  </conditionalFormatting>
  <conditionalFormatting sqref="U102">
    <cfRule type="cellIs" dxfId="1958" priority="1284" stopIfTrue="1" operator="equal">
      <formula>"2002 г. крайно ДТ с-до"</formula>
    </cfRule>
  </conditionalFormatting>
  <conditionalFormatting sqref="V103">
    <cfRule type="cellIs" dxfId="1957" priority="1283" stopIfTrue="1" operator="equal">
      <formula>"2002 г. крайно ДТ с-до"</formula>
    </cfRule>
  </conditionalFormatting>
  <conditionalFormatting sqref="U105">
    <cfRule type="cellIs" dxfId="1956" priority="1282" stopIfTrue="1" operator="equal">
      <formula>"2002 г. крайно ДТ с-до"</formula>
    </cfRule>
  </conditionalFormatting>
  <conditionalFormatting sqref="V106">
    <cfRule type="cellIs" dxfId="1955" priority="1281" stopIfTrue="1" operator="equal">
      <formula>"2002 г. крайно ДТ с-до"</formula>
    </cfRule>
  </conditionalFormatting>
  <conditionalFormatting sqref="U98">
    <cfRule type="cellIs" dxfId="1954" priority="1270" stopIfTrue="1" operator="equal">
      <formula>"2002 г. крайно ДТ с-до"</formula>
    </cfRule>
  </conditionalFormatting>
  <conditionalFormatting sqref="U105">
    <cfRule type="cellIs" dxfId="1953" priority="1271" stopIfTrue="1" operator="lessThan">
      <formula>0</formula>
    </cfRule>
  </conditionalFormatting>
  <conditionalFormatting sqref="U108">
    <cfRule type="cellIs" dxfId="1952" priority="1269" stopIfTrue="1" operator="lessThan">
      <formula>0</formula>
    </cfRule>
  </conditionalFormatting>
  <conditionalFormatting sqref="V109">
    <cfRule type="cellIs" dxfId="1951" priority="1268" stopIfTrue="1" operator="equal">
      <formula>"2002 г. крайно ДТ с-до"</formula>
    </cfRule>
  </conditionalFormatting>
  <conditionalFormatting sqref="R182">
    <cfRule type="cellIs" dxfId="1950" priority="1051" stopIfTrue="1" operator="lessThan">
      <formula>0</formula>
    </cfRule>
  </conditionalFormatting>
  <conditionalFormatting sqref="U102">
    <cfRule type="cellIs" dxfId="1949" priority="1266" stopIfTrue="1" operator="lessThan">
      <formula>0</formula>
    </cfRule>
  </conditionalFormatting>
  <conditionalFormatting sqref="V100">
    <cfRule type="cellIs" dxfId="1948" priority="1265" stopIfTrue="1" operator="equal">
      <formula>"2002 г. крайно ДТ с-до"</formula>
    </cfRule>
  </conditionalFormatting>
  <conditionalFormatting sqref="U101">
    <cfRule type="cellIs" dxfId="1947" priority="1264" stopIfTrue="1" operator="equal">
      <formula>"2002 г. крайно ДТ с-до"</formula>
    </cfRule>
  </conditionalFormatting>
  <conditionalFormatting sqref="V103">
    <cfRule type="cellIs" dxfId="1946" priority="1263" stopIfTrue="1" operator="equal">
      <formula>"2002 г. крайно ДТ с-до"</formula>
    </cfRule>
  </conditionalFormatting>
  <conditionalFormatting sqref="U104">
    <cfRule type="cellIs" dxfId="1945" priority="1262" stopIfTrue="1" operator="equal">
      <formula>"2002 г. крайно ДТ с-до"</formula>
    </cfRule>
  </conditionalFormatting>
  <conditionalFormatting sqref="V106">
    <cfRule type="cellIs" dxfId="1944" priority="1261" stopIfTrue="1" operator="equal">
      <formula>"2002 г. крайно ДТ с-до"</formula>
    </cfRule>
  </conditionalFormatting>
  <conditionalFormatting sqref="U107">
    <cfRule type="cellIs" dxfId="1943" priority="1260" stopIfTrue="1" operator="equal">
      <formula>"2002 г. крайно ДТ с-до"</formula>
    </cfRule>
  </conditionalFormatting>
  <conditionalFormatting sqref="V120">
    <cfRule type="cellIs" dxfId="1942" priority="1253" stopIfTrue="1" operator="equal">
      <formula>"2002 г. крайно ДТ с-до"</formula>
    </cfRule>
  </conditionalFormatting>
  <conditionalFormatting sqref="S183">
    <cfRule type="cellIs" dxfId="1941" priority="1035" stopIfTrue="1" operator="lessThan">
      <formula>0</formula>
    </cfRule>
  </conditionalFormatting>
  <conditionalFormatting sqref="U105">
    <cfRule type="cellIs" dxfId="1940" priority="1250" stopIfTrue="1" operator="lessThan">
      <formula>0</formula>
    </cfRule>
  </conditionalFormatting>
  <conditionalFormatting sqref="U98">
    <cfRule type="cellIs" dxfId="1939" priority="1249" stopIfTrue="1" operator="equal">
      <formula>"2002 г. крайно ДТ с-до"</formula>
    </cfRule>
  </conditionalFormatting>
  <conditionalFormatting sqref="U108">
    <cfRule type="cellIs" dxfId="1938" priority="1248" stopIfTrue="1" operator="lessThan">
      <formula>0</formula>
    </cfRule>
  </conditionalFormatting>
  <conditionalFormatting sqref="V109">
    <cfRule type="cellIs" dxfId="1937" priority="1247" stopIfTrue="1" operator="equal">
      <formula>"2002 г. крайно ДТ с-до"</formula>
    </cfRule>
  </conditionalFormatting>
  <conditionalFormatting sqref="P184">
    <cfRule type="cellIs" dxfId="1936" priority="1030" stopIfTrue="1" operator="lessThan">
      <formula>0</formula>
    </cfRule>
  </conditionalFormatting>
  <conditionalFormatting sqref="U102">
    <cfRule type="cellIs" dxfId="1935" priority="1245" stopIfTrue="1" operator="lessThan">
      <formula>0</formula>
    </cfRule>
  </conditionalFormatting>
  <conditionalFormatting sqref="V100">
    <cfRule type="cellIs" dxfId="1934" priority="1244" stopIfTrue="1" operator="equal">
      <formula>"2002 г. крайно ДТ с-до"</formula>
    </cfRule>
  </conditionalFormatting>
  <conditionalFormatting sqref="U101">
    <cfRule type="cellIs" dxfId="1933" priority="1243" stopIfTrue="1" operator="equal">
      <formula>"2002 г. крайно ДТ с-до"</formula>
    </cfRule>
  </conditionalFormatting>
  <conditionalFormatting sqref="V103">
    <cfRule type="cellIs" dxfId="1932" priority="1242" stopIfTrue="1" operator="equal">
      <formula>"2002 г. крайно ДТ с-до"</formula>
    </cfRule>
  </conditionalFormatting>
  <conditionalFormatting sqref="U104">
    <cfRule type="cellIs" dxfId="1931" priority="1241" stopIfTrue="1" operator="equal">
      <formula>"2002 г. крайно ДТ с-до"</formula>
    </cfRule>
  </conditionalFormatting>
  <conditionalFormatting sqref="V106">
    <cfRule type="cellIs" dxfId="1930" priority="1240" stopIfTrue="1" operator="equal">
      <formula>"2002 г. крайно ДТ с-до"</formula>
    </cfRule>
  </conditionalFormatting>
  <conditionalFormatting sqref="U107">
    <cfRule type="cellIs" dxfId="1929" priority="1239" stopIfTrue="1" operator="equal">
      <formula>"2002 г. крайно ДТ с-до"</formula>
    </cfRule>
  </conditionalFormatting>
  <conditionalFormatting sqref="V120">
    <cfRule type="cellIs" dxfId="1928" priority="1232" stopIfTrue="1" operator="equal">
      <formula>"2002 г. крайно ДТ с-до"</formula>
    </cfRule>
  </conditionalFormatting>
  <conditionalFormatting sqref="V106">
    <cfRule type="cellIs" dxfId="1927" priority="1229" stopIfTrue="1" operator="lessThan">
      <formula>0</formula>
    </cfRule>
  </conditionalFormatting>
  <conditionalFormatting sqref="U98">
    <cfRule type="cellIs" dxfId="1926" priority="1230" stopIfTrue="1" operator="equal">
      <formula>"2002 г. крайно ДТ с-до"</formula>
    </cfRule>
  </conditionalFormatting>
  <conditionalFormatting sqref="U99">
    <cfRule type="cellIs" dxfId="1925" priority="1228" stopIfTrue="1" operator="equal">
      <formula>"2002 г. крайно ДТ с-до"</formula>
    </cfRule>
  </conditionalFormatting>
  <conditionalFormatting sqref="V109">
    <cfRule type="cellIs" dxfId="1924" priority="1227" stopIfTrue="1" operator="lessThan">
      <formula>0</formula>
    </cfRule>
  </conditionalFormatting>
  <conditionalFormatting sqref="V103">
    <cfRule type="cellIs" dxfId="1923" priority="1224" stopIfTrue="1" operator="lessThan">
      <formula>0</formula>
    </cfRule>
  </conditionalFormatting>
  <conditionalFormatting sqref="U101">
    <cfRule type="cellIs" dxfId="1922" priority="1223" stopIfTrue="1" operator="equal">
      <formula>"2002 г. крайно ДТ с-до"</formula>
    </cfRule>
  </conditionalFormatting>
  <conditionalFormatting sqref="U102">
    <cfRule type="cellIs" dxfId="1921" priority="1222" stopIfTrue="1" operator="equal">
      <formula>"2002 г. крайно ДТ с-до"</formula>
    </cfRule>
  </conditionalFormatting>
  <conditionalFormatting sqref="U104">
    <cfRule type="cellIs" dxfId="1920" priority="1221" stopIfTrue="1" operator="equal">
      <formula>"2002 г. крайно ДТ с-до"</formula>
    </cfRule>
  </conditionalFormatting>
  <conditionalFormatting sqref="U105">
    <cfRule type="cellIs" dxfId="1919" priority="1220" stopIfTrue="1" operator="equal">
      <formula>"2002 г. крайно ДТ с-до"</formula>
    </cfRule>
  </conditionalFormatting>
  <conditionalFormatting sqref="U107">
    <cfRule type="cellIs" dxfId="1918" priority="1219" stopIfTrue="1" operator="equal">
      <formula>"2002 г. крайно ДТ с-до"</formula>
    </cfRule>
  </conditionalFormatting>
  <conditionalFormatting sqref="U108">
    <cfRule type="cellIs" dxfId="1917" priority="1218" stopIfTrue="1" operator="equal">
      <formula>"2002 г. крайно ДТ с-до"</formula>
    </cfRule>
  </conditionalFormatting>
  <conditionalFormatting sqref="V92">
    <cfRule type="cellIs" dxfId="1916" priority="1209" stopIfTrue="1" operator="lessThan">
      <formula>0</formula>
    </cfRule>
  </conditionalFormatting>
  <conditionalFormatting sqref="V92">
    <cfRule type="cellIs" dxfId="1915" priority="1208" stopIfTrue="1" operator="lessThan">
      <formula>0</formula>
    </cfRule>
  </conditionalFormatting>
  <conditionalFormatting sqref="V92">
    <cfRule type="cellIs" dxfId="1914" priority="1207" stopIfTrue="1" operator="notEqual">
      <formula>0</formula>
    </cfRule>
  </conditionalFormatting>
  <conditionalFormatting sqref="O175:P177 R175:S177 R185:S198 O185:P198 O201:P201 R201:S201">
    <cfRule type="cellIs" dxfId="1913" priority="1202" stopIfTrue="1" operator="lessThan">
      <formula>0</formula>
    </cfRule>
  </conditionalFormatting>
  <conditionalFormatting sqref="P176:P177 P185">
    <cfRule type="cellIs" dxfId="1912" priority="1201" stopIfTrue="1" operator="lessThan">
      <formula>0</formula>
    </cfRule>
  </conditionalFormatting>
  <conditionalFormatting sqref="P176:P177 O190:O192 R190:S192 P185:P198">
    <cfRule type="cellIs" dxfId="1911" priority="1200" stopIfTrue="1" operator="equal">
      <formula>"O K"</formula>
    </cfRule>
  </conditionalFormatting>
  <conditionalFormatting sqref="P186">
    <cfRule type="cellIs" dxfId="1910" priority="1196" stopIfTrue="1" operator="equal">
      <formula>"O K"</formula>
    </cfRule>
    <cfRule type="cellIs" dxfId="1909" priority="1199" stopIfTrue="1" operator="lessThan">
      <formula>0</formula>
    </cfRule>
  </conditionalFormatting>
  <conditionalFormatting sqref="P188">
    <cfRule type="cellIs" dxfId="1908" priority="1198" stopIfTrue="1" operator="lessThan">
      <formula>0</formula>
    </cfRule>
  </conditionalFormatting>
  <conditionalFormatting sqref="P189">
    <cfRule type="cellIs" dxfId="1907" priority="1197" stopIfTrue="1" operator="lessThan">
      <formula>0</formula>
    </cfRule>
  </conditionalFormatting>
  <conditionalFormatting sqref="O194:O198 O186:O190">
    <cfRule type="cellIs" dxfId="1906" priority="1195" stopIfTrue="1" operator="lessThan">
      <formula>0</formula>
    </cfRule>
  </conditionalFormatting>
  <conditionalFormatting sqref="O176:O177 O185">
    <cfRule type="cellIs" dxfId="1905" priority="1194" stopIfTrue="1" operator="lessThan">
      <formula>0</formula>
    </cfRule>
  </conditionalFormatting>
  <conditionalFormatting sqref="O176:O177 O194:O198 O185:O190">
    <cfRule type="cellIs" dxfId="1904" priority="1193" stopIfTrue="1" operator="equal">
      <formula>"O K"</formula>
    </cfRule>
  </conditionalFormatting>
  <conditionalFormatting sqref="O186">
    <cfRule type="cellIs" dxfId="1903" priority="1189" stopIfTrue="1" operator="equal">
      <formula>"O K"</formula>
    </cfRule>
    <cfRule type="cellIs" dxfId="1902" priority="1192" stopIfTrue="1" operator="lessThan">
      <formula>0</formula>
    </cfRule>
  </conditionalFormatting>
  <conditionalFormatting sqref="O188">
    <cfRule type="cellIs" dxfId="1901" priority="1191" stopIfTrue="1" operator="lessThan">
      <formula>0</formula>
    </cfRule>
  </conditionalFormatting>
  <conditionalFormatting sqref="O189:O190 O194:O198">
    <cfRule type="cellIs" dxfId="1900" priority="1190" stopIfTrue="1" operator="lessThan">
      <formula>0</formula>
    </cfRule>
  </conditionalFormatting>
  <conditionalFormatting sqref="S188:S190 S193:S196">
    <cfRule type="cellIs" dxfId="1899" priority="1188" stopIfTrue="1" operator="lessThan">
      <formula>0</formula>
    </cfRule>
  </conditionalFormatting>
  <conditionalFormatting sqref="S176:S177 S185">
    <cfRule type="cellIs" dxfId="1898" priority="1187" stopIfTrue="1" operator="lessThan">
      <formula>0</formula>
    </cfRule>
  </conditionalFormatting>
  <conditionalFormatting sqref="S176:S177 S188:S190 S193:S196 S185:S186">
    <cfRule type="cellIs" dxfId="1897" priority="1186" stopIfTrue="1" operator="equal">
      <formula>"O K"</formula>
    </cfRule>
  </conditionalFormatting>
  <conditionalFormatting sqref="S188">
    <cfRule type="cellIs" dxfId="1896" priority="1185" stopIfTrue="1" operator="lessThan">
      <formula>0</formula>
    </cfRule>
  </conditionalFormatting>
  <conditionalFormatting sqref="S189 S193 S195">
    <cfRule type="cellIs" dxfId="1895" priority="1184" stopIfTrue="1" operator="lessThan">
      <formula>0</formula>
    </cfRule>
  </conditionalFormatting>
  <conditionalFormatting sqref="R188:R190 R194:R198">
    <cfRule type="cellIs" dxfId="1894" priority="1183" stopIfTrue="1" operator="lessThan">
      <formula>0</formula>
    </cfRule>
  </conditionalFormatting>
  <conditionalFormatting sqref="R176:R177 R185">
    <cfRule type="cellIs" dxfId="1893" priority="1182" stopIfTrue="1" operator="lessThan">
      <formula>0</formula>
    </cfRule>
  </conditionalFormatting>
  <conditionalFormatting sqref="R176:R177 R188:R190 R194:R198 R185:R186">
    <cfRule type="cellIs" dxfId="1892" priority="1181" stopIfTrue="1" operator="equal">
      <formula>"O K"</formula>
    </cfRule>
  </conditionalFormatting>
  <conditionalFormatting sqref="R188">
    <cfRule type="cellIs" dxfId="1891" priority="1180" stopIfTrue="1" operator="lessThan">
      <formula>0</formula>
    </cfRule>
  </conditionalFormatting>
  <conditionalFormatting sqref="R189:R190 R194:R198">
    <cfRule type="cellIs" dxfId="1890" priority="1179" stopIfTrue="1" operator="lessThan">
      <formula>0</formula>
    </cfRule>
  </conditionalFormatting>
  <conditionalFormatting sqref="S186">
    <cfRule type="cellIs" dxfId="1889" priority="1178" stopIfTrue="1" operator="lessThan">
      <formula>0</formula>
    </cfRule>
  </conditionalFormatting>
  <conditionalFormatting sqref="S186">
    <cfRule type="cellIs" dxfId="1888" priority="1177" stopIfTrue="1" operator="equal">
      <formula>"O K"</formula>
    </cfRule>
  </conditionalFormatting>
  <conditionalFormatting sqref="S186">
    <cfRule type="cellIs" dxfId="1887" priority="1175" stopIfTrue="1" operator="equal">
      <formula>"O K"</formula>
    </cfRule>
    <cfRule type="cellIs" dxfId="1886" priority="1176" stopIfTrue="1" operator="lessThan">
      <formula>0</formula>
    </cfRule>
  </conditionalFormatting>
  <conditionalFormatting sqref="R186">
    <cfRule type="cellIs" dxfId="1885" priority="1174" stopIfTrue="1" operator="lessThan">
      <formula>0</formula>
    </cfRule>
  </conditionalFormatting>
  <conditionalFormatting sqref="R186">
    <cfRule type="cellIs" dxfId="1884" priority="1173" stopIfTrue="1" operator="equal">
      <formula>"O K"</formula>
    </cfRule>
  </conditionalFormatting>
  <conditionalFormatting sqref="R186">
    <cfRule type="cellIs" dxfId="1883" priority="1171" stopIfTrue="1" operator="equal">
      <formula>"O K"</formula>
    </cfRule>
    <cfRule type="cellIs" dxfId="1882" priority="1172" stopIfTrue="1" operator="lessThan">
      <formula>0</formula>
    </cfRule>
  </conditionalFormatting>
  <conditionalFormatting sqref="O195 O193">
    <cfRule type="cellIs" dxfId="1881" priority="1170" stopIfTrue="1" operator="lessThan">
      <formula>0</formula>
    </cfRule>
  </conditionalFormatting>
  <conditionalFormatting sqref="S194:S198">
    <cfRule type="cellIs" dxfId="1880" priority="1169" stopIfTrue="1" operator="lessThan">
      <formula>0</formula>
    </cfRule>
  </conditionalFormatting>
  <conditionalFormatting sqref="R195 R193">
    <cfRule type="cellIs" dxfId="1879" priority="1168" stopIfTrue="1" operator="lessThan">
      <formula>0</formula>
    </cfRule>
  </conditionalFormatting>
  <conditionalFormatting sqref="P187">
    <cfRule type="cellIs" dxfId="1878" priority="1167" stopIfTrue="1" operator="lessThan">
      <formula>0</formula>
    </cfRule>
  </conditionalFormatting>
  <conditionalFormatting sqref="P187">
    <cfRule type="cellIs" dxfId="1877" priority="1166" stopIfTrue="1" operator="equal">
      <formula>"O K"</formula>
    </cfRule>
  </conditionalFormatting>
  <conditionalFormatting sqref="P187">
    <cfRule type="cellIs" dxfId="1876" priority="1165" stopIfTrue="1" operator="lessThan">
      <formula>0</formula>
    </cfRule>
  </conditionalFormatting>
  <conditionalFormatting sqref="O187">
    <cfRule type="cellIs" dxfId="1875" priority="1164" stopIfTrue="1" operator="lessThan">
      <formula>0</formula>
    </cfRule>
  </conditionalFormatting>
  <conditionalFormatting sqref="O187">
    <cfRule type="cellIs" dxfId="1874" priority="1163" stopIfTrue="1" operator="equal">
      <formula>"O K"</formula>
    </cfRule>
  </conditionalFormatting>
  <conditionalFormatting sqref="O187">
    <cfRule type="cellIs" dxfId="1873" priority="1162" stopIfTrue="1" operator="lessThan">
      <formula>0</formula>
    </cfRule>
  </conditionalFormatting>
  <conditionalFormatting sqref="S187">
    <cfRule type="cellIs" dxfId="1872" priority="1161" stopIfTrue="1" operator="lessThan">
      <formula>0</formula>
    </cfRule>
  </conditionalFormatting>
  <conditionalFormatting sqref="S187">
    <cfRule type="cellIs" dxfId="1871" priority="1160" stopIfTrue="1" operator="equal">
      <formula>"O K"</formula>
    </cfRule>
  </conditionalFormatting>
  <conditionalFormatting sqref="S187">
    <cfRule type="cellIs" dxfId="1870" priority="1159" stopIfTrue="1" operator="lessThan">
      <formula>0</formula>
    </cfRule>
  </conditionalFormatting>
  <conditionalFormatting sqref="R187">
    <cfRule type="cellIs" dxfId="1869" priority="1158" stopIfTrue="1" operator="lessThan">
      <formula>0</formula>
    </cfRule>
  </conditionalFormatting>
  <conditionalFormatting sqref="R187">
    <cfRule type="cellIs" dxfId="1868" priority="1157" stopIfTrue="1" operator="equal">
      <formula>"O K"</formula>
    </cfRule>
  </conditionalFormatting>
  <conditionalFormatting sqref="R187">
    <cfRule type="cellIs" dxfId="1867" priority="1156" stopIfTrue="1" operator="lessThan">
      <formula>0</formula>
    </cfRule>
  </conditionalFormatting>
  <conditionalFormatting sqref="P190">
    <cfRule type="cellIs" dxfId="1866" priority="1124" stopIfTrue="1" operator="lessThan">
      <formula>0</formula>
    </cfRule>
  </conditionalFormatting>
  <conditionalFormatting sqref="P178:P179">
    <cfRule type="cellIs" dxfId="1865" priority="1147" stopIfTrue="1" operator="lessThan">
      <formula>0</formula>
    </cfRule>
  </conditionalFormatting>
  <conditionalFormatting sqref="R178:R179">
    <cfRule type="cellIs" dxfId="1864" priority="1141" stopIfTrue="1" operator="lessThan">
      <formula>0</formula>
    </cfRule>
  </conditionalFormatting>
  <conditionalFormatting sqref="O186">
    <cfRule type="cellIs" dxfId="1863" priority="1122" stopIfTrue="1" operator="lessThan">
      <formula>0</formula>
    </cfRule>
  </conditionalFormatting>
  <conditionalFormatting sqref="P189">
    <cfRule type="cellIs" dxfId="1862" priority="1125" stopIfTrue="1" operator="lessThan">
      <formula>0</formula>
    </cfRule>
  </conditionalFormatting>
  <conditionalFormatting sqref="R192:S192 O192:P192">
    <cfRule type="cellIs" dxfId="1861" priority="1155" stopIfTrue="1" operator="lessThan">
      <formula>0</formula>
    </cfRule>
  </conditionalFormatting>
  <conditionalFormatting sqref="P192">
    <cfRule type="cellIs" dxfId="1860" priority="1154" stopIfTrue="1" operator="equal">
      <formula>"O K"</formula>
    </cfRule>
  </conditionalFormatting>
  <conditionalFormatting sqref="S192">
    <cfRule type="cellIs" dxfId="1859" priority="1153" stopIfTrue="1" operator="lessThan">
      <formula>0</formula>
    </cfRule>
  </conditionalFormatting>
  <conditionalFormatting sqref="S192">
    <cfRule type="cellIs" dxfId="1858" priority="1152" stopIfTrue="1" operator="equal">
      <formula>"O K"</formula>
    </cfRule>
  </conditionalFormatting>
  <conditionalFormatting sqref="S192">
    <cfRule type="cellIs" dxfId="1857" priority="1151" stopIfTrue="1" operator="lessThan">
      <formula>0</formula>
    </cfRule>
  </conditionalFormatting>
  <conditionalFormatting sqref="O192">
    <cfRule type="cellIs" dxfId="1856" priority="1150" stopIfTrue="1" operator="lessThan">
      <formula>0</formula>
    </cfRule>
  </conditionalFormatting>
  <conditionalFormatting sqref="R192">
    <cfRule type="cellIs" dxfId="1855" priority="1149" stopIfTrue="1" operator="lessThan">
      <formula>0</formula>
    </cfRule>
  </conditionalFormatting>
  <conditionalFormatting sqref="O178:P179 R178:S179">
    <cfRule type="cellIs" dxfId="1854" priority="1148" stopIfTrue="1" operator="lessThan">
      <formula>0</formula>
    </cfRule>
  </conditionalFormatting>
  <conditionalFormatting sqref="S189">
    <cfRule type="cellIs" dxfId="1853" priority="1117" stopIfTrue="1" operator="lessThan">
      <formula>0</formula>
    </cfRule>
  </conditionalFormatting>
  <conditionalFormatting sqref="P178:P179">
    <cfRule type="cellIs" dxfId="1852" priority="1146" stopIfTrue="1" operator="equal">
      <formula>"O K"</formula>
    </cfRule>
  </conditionalFormatting>
  <conditionalFormatting sqref="O178:O179">
    <cfRule type="cellIs" dxfId="1851" priority="1145" stopIfTrue="1" operator="lessThan">
      <formula>0</formula>
    </cfRule>
  </conditionalFormatting>
  <conditionalFormatting sqref="O178:O179">
    <cfRule type="cellIs" dxfId="1850" priority="1144" stopIfTrue="1" operator="equal">
      <formula>"O K"</formula>
    </cfRule>
  </conditionalFormatting>
  <conditionalFormatting sqref="S178:S179">
    <cfRule type="cellIs" dxfId="1849" priority="1143" stopIfTrue="1" operator="lessThan">
      <formula>0</formula>
    </cfRule>
  </conditionalFormatting>
  <conditionalFormatting sqref="S178:S179">
    <cfRule type="cellIs" dxfId="1848" priority="1142" stopIfTrue="1" operator="equal">
      <formula>"O K"</formula>
    </cfRule>
  </conditionalFormatting>
  <conditionalFormatting sqref="R178:R179">
    <cfRule type="cellIs" dxfId="1847" priority="1140" stopIfTrue="1" operator="equal">
      <formula>"O K"</formula>
    </cfRule>
  </conditionalFormatting>
  <conditionalFormatting sqref="R201:S201 O201:P201 R198:S199 O198:P199">
    <cfRule type="cellIs" dxfId="1846" priority="1139" stopIfTrue="1" operator="lessThan">
      <formula>0</formula>
    </cfRule>
  </conditionalFormatting>
  <conditionalFormatting sqref="O189">
    <cfRule type="cellIs" dxfId="1845" priority="1120" stopIfTrue="1" operator="lessThan">
      <formula>0</formula>
    </cfRule>
  </conditionalFormatting>
  <conditionalFormatting sqref="P186">
    <cfRule type="cellIs" dxfId="1844" priority="1127" stopIfTrue="1" operator="lessThan">
      <formula>0</formula>
    </cfRule>
  </conditionalFormatting>
  <conditionalFormatting sqref="R186">
    <cfRule type="cellIs" dxfId="1843" priority="1115" stopIfTrue="1" operator="lessThan">
      <formula>0</formula>
    </cfRule>
  </conditionalFormatting>
  <conditionalFormatting sqref="S187">
    <cfRule type="cellIs" dxfId="1842" priority="1113" stopIfTrue="1" operator="lessThan">
      <formula>0</formula>
    </cfRule>
  </conditionalFormatting>
  <conditionalFormatting sqref="S186">
    <cfRule type="cellIs" dxfId="1841" priority="1118" stopIfTrue="1" operator="lessThan">
      <formula>0</formula>
    </cfRule>
  </conditionalFormatting>
  <conditionalFormatting sqref="S190 S194 S196">
    <cfRule type="cellIs" dxfId="1840" priority="1116" stopIfTrue="1" operator="lessThan">
      <formula>0</formula>
    </cfRule>
  </conditionalFormatting>
  <conditionalFormatting sqref="P180">
    <cfRule type="cellIs" dxfId="1839" priority="1066" stopIfTrue="1" operator="lessThan">
      <formula>0</formula>
    </cfRule>
  </conditionalFormatting>
  <conditionalFormatting sqref="R189">
    <cfRule type="cellIs" dxfId="1838" priority="1114" stopIfTrue="1" operator="lessThan">
      <formula>0</formula>
    </cfRule>
  </conditionalFormatting>
  <conditionalFormatting sqref="P187">
    <cfRule type="cellIs" dxfId="1837" priority="1123" stopIfTrue="1" operator="equal">
      <formula>"O K"</formula>
    </cfRule>
    <cfRule type="cellIs" dxfId="1836" priority="1126" stopIfTrue="1" operator="lessThan">
      <formula>0</formula>
    </cfRule>
  </conditionalFormatting>
  <conditionalFormatting sqref="R187">
    <cfRule type="cellIs" dxfId="1835" priority="1109" stopIfTrue="1" operator="lessThan">
      <formula>0</formula>
    </cfRule>
  </conditionalFormatting>
  <conditionalFormatting sqref="O187">
    <cfRule type="cellIs" dxfId="1834" priority="1119" stopIfTrue="1" operator="equal">
      <formula>"O K"</formula>
    </cfRule>
    <cfRule type="cellIs" dxfId="1833" priority="1121" stopIfTrue="1" operator="lessThan">
      <formula>0</formula>
    </cfRule>
  </conditionalFormatting>
  <conditionalFormatting sqref="R196 R194">
    <cfRule type="cellIs" dxfId="1832" priority="1104" stopIfTrue="1" operator="lessThan">
      <formula>0</formula>
    </cfRule>
  </conditionalFormatting>
  <conditionalFormatting sqref="O196 O194">
    <cfRule type="cellIs" dxfId="1831" priority="1105" stopIfTrue="1" operator="lessThan">
      <formula>0</formula>
    </cfRule>
  </conditionalFormatting>
  <conditionalFormatting sqref="S187">
    <cfRule type="cellIs" dxfId="1830" priority="1112" stopIfTrue="1" operator="equal">
      <formula>"O K"</formula>
    </cfRule>
  </conditionalFormatting>
  <conditionalFormatting sqref="S187">
    <cfRule type="cellIs" dxfId="1829" priority="1110" stopIfTrue="1" operator="equal">
      <formula>"O K"</formula>
    </cfRule>
    <cfRule type="cellIs" dxfId="1828" priority="1111" stopIfTrue="1" operator="lessThan">
      <formula>0</formula>
    </cfRule>
  </conditionalFormatting>
  <conditionalFormatting sqref="R187">
    <cfRule type="cellIs" dxfId="1827" priority="1108" stopIfTrue="1" operator="equal">
      <formula>"O K"</formula>
    </cfRule>
  </conditionalFormatting>
  <conditionalFormatting sqref="R187">
    <cfRule type="cellIs" dxfId="1826" priority="1106" stopIfTrue="1" operator="equal">
      <formula>"O K"</formula>
    </cfRule>
    <cfRule type="cellIs" dxfId="1825" priority="1107" stopIfTrue="1" operator="lessThan">
      <formula>0</formula>
    </cfRule>
  </conditionalFormatting>
  <conditionalFormatting sqref="P188">
    <cfRule type="cellIs" dxfId="1824" priority="1103" stopIfTrue="1" operator="lessThan">
      <formula>0</formula>
    </cfRule>
  </conditionalFormatting>
  <conditionalFormatting sqref="P188">
    <cfRule type="cellIs" dxfId="1823" priority="1102" stopIfTrue="1" operator="equal">
      <formula>"O K"</formula>
    </cfRule>
  </conditionalFormatting>
  <conditionalFormatting sqref="P188">
    <cfRule type="cellIs" dxfId="1822" priority="1101" stopIfTrue="1" operator="lessThan">
      <formula>0</formula>
    </cfRule>
  </conditionalFormatting>
  <conditionalFormatting sqref="O188">
    <cfRule type="cellIs" dxfId="1821" priority="1100" stopIfTrue="1" operator="lessThan">
      <formula>0</formula>
    </cfRule>
  </conditionalFormatting>
  <conditionalFormatting sqref="O188">
    <cfRule type="cellIs" dxfId="1820" priority="1099" stopIfTrue="1" operator="equal">
      <formula>"O K"</formula>
    </cfRule>
  </conditionalFormatting>
  <conditionalFormatting sqref="O188">
    <cfRule type="cellIs" dxfId="1819" priority="1098" stopIfTrue="1" operator="lessThan">
      <formula>0</formula>
    </cfRule>
  </conditionalFormatting>
  <conditionalFormatting sqref="S188">
    <cfRule type="cellIs" dxfId="1818" priority="1097" stopIfTrue="1" operator="lessThan">
      <formula>0</formula>
    </cfRule>
  </conditionalFormatting>
  <conditionalFormatting sqref="S188">
    <cfRule type="cellIs" dxfId="1817" priority="1096" stopIfTrue="1" operator="equal">
      <formula>"O K"</formula>
    </cfRule>
  </conditionalFormatting>
  <conditionalFormatting sqref="S188">
    <cfRule type="cellIs" dxfId="1816" priority="1095" stopIfTrue="1" operator="lessThan">
      <formula>0</formula>
    </cfRule>
  </conditionalFormatting>
  <conditionalFormatting sqref="R188">
    <cfRule type="cellIs" dxfId="1815" priority="1094" stopIfTrue="1" operator="lessThan">
      <formula>0</formula>
    </cfRule>
  </conditionalFormatting>
  <conditionalFormatting sqref="R188">
    <cfRule type="cellIs" dxfId="1814" priority="1093" stopIfTrue="1" operator="equal">
      <formula>"O K"</formula>
    </cfRule>
  </conditionalFormatting>
  <conditionalFormatting sqref="R193:S193 O193:P193">
    <cfRule type="cellIs" dxfId="1813" priority="1091" stopIfTrue="1" operator="lessThan">
      <formula>0</formula>
    </cfRule>
  </conditionalFormatting>
  <conditionalFormatting sqref="P193">
    <cfRule type="cellIs" dxfId="1812" priority="1090" stopIfTrue="1" operator="equal">
      <formula>"O K"</formula>
    </cfRule>
  </conditionalFormatting>
  <conditionalFormatting sqref="S193">
    <cfRule type="cellIs" dxfId="1811" priority="1089" stopIfTrue="1" operator="lessThan">
      <formula>0</formula>
    </cfRule>
  </conditionalFormatting>
  <conditionalFormatting sqref="S193">
    <cfRule type="cellIs" dxfId="1810" priority="1088" stopIfTrue="1" operator="equal">
      <formula>"O K"</formula>
    </cfRule>
  </conditionalFormatting>
  <conditionalFormatting sqref="S193">
    <cfRule type="cellIs" dxfId="1809" priority="1087" stopIfTrue="1" operator="lessThan">
      <formula>0</formula>
    </cfRule>
  </conditionalFormatting>
  <conditionalFormatting sqref="O193">
    <cfRule type="cellIs" dxfId="1808" priority="1086" stopIfTrue="1" operator="lessThan">
      <formula>0</formula>
    </cfRule>
  </conditionalFormatting>
  <conditionalFormatting sqref="R193">
    <cfRule type="cellIs" dxfId="1807" priority="1085" stopIfTrue="1" operator="lessThan">
      <formula>0</formula>
    </cfRule>
  </conditionalFormatting>
  <conditionalFormatting sqref="O185:P185 R185:S185">
    <cfRule type="cellIs" dxfId="1806" priority="1084" stopIfTrue="1" operator="lessThan">
      <formula>0</formula>
    </cfRule>
  </conditionalFormatting>
  <conditionalFormatting sqref="P185">
    <cfRule type="cellIs" dxfId="1805" priority="1083" stopIfTrue="1" operator="lessThan">
      <formula>0</formula>
    </cfRule>
  </conditionalFormatting>
  <conditionalFormatting sqref="P185">
    <cfRule type="cellIs" dxfId="1804" priority="1082" stopIfTrue="1" operator="equal">
      <formula>"O K"</formula>
    </cfRule>
  </conditionalFormatting>
  <conditionalFormatting sqref="O185">
    <cfRule type="cellIs" dxfId="1803" priority="1081" stopIfTrue="1" operator="lessThan">
      <formula>0</formula>
    </cfRule>
  </conditionalFormatting>
  <conditionalFormatting sqref="O185">
    <cfRule type="cellIs" dxfId="1802" priority="1080" stopIfTrue="1" operator="equal">
      <formula>"O K"</formula>
    </cfRule>
  </conditionalFormatting>
  <conditionalFormatting sqref="S185">
    <cfRule type="cellIs" dxfId="1801" priority="1079" stopIfTrue="1" operator="lessThan">
      <formula>0</formula>
    </cfRule>
  </conditionalFormatting>
  <conditionalFormatting sqref="S185">
    <cfRule type="cellIs" dxfId="1800" priority="1078" stopIfTrue="1" operator="equal">
      <formula>"O K"</formula>
    </cfRule>
  </conditionalFormatting>
  <conditionalFormatting sqref="R185">
    <cfRule type="cellIs" dxfId="1799" priority="1076" stopIfTrue="1" operator="equal">
      <formula>"O K"</formula>
    </cfRule>
  </conditionalFormatting>
  <conditionalFormatting sqref="O180:P180 R180:S180">
    <cfRule type="cellIs" dxfId="1798" priority="1067" stopIfTrue="1" operator="lessThan">
      <formula>0</formula>
    </cfRule>
  </conditionalFormatting>
  <conditionalFormatting sqref="O180">
    <cfRule type="cellIs" dxfId="1797" priority="1064" stopIfTrue="1" operator="lessThan">
      <formula>0</formula>
    </cfRule>
  </conditionalFormatting>
  <conditionalFormatting sqref="P182">
    <cfRule type="cellIs" dxfId="1796" priority="1057" stopIfTrue="1" operator="lessThan">
      <formula>0</formula>
    </cfRule>
  </conditionalFormatting>
  <conditionalFormatting sqref="O182">
    <cfRule type="cellIs" dxfId="1795" priority="1055" stopIfTrue="1" operator="lessThan">
      <formula>0</formula>
    </cfRule>
  </conditionalFormatting>
  <conditionalFormatting sqref="S182">
    <cfRule type="cellIs" dxfId="1794" priority="1053" stopIfTrue="1" operator="lessThan">
      <formula>0</formula>
    </cfRule>
  </conditionalFormatting>
  <conditionalFormatting sqref="S180">
    <cfRule type="cellIs" dxfId="1793" priority="1062" stopIfTrue="1" operator="lessThan">
      <formula>0</formula>
    </cfRule>
  </conditionalFormatting>
  <conditionalFormatting sqref="R180">
    <cfRule type="cellIs" dxfId="1792" priority="1060" stopIfTrue="1" operator="lessThan">
      <formula>0</formula>
    </cfRule>
  </conditionalFormatting>
  <conditionalFormatting sqref="O182:P182 R182:S182">
    <cfRule type="cellIs" dxfId="1791" priority="1058" stopIfTrue="1" operator="lessThan">
      <formula>0</formula>
    </cfRule>
  </conditionalFormatting>
  <conditionalFormatting sqref="P181">
    <cfRule type="cellIs" dxfId="1790" priority="1048" stopIfTrue="1" operator="lessThan">
      <formula>0</formula>
    </cfRule>
  </conditionalFormatting>
  <conditionalFormatting sqref="P180">
    <cfRule type="cellIs" dxfId="1789" priority="1065" stopIfTrue="1" operator="equal">
      <formula>"O K"</formula>
    </cfRule>
  </conditionalFormatting>
  <conditionalFormatting sqref="O181:P181 R181:S181">
    <cfRule type="cellIs" dxfId="1788" priority="1049" stopIfTrue="1" operator="lessThan">
      <formula>0</formula>
    </cfRule>
  </conditionalFormatting>
  <conditionalFormatting sqref="O180">
    <cfRule type="cellIs" dxfId="1787" priority="1063" stopIfTrue="1" operator="equal">
      <formula>"O K"</formula>
    </cfRule>
  </conditionalFormatting>
  <conditionalFormatting sqref="O181">
    <cfRule type="cellIs" dxfId="1786" priority="1046" stopIfTrue="1" operator="lessThan">
      <formula>0</formula>
    </cfRule>
  </conditionalFormatting>
  <conditionalFormatting sqref="S180">
    <cfRule type="cellIs" dxfId="1785" priority="1061" stopIfTrue="1" operator="equal">
      <formula>"O K"</formula>
    </cfRule>
  </conditionalFormatting>
  <conditionalFormatting sqref="R180">
    <cfRule type="cellIs" dxfId="1784" priority="1059" stopIfTrue="1" operator="equal">
      <formula>"O K"</formula>
    </cfRule>
  </conditionalFormatting>
  <conditionalFormatting sqref="P182">
    <cfRule type="cellIs" dxfId="1783" priority="1056" stopIfTrue="1" operator="equal">
      <formula>"O K"</formula>
    </cfRule>
  </conditionalFormatting>
  <conditionalFormatting sqref="O182">
    <cfRule type="cellIs" dxfId="1782" priority="1054" stopIfTrue="1" operator="equal">
      <formula>"O K"</formula>
    </cfRule>
  </conditionalFormatting>
  <conditionalFormatting sqref="S182">
    <cfRule type="cellIs" dxfId="1781" priority="1052" stopIfTrue="1" operator="equal">
      <formula>"O K"</formula>
    </cfRule>
  </conditionalFormatting>
  <conditionalFormatting sqref="R182">
    <cfRule type="cellIs" dxfId="1780" priority="1050" stopIfTrue="1" operator="equal">
      <formula>"O K"</formula>
    </cfRule>
  </conditionalFormatting>
  <conditionalFormatting sqref="S181">
    <cfRule type="cellIs" dxfId="1779" priority="1044" stopIfTrue="1" operator="lessThan">
      <formula>0</formula>
    </cfRule>
  </conditionalFormatting>
  <conditionalFormatting sqref="R181">
    <cfRule type="cellIs" dxfId="1778" priority="1042" stopIfTrue="1" operator="lessThan">
      <formula>0</formula>
    </cfRule>
  </conditionalFormatting>
  <conditionalFormatting sqref="P181">
    <cfRule type="cellIs" dxfId="1777" priority="1047" stopIfTrue="1" operator="equal">
      <formula>"O K"</formula>
    </cfRule>
  </conditionalFormatting>
  <conditionalFormatting sqref="O181">
    <cfRule type="cellIs" dxfId="1776" priority="1045" stopIfTrue="1" operator="equal">
      <formula>"O K"</formula>
    </cfRule>
  </conditionalFormatting>
  <conditionalFormatting sqref="S181">
    <cfRule type="cellIs" dxfId="1775" priority="1043" stopIfTrue="1" operator="equal">
      <formula>"O K"</formula>
    </cfRule>
  </conditionalFormatting>
  <conditionalFormatting sqref="R181">
    <cfRule type="cellIs" dxfId="1774" priority="1041" stopIfTrue="1" operator="equal">
      <formula>"O K"</formula>
    </cfRule>
  </conditionalFormatting>
  <conditionalFormatting sqref="P183">
    <cfRule type="cellIs" dxfId="1773" priority="1039" stopIfTrue="1" operator="lessThan">
      <formula>0</formula>
    </cfRule>
  </conditionalFormatting>
  <conditionalFormatting sqref="R183">
    <cfRule type="cellIs" dxfId="1772" priority="1033" stopIfTrue="1" operator="lessThan">
      <formula>0</formula>
    </cfRule>
  </conditionalFormatting>
  <conditionalFormatting sqref="O183:P183 R183:S183">
    <cfRule type="cellIs" dxfId="1771" priority="1040" stopIfTrue="1" operator="lessThan">
      <formula>0</formula>
    </cfRule>
  </conditionalFormatting>
  <conditionalFormatting sqref="P183">
    <cfRule type="cellIs" dxfId="1770" priority="1038" stopIfTrue="1" operator="equal">
      <formula>"O K"</formula>
    </cfRule>
  </conditionalFormatting>
  <conditionalFormatting sqref="O183">
    <cfRule type="cellIs" dxfId="1769" priority="1037" stopIfTrue="1" operator="lessThan">
      <formula>0</formula>
    </cfRule>
  </conditionalFormatting>
  <conditionalFormatting sqref="O183">
    <cfRule type="cellIs" dxfId="1768" priority="1036" stopIfTrue="1" operator="equal">
      <formula>"O K"</formula>
    </cfRule>
  </conditionalFormatting>
  <conditionalFormatting sqref="S183">
    <cfRule type="cellIs" dxfId="1767" priority="1034" stopIfTrue="1" operator="equal">
      <formula>"O K"</formula>
    </cfRule>
  </conditionalFormatting>
  <conditionalFormatting sqref="R183">
    <cfRule type="cellIs" dxfId="1766" priority="1032" stopIfTrue="1" operator="equal">
      <formula>"O K"</formula>
    </cfRule>
  </conditionalFormatting>
  <conditionalFormatting sqref="O184">
    <cfRule type="cellIs" dxfId="1765" priority="1028" stopIfTrue="1" operator="lessThan">
      <formula>0</formula>
    </cfRule>
  </conditionalFormatting>
  <conditionalFormatting sqref="R184">
    <cfRule type="cellIs" dxfId="1764" priority="1024" stopIfTrue="1" operator="lessThan">
      <formula>0</formula>
    </cfRule>
  </conditionalFormatting>
  <conditionalFormatting sqref="O184:P184 R184:S184">
    <cfRule type="cellIs" dxfId="1763" priority="1031" stopIfTrue="1" operator="lessThan">
      <formula>0</formula>
    </cfRule>
  </conditionalFormatting>
  <conditionalFormatting sqref="P184">
    <cfRule type="cellIs" dxfId="1762" priority="1029" stopIfTrue="1" operator="equal">
      <formula>"O K"</formula>
    </cfRule>
  </conditionalFormatting>
  <conditionalFormatting sqref="O184">
    <cfRule type="cellIs" dxfId="1761" priority="1027" stopIfTrue="1" operator="equal">
      <formula>"O K"</formula>
    </cfRule>
  </conditionalFormatting>
  <conditionalFormatting sqref="S184">
    <cfRule type="cellIs" dxfId="1760" priority="1026" stopIfTrue="1" operator="lessThan">
      <formula>0</formula>
    </cfRule>
  </conditionalFormatting>
  <conditionalFormatting sqref="S184">
    <cfRule type="cellIs" dxfId="1759" priority="1025" stopIfTrue="1" operator="equal">
      <formula>"O K"</formula>
    </cfRule>
  </conditionalFormatting>
  <conditionalFormatting sqref="R184">
    <cfRule type="cellIs" dxfId="1758" priority="1023" stopIfTrue="1" operator="equal">
      <formula>"O K"</formula>
    </cfRule>
  </conditionalFormatting>
  <conditionalFormatting sqref="B96">
    <cfRule type="cellIs" dxfId="1757" priority="855" stopIfTrue="1" operator="equal">
      <formula>"2002 г. крайно ДТ с-до"</formula>
    </cfRule>
  </conditionalFormatting>
  <conditionalFormatting sqref="B96">
    <cfRule type="cellIs" dxfId="1756" priority="854" stopIfTrue="1" operator="equal">
      <formula>"2002 г. крайно ДТ с-до"</formula>
    </cfRule>
  </conditionalFormatting>
  <conditionalFormatting sqref="B96">
    <cfRule type="cellIs" dxfId="1755" priority="852" stopIfTrue="1" operator="equal">
      <formula>"2002 г. крайно ДТ с-до"</formula>
    </cfRule>
  </conditionalFormatting>
  <conditionalFormatting sqref="B96">
    <cfRule type="cellIs" dxfId="1754" priority="853" stopIfTrue="1" operator="equal">
      <formula>"2002 г. крайно ДТ с-до"</formula>
    </cfRule>
  </conditionalFormatting>
  <conditionalFormatting sqref="N98">
    <cfRule type="cellIs" dxfId="1753" priority="849" stopIfTrue="1" operator="lessThan">
      <formula>0</formula>
    </cfRule>
  </conditionalFormatting>
  <conditionalFormatting sqref="N118">
    <cfRule type="cellIs" dxfId="1752" priority="839" stopIfTrue="1" operator="lessThan">
      <formula>0</formula>
    </cfRule>
  </conditionalFormatting>
  <conditionalFormatting sqref="N101">
    <cfRule type="cellIs" dxfId="1751" priority="846" stopIfTrue="1" operator="lessThan">
      <formula>0</formula>
    </cfRule>
  </conditionalFormatting>
  <conditionalFormatting sqref="N107">
    <cfRule type="cellIs" dxfId="1750" priority="844" stopIfTrue="1" operator="lessThan">
      <formula>0</formula>
    </cfRule>
  </conditionalFormatting>
  <conditionalFormatting sqref="N112">
    <cfRule type="cellIs" dxfId="1749" priority="840" stopIfTrue="1" operator="lessThan">
      <formula>0</formula>
    </cfRule>
  </conditionalFormatting>
  <conditionalFormatting sqref="N99">
    <cfRule type="cellIs" dxfId="1748" priority="836" stopIfTrue="1" operator="lessThan">
      <formula>0</formula>
    </cfRule>
  </conditionalFormatting>
  <conditionalFormatting sqref="N102">
    <cfRule type="cellIs" dxfId="1747" priority="835" stopIfTrue="1" operator="lessThan">
      <formula>0</formula>
    </cfRule>
  </conditionalFormatting>
  <conditionalFormatting sqref="N108">
    <cfRule type="cellIs" dxfId="1746" priority="833" stopIfTrue="1" operator="lessThan">
      <formula>0</formula>
    </cfRule>
  </conditionalFormatting>
  <conditionalFormatting sqref="N113">
    <cfRule type="cellIs" dxfId="1745" priority="830" stopIfTrue="1" operator="lessThan">
      <formula>0</formula>
    </cfRule>
  </conditionalFormatting>
  <conditionalFormatting sqref="N119">
    <cfRule type="cellIs" dxfId="1744" priority="828" stopIfTrue="1" operator="lessThan">
      <formula>0</formula>
    </cfRule>
  </conditionalFormatting>
  <conditionalFormatting sqref="N115">
    <cfRule type="cellIs" dxfId="1743" priority="816" stopIfTrue="1" operator="lessThan">
      <formula>0</formula>
    </cfRule>
  </conditionalFormatting>
  <conditionalFormatting sqref="N116">
    <cfRule type="cellIs" dxfId="1742" priority="814" stopIfTrue="1" operator="lessThan">
      <formula>0</formula>
    </cfRule>
  </conditionalFormatting>
  <conditionalFormatting sqref="N104">
    <cfRule type="cellIs" dxfId="1741" priority="809" stopIfTrue="1" operator="lessThan">
      <formula>0</formula>
    </cfRule>
  </conditionalFormatting>
  <conditionalFormatting sqref="V93">
    <cfRule type="cellIs" dxfId="1740" priority="773" stopIfTrue="1" operator="lessThan">
      <formula>0</formula>
    </cfRule>
  </conditionalFormatting>
  <conditionalFormatting sqref="V93">
    <cfRule type="cellIs" dxfId="1739" priority="772" stopIfTrue="1" operator="lessThan">
      <formula>0</formula>
    </cfRule>
  </conditionalFormatting>
  <conditionalFormatting sqref="V93">
    <cfRule type="cellIs" dxfId="1738" priority="771" stopIfTrue="1" operator="notEqual">
      <formula>0</formula>
    </cfRule>
  </conditionalFormatting>
  <conditionalFormatting sqref="V94:V95">
    <cfRule type="cellIs" dxfId="1737" priority="770" stopIfTrue="1" operator="lessThan">
      <formula>0</formula>
    </cfRule>
  </conditionalFormatting>
  <conditionalFormatting sqref="V94:V95">
    <cfRule type="cellIs" dxfId="1736" priority="769" stopIfTrue="1" operator="lessThan">
      <formula>0</formula>
    </cfRule>
  </conditionalFormatting>
  <conditionalFormatting sqref="V94:V95">
    <cfRule type="cellIs" dxfId="1735" priority="768" stopIfTrue="1" operator="notEqual">
      <formula>0</formula>
    </cfRule>
  </conditionalFormatting>
  <conditionalFormatting sqref="V81:V83">
    <cfRule type="cellIs" dxfId="1734" priority="767" stopIfTrue="1" operator="lessThan">
      <formula>0</formula>
    </cfRule>
  </conditionalFormatting>
  <conditionalFormatting sqref="V81:V83">
    <cfRule type="cellIs" dxfId="1733" priority="766" stopIfTrue="1" operator="lessThan">
      <formula>0</formula>
    </cfRule>
  </conditionalFormatting>
  <conditionalFormatting sqref="V81">
    <cfRule type="cellIs" dxfId="1732" priority="765" stopIfTrue="1" operator="notEqual">
      <formula>0</formula>
    </cfRule>
  </conditionalFormatting>
  <conditionalFormatting sqref="V82">
    <cfRule type="cellIs" dxfId="1731" priority="764" stopIfTrue="1" operator="notEqual">
      <formula>0</formula>
    </cfRule>
  </conditionalFormatting>
  <conditionalFormatting sqref="V83">
    <cfRule type="cellIs" dxfId="1730" priority="763" stopIfTrue="1" operator="notEqual">
      <formula>0</formula>
    </cfRule>
  </conditionalFormatting>
  <conditionalFormatting sqref="P122:P124">
    <cfRule type="cellIs" dxfId="1729" priority="762" stopIfTrue="1" operator="lessThan">
      <formula>0</formula>
    </cfRule>
  </conditionalFormatting>
  <conditionalFormatting sqref="P122">
    <cfRule type="cellIs" dxfId="1728" priority="761" stopIfTrue="1" operator="notEqual">
      <formula>0</formula>
    </cfRule>
  </conditionalFormatting>
  <conditionalFormatting sqref="P123">
    <cfRule type="cellIs" dxfId="1727" priority="760" stopIfTrue="1" operator="notEqual">
      <formula>0</formula>
    </cfRule>
  </conditionalFormatting>
  <conditionalFormatting sqref="P124">
    <cfRule type="cellIs" dxfId="1726" priority="759" stopIfTrue="1" operator="notEqual">
      <formula>0</formula>
    </cfRule>
  </conditionalFormatting>
  <conditionalFormatting sqref="S122:S127">
    <cfRule type="cellIs" dxfId="1725" priority="758" stopIfTrue="1" operator="lessThan">
      <formula>0</formula>
    </cfRule>
  </conditionalFormatting>
  <conditionalFormatting sqref="S122:S127">
    <cfRule type="cellIs" dxfId="1724" priority="757" stopIfTrue="1" operator="lessThan">
      <formula>0</formula>
    </cfRule>
  </conditionalFormatting>
  <conditionalFormatting sqref="S122">
    <cfRule type="cellIs" dxfId="1723" priority="756" stopIfTrue="1" operator="notEqual">
      <formula>0</formula>
    </cfRule>
  </conditionalFormatting>
  <conditionalFormatting sqref="S123">
    <cfRule type="cellIs" dxfId="1722" priority="755" stopIfTrue="1" operator="notEqual">
      <formula>0</formula>
    </cfRule>
  </conditionalFormatting>
  <conditionalFormatting sqref="S124:S127">
    <cfRule type="cellIs" dxfId="1721" priority="754" stopIfTrue="1" operator="notEqual">
      <formula>0</formula>
    </cfRule>
  </conditionalFormatting>
  <conditionalFormatting sqref="V122">
    <cfRule type="cellIs" dxfId="1720" priority="753" stopIfTrue="1" operator="lessThan">
      <formula>0</formula>
    </cfRule>
  </conditionalFormatting>
  <conditionalFormatting sqref="V122">
    <cfRule type="cellIs" dxfId="1719" priority="752" stopIfTrue="1" operator="lessThan">
      <formula>0</formula>
    </cfRule>
  </conditionalFormatting>
  <conditionalFormatting sqref="V122">
    <cfRule type="cellIs" dxfId="1718" priority="751" stopIfTrue="1" operator="notEqual">
      <formula>0</formula>
    </cfRule>
  </conditionalFormatting>
  <conditionalFormatting sqref="V123">
    <cfRule type="cellIs" dxfId="1717" priority="750" stopIfTrue="1" operator="lessThan">
      <formula>0</formula>
    </cfRule>
  </conditionalFormatting>
  <conditionalFormatting sqref="V123">
    <cfRule type="cellIs" dxfId="1716" priority="749" stopIfTrue="1" operator="lessThan">
      <formula>0</formula>
    </cfRule>
  </conditionalFormatting>
  <conditionalFormatting sqref="V123">
    <cfRule type="cellIs" dxfId="1715" priority="748" stopIfTrue="1" operator="notEqual">
      <formula>0</formula>
    </cfRule>
  </conditionalFormatting>
  <conditionalFormatting sqref="V124">
    <cfRule type="cellIs" dxfId="1714" priority="747" stopIfTrue="1" operator="lessThan">
      <formula>0</formula>
    </cfRule>
  </conditionalFormatting>
  <conditionalFormatting sqref="V124">
    <cfRule type="cellIs" dxfId="1713" priority="746" stopIfTrue="1" operator="lessThan">
      <formula>0</formula>
    </cfRule>
  </conditionalFormatting>
  <conditionalFormatting sqref="V124">
    <cfRule type="cellIs" dxfId="1712" priority="745" stopIfTrue="1" operator="notEqual">
      <formula>0</formula>
    </cfRule>
  </conditionalFormatting>
  <conditionalFormatting sqref="U103">
    <cfRule type="cellIs" dxfId="1711" priority="340" stopIfTrue="1" operator="equal">
      <formula>"2002 г. крайно ДТ с-до"</formula>
    </cfRule>
  </conditionalFormatting>
  <conditionalFormatting sqref="P55">
    <cfRule type="cellIs" dxfId="1710" priority="554" stopIfTrue="1" operator="lessThan">
      <formula>0</formula>
    </cfRule>
  </conditionalFormatting>
  <conditionalFormatting sqref="P56">
    <cfRule type="cellIs" dxfId="1709" priority="553" stopIfTrue="1" operator="lessThan">
      <formula>0</formula>
    </cfRule>
  </conditionalFormatting>
  <conditionalFormatting sqref="O55:O56">
    <cfRule type="cellIs" dxfId="1708" priority="552" stopIfTrue="1" operator="lessThan">
      <formula>0</formula>
    </cfRule>
  </conditionalFormatting>
  <conditionalFormatting sqref="R55:R56">
    <cfRule type="cellIs" dxfId="1707" priority="551" stopIfTrue="1" operator="lessThan">
      <formula>0</formula>
    </cfRule>
  </conditionalFormatting>
  <conditionalFormatting sqref="S55">
    <cfRule type="cellIs" dxfId="1706" priority="550" stopIfTrue="1" operator="lessThan">
      <formula>0</formula>
    </cfRule>
  </conditionalFormatting>
  <conditionalFormatting sqref="S56">
    <cfRule type="cellIs" dxfId="1705" priority="549" stopIfTrue="1" operator="lessThan">
      <formula>0</formula>
    </cfRule>
  </conditionalFormatting>
  <conditionalFormatting sqref="P58">
    <cfRule type="cellIs" dxfId="1704" priority="548" stopIfTrue="1" operator="lessThan">
      <formula>0</formula>
    </cfRule>
  </conditionalFormatting>
  <conditionalFormatting sqref="P59">
    <cfRule type="cellIs" dxfId="1703" priority="547" stopIfTrue="1" operator="lessThan">
      <formula>0</formula>
    </cfRule>
  </conditionalFormatting>
  <conditionalFormatting sqref="O58:O59">
    <cfRule type="cellIs" dxfId="1702" priority="546" stopIfTrue="1" operator="lessThan">
      <formula>0</formula>
    </cfRule>
  </conditionalFormatting>
  <conditionalFormatting sqref="R58:R59">
    <cfRule type="cellIs" dxfId="1701" priority="545" stopIfTrue="1" operator="lessThan">
      <formula>0</formula>
    </cfRule>
  </conditionalFormatting>
  <conditionalFormatting sqref="S58">
    <cfRule type="cellIs" dxfId="1700" priority="544" stopIfTrue="1" operator="lessThan">
      <formula>0</formula>
    </cfRule>
  </conditionalFormatting>
  <conditionalFormatting sqref="S59">
    <cfRule type="cellIs" dxfId="1699" priority="543" stopIfTrue="1" operator="lessThan">
      <formula>0</formula>
    </cfRule>
  </conditionalFormatting>
  <conditionalFormatting sqref="P63">
    <cfRule type="cellIs" dxfId="1698" priority="529" stopIfTrue="1" operator="lessThan">
      <formula>0</formula>
    </cfRule>
  </conditionalFormatting>
  <conditionalFormatting sqref="S63">
    <cfRule type="cellIs" dxfId="1697" priority="526" stopIfTrue="1" operator="lessThan">
      <formula>0</formula>
    </cfRule>
  </conditionalFormatting>
  <conditionalFormatting sqref="P62">
    <cfRule type="cellIs" dxfId="1696" priority="530" stopIfTrue="1" operator="lessThan">
      <formula>0</formula>
    </cfRule>
  </conditionalFormatting>
  <conditionalFormatting sqref="S62">
    <cfRule type="cellIs" dxfId="1695" priority="527" stopIfTrue="1" operator="lessThan">
      <formula>0</formula>
    </cfRule>
  </conditionalFormatting>
  <conditionalFormatting sqref="O62:O63">
    <cfRule type="cellIs" dxfId="1694" priority="528" stopIfTrue="1" operator="lessThan">
      <formula>0</formula>
    </cfRule>
  </conditionalFormatting>
  <conditionalFormatting sqref="P54">
    <cfRule type="cellIs" dxfId="1693" priority="524" stopIfTrue="1" operator="lessThan">
      <formula>0</formula>
    </cfRule>
  </conditionalFormatting>
  <conditionalFormatting sqref="P57">
    <cfRule type="cellIs" dxfId="1692" priority="522" stopIfTrue="1" operator="lessThan">
      <formula>0</formula>
    </cfRule>
  </conditionalFormatting>
  <conditionalFormatting sqref="R62:R63">
    <cfRule type="cellIs" dxfId="1691" priority="525" stopIfTrue="1" operator="lessThan">
      <formula>0</formula>
    </cfRule>
  </conditionalFormatting>
  <conditionalFormatting sqref="O200:P200 R200:S200">
    <cfRule type="cellIs" dxfId="1690" priority="520" stopIfTrue="1" operator="lessThan">
      <formula>0</formula>
    </cfRule>
  </conditionalFormatting>
  <conditionalFormatting sqref="O163:P163 R163:S163">
    <cfRule type="cellIs" dxfId="1689" priority="514" stopIfTrue="1" operator="lessThan">
      <formula>0</formula>
    </cfRule>
  </conditionalFormatting>
  <conditionalFormatting sqref="S54">
    <cfRule type="cellIs" dxfId="1688" priority="523" stopIfTrue="1" operator="lessThan">
      <formula>0</formula>
    </cfRule>
  </conditionalFormatting>
  <conditionalFormatting sqref="O164:P165 R164:S165">
    <cfRule type="cellIs" dxfId="1687" priority="512" stopIfTrue="1" operator="lessThan">
      <formula>0</formula>
    </cfRule>
  </conditionalFormatting>
  <conditionalFormatting sqref="O168:P168 R168:S168">
    <cfRule type="cellIs" dxfId="1686" priority="510" stopIfTrue="1" operator="lessThan">
      <formula>0</formula>
    </cfRule>
  </conditionalFormatting>
  <conditionalFormatting sqref="S57">
    <cfRule type="cellIs" dxfId="1685" priority="521" stopIfTrue="1" operator="lessThan">
      <formula>0</formula>
    </cfRule>
  </conditionalFormatting>
  <conditionalFormatting sqref="R200:S200 O200:P200">
    <cfRule type="cellIs" dxfId="1684" priority="519" stopIfTrue="1" operator="lessThan">
      <formula>0</formula>
    </cfRule>
  </conditionalFormatting>
  <conditionalFormatting sqref="R162:S163 O162:P163">
    <cfRule type="cellIs" dxfId="1683" priority="515" stopIfTrue="1" operator="lessThan">
      <formula>0</formula>
    </cfRule>
  </conditionalFormatting>
  <conditionalFormatting sqref="O164:P165 R164:S165">
    <cfRule type="cellIs" dxfId="1682" priority="511" stopIfTrue="1" operator="lessThan">
      <formula>0</formula>
    </cfRule>
  </conditionalFormatting>
  <conditionalFormatting sqref="O168:P168 R168:S168">
    <cfRule type="cellIs" dxfId="1681" priority="509" stopIfTrue="1" operator="lessThan">
      <formula>0</formula>
    </cfRule>
  </conditionalFormatting>
  <conditionalFormatting sqref="O166:P166 R166:S166">
    <cfRule type="cellIs" dxfId="1680" priority="497" stopIfTrue="1" operator="lessThan">
      <formula>0</formula>
    </cfRule>
  </conditionalFormatting>
  <conditionalFormatting sqref="O166:P166 R166:S166">
    <cfRule type="cellIs" dxfId="1679" priority="498" stopIfTrue="1" operator="lessThan">
      <formula>0</formula>
    </cfRule>
  </conditionalFormatting>
  <conditionalFormatting sqref="N105">
    <cfRule type="cellIs" dxfId="1678" priority="492" stopIfTrue="1" operator="lessThan">
      <formula>0</formula>
    </cfRule>
  </conditionalFormatting>
  <conditionalFormatting sqref="U118">
    <cfRule type="cellIs" dxfId="1677" priority="487" stopIfTrue="1" operator="lessThan">
      <formula>0</formula>
    </cfRule>
  </conditionalFormatting>
  <conditionalFormatting sqref="U119">
    <cfRule type="cellIs" dxfId="1676" priority="482" stopIfTrue="1" operator="lessThan">
      <formula>0</formula>
    </cfRule>
  </conditionalFormatting>
  <conditionalFormatting sqref="U118">
    <cfRule type="cellIs" dxfId="1675" priority="472" stopIfTrue="1" operator="equal">
      <formula>"2002 г. крайно ДТ с-до"</formula>
    </cfRule>
  </conditionalFormatting>
  <conditionalFormatting sqref="U119">
    <cfRule type="cellIs" dxfId="1674" priority="477" stopIfTrue="1" operator="lessThan">
      <formula>0</formula>
    </cfRule>
  </conditionalFormatting>
  <conditionalFormatting sqref="U118">
    <cfRule type="cellIs" dxfId="1673" priority="462" stopIfTrue="1" operator="equal">
      <formula>"2002 г. крайно ДТ с-до"</formula>
    </cfRule>
  </conditionalFormatting>
  <conditionalFormatting sqref="U119">
    <cfRule type="cellIs" dxfId="1672" priority="467" stopIfTrue="1" operator="lessThan">
      <formula>0</formula>
    </cfRule>
  </conditionalFormatting>
  <conditionalFormatting sqref="U118">
    <cfRule type="cellIs" dxfId="1671" priority="457" stopIfTrue="1" operator="equal">
      <formula>"2002 г. крайно ДТ с-до"</formula>
    </cfRule>
  </conditionalFormatting>
  <conditionalFormatting sqref="U118">
    <cfRule type="cellIs" dxfId="1670" priority="452" stopIfTrue="1" operator="equal">
      <formula>"2002 г. крайно ДТ с-до"</formula>
    </cfRule>
  </conditionalFormatting>
  <conditionalFormatting sqref="U119">
    <cfRule type="cellIs" dxfId="1669" priority="451" stopIfTrue="1" operator="equal">
      <formula>"2002 г. крайно ДТ с-до"</formula>
    </cfRule>
  </conditionalFormatting>
  <conditionalFormatting sqref="U96">
    <cfRule type="cellIs" dxfId="1668" priority="449" stopIfTrue="1" operator="equal">
      <formula>"2002 г. крайно ДТ с-до"</formula>
    </cfRule>
  </conditionalFormatting>
  <conditionalFormatting sqref="U96">
    <cfRule type="cellIs" dxfId="1667" priority="448" stopIfTrue="1" operator="equal">
      <formula>"2002 г. крайно ДТ с-до"</formula>
    </cfRule>
  </conditionalFormatting>
  <conditionalFormatting sqref="U96">
    <cfRule type="cellIs" dxfId="1666" priority="450" stopIfTrue="1" operator="equal">
      <formula>"2002 г. крайно ДТ с-до"</formula>
    </cfRule>
  </conditionalFormatting>
  <conditionalFormatting sqref="U96">
    <cfRule type="cellIs" dxfId="1665" priority="447" stopIfTrue="1" operator="equal">
      <formula>"2002 г. крайно ДТ с-до"</formula>
    </cfRule>
  </conditionalFormatting>
  <conditionalFormatting sqref="G96">
    <cfRule type="cellIs" dxfId="1664" priority="435" stopIfTrue="1" operator="equal">
      <formula>"2002 г. крайно ДТ с-до"</formula>
    </cfRule>
  </conditionalFormatting>
  <conditionalFormatting sqref="G96">
    <cfRule type="cellIs" dxfId="1663" priority="436" stopIfTrue="1" operator="equal">
      <formula>"2002 г. крайно ДТ с-до"</formula>
    </cfRule>
  </conditionalFormatting>
  <conditionalFormatting sqref="G96">
    <cfRule type="cellIs" dxfId="1662" priority="438" stopIfTrue="1" operator="equal">
      <formula>"2002 г. крайно ДТ с-до"</formula>
    </cfRule>
  </conditionalFormatting>
  <conditionalFormatting sqref="G96">
    <cfRule type="cellIs" dxfId="1661" priority="437" stopIfTrue="1" operator="equal">
      <formula>"2002 г. крайно ДТ с-до"</formula>
    </cfRule>
  </conditionalFormatting>
  <conditionalFormatting sqref="U100">
    <cfRule type="cellIs" dxfId="1660" priority="354" stopIfTrue="1" operator="equal">
      <formula>"2002 г. крайно ДТ с-до"</formula>
    </cfRule>
  </conditionalFormatting>
  <conditionalFormatting sqref="U114">
    <cfRule type="cellIs" dxfId="1659" priority="212" stopIfTrue="1" operator="equal">
      <formula>"2002 г. крайно ДТ с-до"</formula>
    </cfRule>
  </conditionalFormatting>
  <conditionalFormatting sqref="R128:R149 O129:P149">
    <cfRule type="cellIs" dxfId="1658" priority="429" stopIfTrue="1" operator="lessThan">
      <formula>0</formula>
    </cfRule>
  </conditionalFormatting>
  <conditionalFormatting sqref="R128:R149">
    <cfRule type="cellIs" dxfId="1657" priority="428" stopIfTrue="1" operator="lessThan">
      <formula>0</formula>
    </cfRule>
  </conditionalFormatting>
  <conditionalFormatting sqref="O98">
    <cfRule type="cellIs" dxfId="1656" priority="426" stopIfTrue="1" operator="equal">
      <formula>"2002 г. крайно ДТ с-до"</formula>
    </cfRule>
  </conditionalFormatting>
  <conditionalFormatting sqref="P120">
    <cfRule type="cellIs" dxfId="1655" priority="427" stopIfTrue="1" operator="lessThan">
      <formula>0</formula>
    </cfRule>
  </conditionalFormatting>
  <conditionalFormatting sqref="P110">
    <cfRule type="cellIs" dxfId="1654" priority="423" stopIfTrue="1" operator="equal">
      <formula>"2002 г. крайно ДТ с-до"</formula>
    </cfRule>
  </conditionalFormatting>
  <conditionalFormatting sqref="O110">
    <cfRule type="cellIs" dxfId="1653" priority="422" stopIfTrue="1" operator="lessThan">
      <formula>0</formula>
    </cfRule>
  </conditionalFormatting>
  <conditionalFormatting sqref="P120">
    <cfRule type="cellIs" dxfId="1652" priority="424" stopIfTrue="1" operator="lessThan">
      <formula>0</formula>
    </cfRule>
  </conditionalFormatting>
  <conditionalFormatting sqref="O106:P106">
    <cfRule type="cellIs" dxfId="1651" priority="425" stopIfTrue="1" operator="lessThan">
      <formula>0</formula>
    </cfRule>
  </conditionalFormatting>
  <conditionalFormatting sqref="O101">
    <cfRule type="cellIs" dxfId="1650" priority="421" stopIfTrue="1" operator="equal">
      <formula>"2002 г. крайно ДТ с-до"</formula>
    </cfRule>
  </conditionalFormatting>
  <conditionalFormatting sqref="P121">
    <cfRule type="cellIs" dxfId="1649" priority="420" stopIfTrue="1" operator="equal">
      <formula>"2002 г. крайно ДТ с-до"</formula>
    </cfRule>
  </conditionalFormatting>
  <conditionalFormatting sqref="O109:P109">
    <cfRule type="cellIs" dxfId="1648" priority="419" stopIfTrue="1" operator="lessThan">
      <formula>0</formula>
    </cfRule>
  </conditionalFormatting>
  <conditionalFormatting sqref="O121">
    <cfRule type="cellIs" dxfId="1647" priority="418" stopIfTrue="1" operator="lessThan">
      <formula>0</formula>
    </cfRule>
  </conditionalFormatting>
  <conditionalFormatting sqref="P111:P113">
    <cfRule type="cellIs" dxfId="1646" priority="417" stopIfTrue="1" operator="lessThan">
      <formula>0</formula>
    </cfRule>
  </conditionalFormatting>
  <conditionalFormatting sqref="P111:P113">
    <cfRule type="cellIs" dxfId="1645" priority="416" stopIfTrue="1" operator="lessThan">
      <formula>0</formula>
    </cfRule>
  </conditionalFormatting>
  <conditionalFormatting sqref="P111">
    <cfRule type="cellIs" dxfId="1644" priority="415" stopIfTrue="1" operator="notEqual">
      <formula>0</formula>
    </cfRule>
  </conditionalFormatting>
  <conditionalFormatting sqref="P112">
    <cfRule type="cellIs" dxfId="1643" priority="414" stopIfTrue="1" operator="notEqual">
      <formula>0</formula>
    </cfRule>
  </conditionalFormatting>
  <conditionalFormatting sqref="P113">
    <cfRule type="cellIs" dxfId="1642" priority="413" stopIfTrue="1" operator="notEqual">
      <formula>0</formula>
    </cfRule>
  </conditionalFormatting>
  <conditionalFormatting sqref="P99">
    <cfRule type="cellIs" dxfId="1641" priority="412" stopIfTrue="1" operator="equal">
      <formula>"2002 г. крайно ДТ с-до"</formula>
    </cfRule>
  </conditionalFormatting>
  <conditionalFormatting sqref="P102">
    <cfRule type="cellIs" dxfId="1640" priority="411" stopIfTrue="1" operator="equal">
      <formula>"2002 г. крайно ДТ с-до"</formula>
    </cfRule>
  </conditionalFormatting>
  <conditionalFormatting sqref="P108">
    <cfRule type="cellIs" dxfId="1639" priority="410" stopIfTrue="1" operator="equal">
      <formula>"2002 г. крайно ДТ с-до"</formula>
    </cfRule>
  </conditionalFormatting>
  <conditionalFormatting sqref="O115">
    <cfRule type="cellIs" dxfId="1638" priority="409" stopIfTrue="1" operator="equal">
      <formula>"2002 г. крайно ДТ с-до"</formula>
    </cfRule>
  </conditionalFormatting>
  <conditionalFormatting sqref="O112">
    <cfRule type="cellIs" dxfId="1637" priority="408" stopIfTrue="1" operator="equal">
      <formula>"2002 г. крайно ДТ с-до"</formula>
    </cfRule>
  </conditionalFormatting>
  <conditionalFormatting sqref="O118">
    <cfRule type="cellIs" dxfId="1636" priority="407" stopIfTrue="1" operator="equal">
      <formula>"2002 г. крайно ДТ с-до"</formula>
    </cfRule>
  </conditionalFormatting>
  <conditionalFormatting sqref="O103:P103">
    <cfRule type="cellIs" dxfId="1635" priority="406" stopIfTrue="1" operator="lessThan">
      <formula>0</formula>
    </cfRule>
  </conditionalFormatting>
  <conditionalFormatting sqref="O104">
    <cfRule type="cellIs" dxfId="1634" priority="405" stopIfTrue="1" operator="equal">
      <formula>"2002 г. крайно ДТ с-до"</formula>
    </cfRule>
  </conditionalFormatting>
  <conditionalFormatting sqref="P105">
    <cfRule type="cellIs" dxfId="1633" priority="404" stopIfTrue="1" operator="equal">
      <formula>"2002 г. крайно ДТ с-до"</formula>
    </cfRule>
  </conditionalFormatting>
  <conditionalFormatting sqref="O107">
    <cfRule type="cellIs" dxfId="1632" priority="403" stopIfTrue="1" operator="equal">
      <formula>"2002 г. крайно ДТ с-до"</formula>
    </cfRule>
  </conditionalFormatting>
  <conditionalFormatting sqref="S120">
    <cfRule type="cellIs" dxfId="1631" priority="402" stopIfTrue="1" operator="lessThan">
      <formula>0</formula>
    </cfRule>
  </conditionalFormatting>
  <conditionalFormatting sqref="R110">
    <cfRule type="cellIs" dxfId="1630" priority="396" stopIfTrue="1" operator="lessThan">
      <formula>0</formula>
    </cfRule>
  </conditionalFormatting>
  <conditionalFormatting sqref="S106">
    <cfRule type="cellIs" dxfId="1629" priority="400" stopIfTrue="1" operator="lessThan">
      <formula>0</formula>
    </cfRule>
  </conditionalFormatting>
  <conditionalFormatting sqref="S99">
    <cfRule type="cellIs" dxfId="1628" priority="381" stopIfTrue="1" operator="equal">
      <formula>"2002 г. крайно ДТ с-до"</formula>
    </cfRule>
  </conditionalFormatting>
  <conditionalFormatting sqref="S120">
    <cfRule type="cellIs" dxfId="1627" priority="399" stopIfTrue="1" operator="lessThan">
      <formula>0</formula>
    </cfRule>
  </conditionalFormatting>
  <conditionalFormatting sqref="S110">
    <cfRule type="cellIs" dxfId="1626" priority="397" stopIfTrue="1" operator="equal">
      <formula>"2002 г. крайно ДТ с-до"</formula>
    </cfRule>
  </conditionalFormatting>
  <conditionalFormatting sqref="S121">
    <cfRule type="cellIs" dxfId="1625" priority="394" stopIfTrue="1" operator="equal">
      <formula>"2002 г. крайно ДТ с-до"</formula>
    </cfRule>
  </conditionalFormatting>
  <conditionalFormatting sqref="R109:S109">
    <cfRule type="cellIs" dxfId="1624" priority="391" stopIfTrue="1" operator="lessThan">
      <formula>0</formula>
    </cfRule>
  </conditionalFormatting>
  <conditionalFormatting sqref="R121">
    <cfRule type="cellIs" dxfId="1623" priority="388" stopIfTrue="1" operator="lessThan">
      <formula>0</formula>
    </cfRule>
  </conditionalFormatting>
  <conditionalFormatting sqref="S111:S113">
    <cfRule type="cellIs" dxfId="1622" priority="386" stopIfTrue="1" operator="lessThan">
      <formula>0</formula>
    </cfRule>
  </conditionalFormatting>
  <conditionalFormatting sqref="S111:S113">
    <cfRule type="cellIs" dxfId="1621" priority="385" stopIfTrue="1" operator="lessThan">
      <formula>0</formula>
    </cfRule>
  </conditionalFormatting>
  <conditionalFormatting sqref="S111">
    <cfRule type="cellIs" dxfId="1620" priority="384" stopIfTrue="1" operator="notEqual">
      <formula>0</formula>
    </cfRule>
  </conditionalFormatting>
  <conditionalFormatting sqref="S112">
    <cfRule type="cellIs" dxfId="1619" priority="383" stopIfTrue="1" operator="notEqual">
      <formula>0</formula>
    </cfRule>
  </conditionalFormatting>
  <conditionalFormatting sqref="S113">
    <cfRule type="cellIs" dxfId="1618" priority="382" stopIfTrue="1" operator="notEqual">
      <formula>0</formula>
    </cfRule>
  </conditionalFormatting>
  <conditionalFormatting sqref="S108">
    <cfRule type="cellIs" dxfId="1617" priority="379" stopIfTrue="1" operator="equal">
      <formula>"2002 г. крайно ДТ с-до"</formula>
    </cfRule>
  </conditionalFormatting>
  <conditionalFormatting sqref="S102">
    <cfRule type="cellIs" dxfId="1616" priority="380" stopIfTrue="1" operator="equal">
      <formula>"2002 г. крайно ДТ с-до"</formula>
    </cfRule>
  </conditionalFormatting>
  <conditionalFormatting sqref="U109">
    <cfRule type="cellIs" dxfId="1615" priority="361" stopIfTrue="1" operator="equal">
      <formula>"2002 г. крайно ДТ с-до"</formula>
    </cfRule>
  </conditionalFormatting>
  <conditionalFormatting sqref="S103">
    <cfRule type="cellIs" dxfId="1614" priority="374" stopIfTrue="1" operator="lessThan">
      <formula>0</formula>
    </cfRule>
  </conditionalFormatting>
  <conditionalFormatting sqref="U103">
    <cfRule type="cellIs" dxfId="1613" priority="352" stopIfTrue="1" operator="equal">
      <formula>"2002 г. крайно ДТ с-до"</formula>
    </cfRule>
  </conditionalFormatting>
  <conditionalFormatting sqref="U100">
    <cfRule type="cellIs" dxfId="1612" priority="330" stopIfTrue="1" operator="equal">
      <formula>"2002 г. крайно ДТ с-до"</formula>
    </cfRule>
  </conditionalFormatting>
  <conditionalFormatting sqref="U111">
    <cfRule type="cellIs" dxfId="1611" priority="324" stopIfTrue="1" operator="equal">
      <formula>"2002 г. крайно ДТ с-до"</formula>
    </cfRule>
  </conditionalFormatting>
  <conditionalFormatting sqref="U103">
    <cfRule type="cellIs" dxfId="1610" priority="371" stopIfTrue="1" operator="lessThan">
      <formula>0</formula>
    </cfRule>
  </conditionalFormatting>
  <conditionalFormatting sqref="U106">
    <cfRule type="cellIs" dxfId="1609" priority="370" stopIfTrue="1" operator="lessThan">
      <formula>0</formula>
    </cfRule>
  </conditionalFormatting>
  <conditionalFormatting sqref="U100">
    <cfRule type="cellIs" dxfId="1608" priority="368" stopIfTrue="1" operator="lessThan">
      <formula>0</formula>
    </cfRule>
  </conditionalFormatting>
  <conditionalFormatting sqref="U103">
    <cfRule type="cellIs" dxfId="1607" priority="290" stopIfTrue="1" operator="equal">
      <formula>"2002 г. крайно ДТ с-до"</formula>
    </cfRule>
  </conditionalFormatting>
  <conditionalFormatting sqref="U106">
    <cfRule type="cellIs" dxfId="1606" priority="350" stopIfTrue="1" operator="equal">
      <formula>"2002 г. крайно ДТ с-до"</formula>
    </cfRule>
  </conditionalFormatting>
  <conditionalFormatting sqref="U111">
    <cfRule type="cellIs" dxfId="1605" priority="348" stopIfTrue="1" operator="equal">
      <formula>"2002 г. крайно ДТ с-до"</formula>
    </cfRule>
  </conditionalFormatting>
  <conditionalFormatting sqref="U100">
    <cfRule type="cellIs" dxfId="1604" priority="342" stopIfTrue="1" operator="equal">
      <formula>"2002 г. крайно ДТ с-до"</formula>
    </cfRule>
  </conditionalFormatting>
  <conditionalFormatting sqref="U106">
    <cfRule type="cellIs" dxfId="1603" priority="338" stopIfTrue="1" operator="equal">
      <formula>"2002 г. крайно ДТ с-до"</formula>
    </cfRule>
  </conditionalFormatting>
  <conditionalFormatting sqref="U111">
    <cfRule type="cellIs" dxfId="1602" priority="336" stopIfTrue="1" operator="equal">
      <formula>"2002 г. крайно ДТ с-до"</formula>
    </cfRule>
  </conditionalFormatting>
  <conditionalFormatting sqref="U109">
    <cfRule type="cellIs" dxfId="1601" priority="332" stopIfTrue="1" operator="lessThan">
      <formula>0</formula>
    </cfRule>
  </conditionalFormatting>
  <conditionalFormatting sqref="U103">
    <cfRule type="cellIs" dxfId="1600" priority="328" stopIfTrue="1" operator="equal">
      <formula>"2002 г. крайно ДТ с-до"</formula>
    </cfRule>
  </conditionalFormatting>
  <conditionalFormatting sqref="U106">
    <cfRule type="cellIs" dxfId="1599" priority="326" stopIfTrue="1" operator="equal">
      <formula>"2002 г. крайно ДТ с-до"</formula>
    </cfRule>
  </conditionalFormatting>
  <conditionalFormatting sqref="U120">
    <cfRule type="cellIs" dxfId="1598" priority="323" stopIfTrue="1" operator="lessThan">
      <formula>0</formula>
    </cfRule>
  </conditionalFormatting>
  <conditionalFormatting sqref="U100">
    <cfRule type="cellIs" dxfId="1597" priority="317" stopIfTrue="1" operator="equal">
      <formula>"2002 г. крайно ДТ с-до"</formula>
    </cfRule>
  </conditionalFormatting>
  <conditionalFormatting sqref="U103">
    <cfRule type="cellIs" dxfId="1596" priority="315" stopIfTrue="1" operator="equal">
      <formula>"2002 г. крайно ДТ с-до"</formula>
    </cfRule>
  </conditionalFormatting>
  <conditionalFormatting sqref="U106">
    <cfRule type="cellIs" dxfId="1595" priority="313" stopIfTrue="1" operator="equal">
      <formula>"2002 г. крайно ДТ с-до"</formula>
    </cfRule>
  </conditionalFormatting>
  <conditionalFormatting sqref="U111">
    <cfRule type="cellIs" dxfId="1594" priority="311" stopIfTrue="1" operator="equal">
      <formula>"2002 г. крайно ДТ с-до"</formula>
    </cfRule>
  </conditionalFormatting>
  <conditionalFormatting sqref="U109">
    <cfRule type="cellIs" dxfId="1593" priority="307" stopIfTrue="1" operator="lessThan">
      <formula>0</formula>
    </cfRule>
  </conditionalFormatting>
  <conditionalFormatting sqref="U100">
    <cfRule type="cellIs" dxfId="1592" priority="305" stopIfTrue="1" operator="equal">
      <formula>"2002 г. крайно ДТ с-до"</formula>
    </cfRule>
  </conditionalFormatting>
  <conditionalFormatting sqref="U103">
    <cfRule type="cellIs" dxfId="1591" priority="303" stopIfTrue="1" operator="equal">
      <formula>"2002 г. крайно ДТ с-до"</formula>
    </cfRule>
  </conditionalFormatting>
  <conditionalFormatting sqref="U106">
    <cfRule type="cellIs" dxfId="1590" priority="301" stopIfTrue="1" operator="equal">
      <formula>"2002 г. крайно ДТ с-до"</formula>
    </cfRule>
  </conditionalFormatting>
  <conditionalFormatting sqref="U111">
    <cfRule type="cellIs" dxfId="1589" priority="299" stopIfTrue="1" operator="equal">
      <formula>"2002 г. крайно ДТ с-до"</formula>
    </cfRule>
  </conditionalFormatting>
  <conditionalFormatting sqref="U120">
    <cfRule type="cellIs" dxfId="1588" priority="298" stopIfTrue="1" operator="lessThan">
      <formula>0</formula>
    </cfRule>
  </conditionalFormatting>
  <conditionalFormatting sqref="U109">
    <cfRule type="cellIs" dxfId="1587" priority="294" stopIfTrue="1" operator="lessThan">
      <formula>0</formula>
    </cfRule>
  </conditionalFormatting>
  <conditionalFormatting sqref="U100">
    <cfRule type="cellIs" dxfId="1586" priority="292" stopIfTrue="1" operator="equal">
      <formula>"2002 г. крайно ДТ с-до"</formula>
    </cfRule>
  </conditionalFormatting>
  <conditionalFormatting sqref="U106">
    <cfRule type="cellIs" dxfId="1585" priority="288" stopIfTrue="1" operator="equal">
      <formula>"2002 г. крайно ДТ с-до"</formula>
    </cfRule>
  </conditionalFormatting>
  <conditionalFormatting sqref="U111">
    <cfRule type="cellIs" dxfId="1584" priority="286" stopIfTrue="1" operator="equal">
      <formula>"2002 г. крайно ДТ с-до"</formula>
    </cfRule>
  </conditionalFormatting>
  <conditionalFormatting sqref="U120">
    <cfRule type="cellIs" dxfId="1583" priority="285" stopIfTrue="1" operator="lessThan">
      <formula>0</formula>
    </cfRule>
  </conditionalFormatting>
  <conditionalFormatting sqref="U106">
    <cfRule type="cellIs" dxfId="1582" priority="283" stopIfTrue="1" operator="lessThan">
      <formula>0</formula>
    </cfRule>
  </conditionalFormatting>
  <conditionalFormatting sqref="U109">
    <cfRule type="cellIs" dxfId="1581" priority="281" stopIfTrue="1" operator="lessThan">
      <formula>0</formula>
    </cfRule>
  </conditionalFormatting>
  <conditionalFormatting sqref="U103">
    <cfRule type="cellIs" dxfId="1580" priority="279" stopIfTrue="1" operator="lessThan">
      <formula>0</formula>
    </cfRule>
  </conditionalFormatting>
  <conditionalFormatting sqref="U114">
    <cfRule type="cellIs" dxfId="1579" priority="207" stopIfTrue="1" operator="equal">
      <formula>"2002 г. крайно ДТ с-до"</formula>
    </cfRule>
  </conditionalFormatting>
  <conditionalFormatting sqref="U117">
    <cfRule type="cellIs" dxfId="1578" priority="205" stopIfTrue="1" operator="equal">
      <formula>"2002 г. крайно ДТ с-до"</formula>
    </cfRule>
  </conditionalFormatting>
  <conditionalFormatting sqref="U114">
    <cfRule type="cellIs" dxfId="1577" priority="202" stopIfTrue="1" operator="equal">
      <formula>"2002 г. крайно ДТ с-до"</formula>
    </cfRule>
  </conditionalFormatting>
  <conditionalFormatting sqref="U117">
    <cfRule type="cellIs" dxfId="1576" priority="200" stopIfTrue="1" operator="equal">
      <formula>"2002 г. крайно ДТ с-до"</formula>
    </cfRule>
  </conditionalFormatting>
  <conditionalFormatting sqref="U114">
    <cfRule type="cellIs" dxfId="1575" priority="197" stopIfTrue="1" operator="equal">
      <formula>"2002 г. крайно ДТ с-до"</formula>
    </cfRule>
  </conditionalFormatting>
  <conditionalFormatting sqref="U117">
    <cfRule type="cellIs" dxfId="1574" priority="195" stopIfTrue="1" operator="equal">
      <formula>"2002 г. крайно ДТ с-до"</formula>
    </cfRule>
  </conditionalFormatting>
  <conditionalFormatting sqref="U114">
    <cfRule type="cellIs" dxfId="1573" priority="192" stopIfTrue="1" operator="equal">
      <formula>"2002 г. крайно ДТ с-до"</formula>
    </cfRule>
  </conditionalFormatting>
  <conditionalFormatting sqref="U117">
    <cfRule type="cellIs" dxfId="1572" priority="190" stopIfTrue="1" operator="equal">
      <formula>"2002 г. крайно ДТ с-до"</formula>
    </cfRule>
  </conditionalFormatting>
  <conditionalFormatting sqref="U114">
    <cfRule type="cellIs" dxfId="1571" priority="187" stopIfTrue="1" operator="equal">
      <formula>"2002 г. крайно ДТ с-до"</formula>
    </cfRule>
  </conditionalFormatting>
  <conditionalFormatting sqref="U117">
    <cfRule type="cellIs" dxfId="1570" priority="185" stopIfTrue="1" operator="equal">
      <formula>"2002 г. крайно ДТ с-до"</formula>
    </cfRule>
  </conditionalFormatting>
  <conditionalFormatting sqref="O95">
    <cfRule type="cellIs" dxfId="1569" priority="156" stopIfTrue="1" operator="equal">
      <formula>"2002 г. крайно ДТ с-до"</formula>
    </cfRule>
  </conditionalFormatting>
  <conditionalFormatting sqref="U97">
    <cfRule type="cellIs" dxfId="1568" priority="230" stopIfTrue="1" operator="equal">
      <formula>"2002 г. крайно ДТ с-до"</formula>
    </cfRule>
  </conditionalFormatting>
  <conditionalFormatting sqref="U97">
    <cfRule type="cellIs" dxfId="1567" priority="229" stopIfTrue="1" operator="equal">
      <formula>"2002 г. крайно ДТ с-до"</formula>
    </cfRule>
  </conditionalFormatting>
  <conditionalFormatting sqref="U97">
    <cfRule type="cellIs" dxfId="1566" priority="228" stopIfTrue="1" operator="equal">
      <formula>"2002 г. крайно ДТ с-до"</formula>
    </cfRule>
  </conditionalFormatting>
  <conditionalFormatting sqref="U97">
    <cfRule type="cellIs" dxfId="1565" priority="227" stopIfTrue="1" operator="equal">
      <formula>"2002 г. крайно ДТ с-до"</formula>
    </cfRule>
  </conditionalFormatting>
  <conditionalFormatting sqref="U97">
    <cfRule type="cellIs" dxfId="1564" priority="226" stopIfTrue="1" operator="equal">
      <formula>"2002 г. крайно ДТ с-до"</formula>
    </cfRule>
  </conditionalFormatting>
  <conditionalFormatting sqref="U97">
    <cfRule type="cellIs" dxfId="1563" priority="225" stopIfTrue="1" operator="equal">
      <formula>"2002 г. крайно ДТ с-до"</formula>
    </cfRule>
  </conditionalFormatting>
  <conditionalFormatting sqref="U110">
    <cfRule type="cellIs" dxfId="1562" priority="223" stopIfTrue="1" operator="equal">
      <formula>"2002 г. крайно ДТ с-до"</formula>
    </cfRule>
  </conditionalFormatting>
  <conditionalFormatting sqref="U110">
    <cfRule type="cellIs" dxfId="1561" priority="222" stopIfTrue="1" operator="equal">
      <formula>"2002 г. крайно ДТ с-до"</formula>
    </cfRule>
  </conditionalFormatting>
  <conditionalFormatting sqref="U110">
    <cfRule type="cellIs" dxfId="1560" priority="221" stopIfTrue="1" operator="equal">
      <formula>"2002 г. крайно ДТ с-до"</formula>
    </cfRule>
  </conditionalFormatting>
  <conditionalFormatting sqref="U110">
    <cfRule type="cellIs" dxfId="1559" priority="220" stopIfTrue="1" operator="equal">
      <formula>"2002 г. крайно ДТ с-до"</formula>
    </cfRule>
  </conditionalFormatting>
  <conditionalFormatting sqref="U110">
    <cfRule type="cellIs" dxfId="1558" priority="219" stopIfTrue="1" operator="lessThan">
      <formula>0</formula>
    </cfRule>
  </conditionalFormatting>
  <conditionalFormatting sqref="U117">
    <cfRule type="cellIs" dxfId="1557" priority="210" stopIfTrue="1" operator="equal">
      <formula>"2002 г. крайно ДТ с-до"</formula>
    </cfRule>
  </conditionalFormatting>
  <conditionalFormatting sqref="V110">
    <cfRule type="cellIs" dxfId="1556" priority="155" stopIfTrue="1" operator="equal">
      <formula>"2002 г. крайно ДТ с-до"</formula>
    </cfRule>
  </conditionalFormatting>
  <conditionalFormatting sqref="U121">
    <cfRule type="cellIs" dxfId="1555" priority="176" stopIfTrue="1" operator="lessThan">
      <formula>0</formula>
    </cfRule>
  </conditionalFormatting>
  <conditionalFormatting sqref="V121">
    <cfRule type="cellIs" dxfId="1554" priority="153" stopIfTrue="1" operator="equal">
      <formula>"2002 г. крайно ДТ с-до"</formula>
    </cfRule>
  </conditionalFormatting>
  <conditionalFormatting sqref="S96">
    <cfRule type="cellIs" dxfId="1553" priority="103" stopIfTrue="1" operator="equal">
      <formula>"2002 г. крайно ДТ с-до"</formula>
    </cfRule>
  </conditionalFormatting>
  <conditionalFormatting sqref="R113">
    <cfRule type="cellIs" dxfId="1552" priority="101" stopIfTrue="1" operator="equal">
      <formula>"2002 г. крайно ДТ с-до"</formula>
    </cfRule>
  </conditionalFormatting>
  <conditionalFormatting sqref="R116">
    <cfRule type="cellIs" dxfId="1551" priority="98" stopIfTrue="1" operator="equal">
      <formula>"2002 г. крайно ДТ с-до"</formula>
    </cfRule>
  </conditionalFormatting>
  <conditionalFormatting sqref="O95">
    <cfRule type="cellIs" dxfId="1550" priority="159" stopIfTrue="1" operator="equal">
      <formula>"2002 г. крайно ДТ с-до"</formula>
    </cfRule>
  </conditionalFormatting>
  <conditionalFormatting sqref="O95">
    <cfRule type="cellIs" dxfId="1549" priority="157" stopIfTrue="1" operator="equal">
      <formula>"2002 г. крайно ДТ с-до"</formula>
    </cfRule>
  </conditionalFormatting>
  <conditionalFormatting sqref="O95">
    <cfRule type="cellIs" dxfId="1548" priority="158" stopIfTrue="1" operator="equal">
      <formula>"2002 г. крайно ДТ с-до"</formula>
    </cfRule>
  </conditionalFormatting>
  <conditionalFormatting sqref="R115">
    <cfRule type="cellIs" dxfId="1547" priority="99" stopIfTrue="1" operator="equal">
      <formula>"2002 г. крайно ДТ с-до"</formula>
    </cfRule>
  </conditionalFormatting>
  <conditionalFormatting sqref="R99">
    <cfRule type="cellIs" dxfId="1546" priority="115" stopIfTrue="1" operator="equal">
      <formula>"2002 г. крайно ДТ с-до"</formula>
    </cfRule>
  </conditionalFormatting>
  <conditionalFormatting sqref="R108">
    <cfRule type="cellIs" dxfId="1545" priority="114" stopIfTrue="1" operator="equal">
      <formula>"2002 г. крайно ДТ с-до"</formula>
    </cfRule>
  </conditionalFormatting>
  <conditionalFormatting sqref="R102">
    <cfRule type="cellIs" dxfId="1544" priority="113" stopIfTrue="1" operator="equal">
      <formula>"2002 г. крайно ДТ с-до"</formula>
    </cfRule>
  </conditionalFormatting>
  <conditionalFormatting sqref="U115">
    <cfRule type="cellIs" dxfId="1543" priority="79" stopIfTrue="1" operator="equal">
      <formula>"2002 г. крайно ДТ с-до"</formula>
    </cfRule>
  </conditionalFormatting>
  <conditionalFormatting sqref="S96">
    <cfRule type="cellIs" dxfId="1542" priority="104" stopIfTrue="1" operator="equal">
      <formula>"2002 г. крайно ДТ с-до"</formula>
    </cfRule>
  </conditionalFormatting>
  <conditionalFormatting sqref="S96">
    <cfRule type="cellIs" dxfId="1541" priority="102" stopIfTrue="1" operator="equal">
      <formula>"2002 г. крайно ДТ с-до"</formula>
    </cfRule>
  </conditionalFormatting>
  <conditionalFormatting sqref="U113">
    <cfRule type="cellIs" dxfId="1540" priority="95" stopIfTrue="1" operator="equal">
      <formula>"2002 г. крайно ДТ с-до"</formula>
    </cfRule>
  </conditionalFormatting>
  <conditionalFormatting sqref="R105">
    <cfRule type="cellIs" dxfId="1539" priority="110" stopIfTrue="1" operator="equal">
      <formula>"2002 г. крайно ДТ с-до"</formula>
    </cfRule>
  </conditionalFormatting>
  <conditionalFormatting sqref="R107">
    <cfRule type="cellIs" dxfId="1538" priority="117" stopIfTrue="1" operator="equal">
      <formula>"2002 г. крайно ДТ с-до"</formula>
    </cfRule>
  </conditionalFormatting>
  <conditionalFormatting sqref="O170:P170 R170:S170">
    <cfRule type="cellIs" dxfId="1537" priority="130" stopIfTrue="1" operator="lessThan">
      <formula>0</formula>
    </cfRule>
  </conditionalFormatting>
  <conditionalFormatting sqref="O170:P170 R170:S170">
    <cfRule type="cellIs" dxfId="1536" priority="129" stopIfTrue="1" operator="lessThan">
      <formula>0</formula>
    </cfRule>
  </conditionalFormatting>
  <conditionalFormatting sqref="O167:P167 R167:S167">
    <cfRule type="cellIs" dxfId="1535" priority="127" stopIfTrue="1" operator="lessThan">
      <formula>0</formula>
    </cfRule>
  </conditionalFormatting>
  <conditionalFormatting sqref="O167:P167 R167:S167">
    <cfRule type="cellIs" dxfId="1534" priority="128" stopIfTrue="1" operator="lessThan">
      <formula>0</formula>
    </cfRule>
  </conditionalFormatting>
  <conditionalFormatting sqref="O169:P169 R169:S169">
    <cfRule type="cellIs" dxfId="1533" priority="126" stopIfTrue="1" operator="lessThan">
      <formula>0</formula>
    </cfRule>
  </conditionalFormatting>
  <conditionalFormatting sqref="O169:P169 R169:S169">
    <cfRule type="cellIs" dxfId="1532" priority="125" stopIfTrue="1" operator="lessThan">
      <formula>0</formula>
    </cfRule>
  </conditionalFormatting>
  <conditionalFormatting sqref="V111:V113">
    <cfRule type="cellIs" dxfId="1531" priority="124" stopIfTrue="1" operator="lessThan">
      <formula>0</formula>
    </cfRule>
  </conditionalFormatting>
  <conditionalFormatting sqref="V111:V113">
    <cfRule type="cellIs" dxfId="1530" priority="123" stopIfTrue="1" operator="lessThan">
      <formula>0</formula>
    </cfRule>
  </conditionalFormatting>
  <conditionalFormatting sqref="V111">
    <cfRule type="cellIs" dxfId="1529" priority="122" stopIfTrue="1" operator="notEqual">
      <formula>0</formula>
    </cfRule>
  </conditionalFormatting>
  <conditionalFormatting sqref="V112">
    <cfRule type="cellIs" dxfId="1528" priority="121" stopIfTrue="1" operator="notEqual">
      <formula>0</formula>
    </cfRule>
  </conditionalFormatting>
  <conditionalFormatting sqref="V113">
    <cfRule type="cellIs" dxfId="1527" priority="120" stopIfTrue="1" operator="notEqual">
      <formula>0</formula>
    </cfRule>
  </conditionalFormatting>
  <conditionalFormatting sqref="R106">
    <cfRule type="cellIs" dxfId="1526" priority="118" stopIfTrue="1" operator="lessThan">
      <formula>0</formula>
    </cfRule>
  </conditionalFormatting>
  <conditionalFormatting sqref="R98">
    <cfRule type="cellIs" dxfId="1525" priority="119" stopIfTrue="1" operator="equal">
      <formula>"2002 г. крайно ДТ с-до"</formula>
    </cfRule>
  </conditionalFormatting>
  <conditionalFormatting sqref="R101">
    <cfRule type="cellIs" dxfId="1524" priority="116" stopIfTrue="1" operator="equal">
      <formula>"2002 г. крайно ДТ с-до"</formula>
    </cfRule>
  </conditionalFormatting>
  <conditionalFormatting sqref="R96">
    <cfRule type="cellIs" dxfId="1523" priority="107" stopIfTrue="1" operator="equal">
      <formula>"2002 г. крайно ДТ с-до"</formula>
    </cfRule>
  </conditionalFormatting>
  <conditionalFormatting sqref="R96">
    <cfRule type="cellIs" dxfId="1522" priority="106" stopIfTrue="1" operator="equal">
      <formula>"2002 г. крайно ДТ с-до"</formula>
    </cfRule>
  </conditionalFormatting>
  <conditionalFormatting sqref="S96">
    <cfRule type="cellIs" dxfId="1521" priority="105" stopIfTrue="1" operator="equal">
      <formula>"2002 г. крайно ДТ с-до"</formula>
    </cfRule>
  </conditionalFormatting>
  <conditionalFormatting sqref="R103">
    <cfRule type="cellIs" dxfId="1520" priority="112" stopIfTrue="1" operator="lessThan">
      <formula>0</formula>
    </cfRule>
  </conditionalFormatting>
  <conditionalFormatting sqref="R104">
    <cfRule type="cellIs" dxfId="1519" priority="111" stopIfTrue="1" operator="equal">
      <formula>"2002 г. крайно ДТ с-до"</formula>
    </cfRule>
  </conditionalFormatting>
  <conditionalFormatting sqref="R96">
    <cfRule type="cellIs" dxfId="1518" priority="109" stopIfTrue="1" operator="equal">
      <formula>"2002 г. крайно ДТ с-до"</formula>
    </cfRule>
  </conditionalFormatting>
  <conditionalFormatting sqref="R96">
    <cfRule type="cellIs" dxfId="1517" priority="108" stopIfTrue="1" operator="equal">
      <formula>"2002 г. крайно ДТ с-до"</formula>
    </cfRule>
  </conditionalFormatting>
  <conditionalFormatting sqref="R118">
    <cfRule type="cellIs" dxfId="1516" priority="96" stopIfTrue="1" operator="equal">
      <formula>"2002 г. крайно ДТ с-до"</formula>
    </cfRule>
  </conditionalFormatting>
  <conditionalFormatting sqref="U116">
    <cfRule type="cellIs" dxfId="1515" priority="94" stopIfTrue="1" operator="equal">
      <formula>"2002 г. крайно ДТ с-до"</formula>
    </cfRule>
  </conditionalFormatting>
  <conditionalFormatting sqref="U115">
    <cfRule type="cellIs" dxfId="1514" priority="81" stopIfTrue="1" operator="equal">
      <formula>"2002 г. крайно ДТ с-до"</formula>
    </cfRule>
  </conditionalFormatting>
  <conditionalFormatting sqref="R119">
    <cfRule type="cellIs" dxfId="1513" priority="100" stopIfTrue="1" operator="equal">
      <formula>"2002 г. крайно ДТ с-до"</formula>
    </cfRule>
  </conditionalFormatting>
  <conditionalFormatting sqref="U112">
    <cfRule type="cellIs" dxfId="1512" priority="76" stopIfTrue="1" operator="equal">
      <formula>"2002 г. крайно ДТ с-до"</formula>
    </cfRule>
  </conditionalFormatting>
  <conditionalFormatting sqref="R112">
    <cfRule type="cellIs" dxfId="1511" priority="97" stopIfTrue="1" operator="equal">
      <formula>"2002 г. крайно ДТ с-до"</formula>
    </cfRule>
  </conditionalFormatting>
  <conditionalFormatting sqref="U115">
    <cfRule type="cellIs" dxfId="1510" priority="80" stopIfTrue="1" operator="equal">
      <formula>"2002 г. крайно ДТ с-до"</formula>
    </cfRule>
  </conditionalFormatting>
  <conditionalFormatting sqref="U112">
    <cfRule type="cellIs" dxfId="1509" priority="73" stopIfTrue="1" operator="equal">
      <formula>"2002 г. крайно ДТ с-до"</formula>
    </cfRule>
  </conditionalFormatting>
  <conditionalFormatting sqref="U126">
    <cfRule type="cellIs" dxfId="1508" priority="86" stopIfTrue="1" operator="equal">
      <formula>"2002 г. крайно ДТ с-до"</formula>
    </cfRule>
  </conditionalFormatting>
  <conditionalFormatting sqref="U128">
    <cfRule type="cellIs" dxfId="1507" priority="85" stopIfTrue="1" operator="equal">
      <formula>"2002 г. крайно ДТ с-до"</formula>
    </cfRule>
  </conditionalFormatting>
  <conditionalFormatting sqref="U112">
    <cfRule type="cellIs" dxfId="1506" priority="75" stopIfTrue="1" operator="equal">
      <formula>"2002 г. крайно ДТ с-до"</formula>
    </cfRule>
  </conditionalFormatting>
  <conditionalFormatting sqref="U115">
    <cfRule type="cellIs" dxfId="1505" priority="82" stopIfTrue="1" operator="lessThan">
      <formula>0</formula>
    </cfRule>
  </conditionalFormatting>
  <conditionalFormatting sqref="U115">
    <cfRule type="cellIs" dxfId="1504" priority="78" stopIfTrue="1" operator="equal">
      <formula>"2002 г. крайно ДТ с-до"</formula>
    </cfRule>
  </conditionalFormatting>
  <conditionalFormatting sqref="U112">
    <cfRule type="cellIs" dxfId="1503" priority="77" stopIfTrue="1" operator="lessThan">
      <formula>0</formula>
    </cfRule>
  </conditionalFormatting>
  <conditionalFormatting sqref="U112">
    <cfRule type="cellIs" dxfId="1502" priority="74" stopIfTrue="1" operator="equal">
      <formula>"2002 г. крайно ДТ с-до"</formula>
    </cfRule>
  </conditionalFormatting>
  <conditionalFormatting sqref="U130">
    <cfRule type="cellIs" dxfId="1501" priority="64" stopIfTrue="1" operator="equal">
      <formula>"2002 г. крайно ДТ с-до"</formula>
    </cfRule>
  </conditionalFormatting>
  <conditionalFormatting sqref="U129">
    <cfRule type="cellIs" dxfId="1500" priority="72" stopIfTrue="1" operator="lessThan">
      <formula>0</formula>
    </cfRule>
  </conditionalFormatting>
  <conditionalFormatting sqref="U127">
    <cfRule type="cellIs" dxfId="1499" priority="71" stopIfTrue="1" operator="lessThan">
      <formula>0</formula>
    </cfRule>
  </conditionalFormatting>
  <conditionalFormatting sqref="U127">
    <cfRule type="cellIs" dxfId="1498" priority="70" stopIfTrue="1" operator="lessThan">
      <formula>0</formula>
    </cfRule>
  </conditionalFormatting>
  <conditionalFormatting sqref="U127">
    <cfRule type="cellIs" dxfId="1497" priority="69" stopIfTrue="1" operator="notEqual">
      <formula>0</formula>
    </cfRule>
  </conditionalFormatting>
  <conditionalFormatting sqref="U125">
    <cfRule type="cellIs" dxfId="1496" priority="53" stopIfTrue="1" operator="lessThan">
      <formula>0</formula>
    </cfRule>
  </conditionalFormatting>
  <conditionalFormatting sqref="U125">
    <cfRule type="cellIs" dxfId="1495" priority="52" stopIfTrue="1" operator="lessThan">
      <formula>0</formula>
    </cfRule>
  </conditionalFormatting>
  <conditionalFormatting sqref="U125">
    <cfRule type="cellIs" dxfId="1494" priority="51" stopIfTrue="1" operator="notEqual">
      <formula>0</formula>
    </cfRule>
  </conditionalFormatting>
  <conditionalFormatting sqref="T123">
    <cfRule type="cellIs" dxfId="1493" priority="55" stopIfTrue="1" operator="equal">
      <formula>"2002 г. крайно ДТ с-до"</formula>
    </cfRule>
  </conditionalFormatting>
  <conditionalFormatting sqref="T123">
    <cfRule type="cellIs" dxfId="1492" priority="58" stopIfTrue="1" operator="equal">
      <formula>"2002 г. крайно ДТ с-до"</formula>
    </cfRule>
  </conditionalFormatting>
  <conditionalFormatting sqref="T123">
    <cfRule type="cellIs" dxfId="1491" priority="56" stopIfTrue="1" operator="equal">
      <formula>"2002 г. крайно ДТ с-до"</formula>
    </cfRule>
  </conditionalFormatting>
  <conditionalFormatting sqref="T123">
    <cfRule type="cellIs" dxfId="1490" priority="57" stopIfTrue="1" operator="equal">
      <formula>"2002 г. крайно ДТ с-до"</formula>
    </cfRule>
  </conditionalFormatting>
  <conditionalFormatting sqref="S125">
    <cfRule type="cellIs" dxfId="1489" priority="54" stopIfTrue="1" operator="lessThan">
      <formula>0</formula>
    </cfRule>
  </conditionalFormatting>
  <conditionalFormatting sqref="V114">
    <cfRule type="cellIs" dxfId="1488" priority="39" stopIfTrue="1" operator="equal">
      <formula>"2002 г. крайно ДТ с-до"</formula>
    </cfRule>
  </conditionalFormatting>
  <conditionalFormatting sqref="V114">
    <cfRule type="cellIs" dxfId="1487" priority="36" stopIfTrue="1" operator="equal">
      <formula>"2002 г. крайно ДТ с-до"</formula>
    </cfRule>
  </conditionalFormatting>
  <conditionalFormatting sqref="V114">
    <cfRule type="cellIs" dxfId="1486" priority="38" stopIfTrue="1" operator="equal">
      <formula>"2002 г. крайно ДТ с-до"</formula>
    </cfRule>
  </conditionalFormatting>
  <conditionalFormatting sqref="V114">
    <cfRule type="cellIs" dxfId="1485" priority="40" stopIfTrue="1" operator="lessThan">
      <formula>0</formula>
    </cfRule>
  </conditionalFormatting>
  <conditionalFormatting sqref="V114">
    <cfRule type="cellIs" dxfId="1484" priority="37" stopIfTrue="1" operator="equal">
      <formula>"2002 г. крайно ДТ с-до"</formula>
    </cfRule>
  </conditionalFormatting>
  <conditionalFormatting sqref="V117">
    <cfRule type="cellIs" dxfId="1483" priority="34" stopIfTrue="1" operator="equal">
      <formula>"2002 г. крайно ДТ с-до"</formula>
    </cfRule>
  </conditionalFormatting>
  <conditionalFormatting sqref="V117">
    <cfRule type="cellIs" dxfId="1482" priority="31" stopIfTrue="1" operator="equal">
      <formula>"2002 г. крайно ДТ с-до"</formula>
    </cfRule>
  </conditionalFormatting>
  <conditionalFormatting sqref="V117">
    <cfRule type="cellIs" dxfId="1481" priority="33" stopIfTrue="1" operator="equal">
      <formula>"2002 г. крайно ДТ с-до"</formula>
    </cfRule>
  </conditionalFormatting>
  <conditionalFormatting sqref="V117">
    <cfRule type="cellIs" dxfId="1480" priority="35" stopIfTrue="1" operator="lessThan">
      <formula>0</formula>
    </cfRule>
  </conditionalFormatting>
  <conditionalFormatting sqref="V117">
    <cfRule type="cellIs" dxfId="1479" priority="32" stopIfTrue="1" operator="equal">
      <formula>"2002 г. крайно ДТ с-до"</formula>
    </cfRule>
  </conditionalFormatting>
  <conditionalFormatting sqref="S131:S145 T132:U145">
    <cfRule type="cellIs" dxfId="1478" priority="30" stopIfTrue="1" operator="lessThan">
      <formula>0</formula>
    </cfRule>
  </conditionalFormatting>
  <conditionalFormatting sqref="R126:R127 O126:P127">
    <cfRule type="cellIs" dxfId="1477" priority="26" stopIfTrue="1" operator="lessThan">
      <formula>0</formula>
    </cfRule>
  </conditionalFormatting>
  <conditionalFormatting sqref="R126:R127">
    <cfRule type="cellIs" dxfId="1476" priority="25" stopIfTrue="1" operator="lessThan">
      <formula>0</formula>
    </cfRule>
  </conditionalFormatting>
  <conditionalFormatting sqref="N127">
    <cfRule type="cellIs" dxfId="1475" priority="24" stopIfTrue="1" operator="lessThan">
      <formula>0</formula>
    </cfRule>
  </conditionalFormatting>
  <conditionalFormatting sqref="N126">
    <cfRule type="cellIs" dxfId="1474" priority="23" stopIfTrue="1" operator="lessThan">
      <formula>0</formula>
    </cfRule>
  </conditionalFormatting>
  <conditionalFormatting sqref="O128:P128">
    <cfRule type="cellIs" dxfId="1473" priority="22" stopIfTrue="1" operator="lessThan">
      <formula>0</formula>
    </cfRule>
  </conditionalFormatting>
  <conditionalFormatting sqref="N128">
    <cfRule type="cellIs" dxfId="1472" priority="21" stopIfTrue="1" operator="lessThan">
      <formula>0</formula>
    </cfRule>
  </conditionalFormatting>
  <conditionalFormatting sqref="C110:K110">
    <cfRule type="cellIs" dxfId="1471" priority="3" stopIfTrue="1" operator="equal">
      <formula>"2002 г. крайно ДТ с-до"</formula>
    </cfRule>
  </conditionalFormatting>
  <conditionalFormatting sqref="C121:K121">
    <cfRule type="cellIs" dxfId="1470" priority="2" stopIfTrue="1" operator="equal">
      <formula>"2002 г. крайно ДТ с-до"</formula>
    </cfRule>
  </conditionalFormatting>
  <conditionalFormatting sqref="P96">
    <cfRule type="cellIs" dxfId="1469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I1176"/>
  <sheetViews>
    <sheetView zoomScale="90" zoomScaleNormal="9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16" width="23.7109375" style="1393" customWidth="1"/>
    <col min="17" max="17" width="1" style="1395" customWidth="1"/>
    <col min="18" max="19" width="23.7109375" style="1393" customWidth="1"/>
    <col min="20" max="20" width="1" style="1395" customWidth="1"/>
    <col min="21" max="22" width="23.7109375" style="1393" customWidth="1"/>
    <col min="23" max="23" width="4.28515625" style="1395" customWidth="1"/>
    <col min="24" max="25" width="23.7109375" style="1393" customWidth="1"/>
    <col min="26" max="26" width="4" style="1392" customWidth="1"/>
    <col min="27" max="27" width="23.7109375" style="1393" customWidth="1"/>
    <col min="28" max="28" width="2.28515625" style="1392" customWidth="1"/>
    <col min="29" max="31" width="9.140625" style="1392"/>
    <col min="32" max="32" width="2.28515625" style="1392" customWidth="1"/>
    <col min="33" max="16384" width="9.140625" style="1392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50" t="s">
        <v>257</v>
      </c>
      <c r="B2" s="202"/>
      <c r="C2" s="203"/>
      <c r="D2" s="202"/>
      <c r="E2" s="2511">
        <f>+'TRIAL-BALANCE'!E2:L2</f>
        <v>0</v>
      </c>
      <c r="F2" s="2512"/>
      <c r="G2" s="2512"/>
      <c r="H2" s="2512"/>
      <c r="I2" s="2512"/>
      <c r="J2" s="2512"/>
      <c r="K2" s="2512"/>
      <c r="L2" s="2513"/>
      <c r="M2" s="46"/>
      <c r="N2" s="111"/>
      <c r="O2" s="1627" t="str">
        <f>+IF(+ROUND(P470=0,2),"O K","НЕРАВНЕНИЕ!")</f>
        <v>O K</v>
      </c>
      <c r="P2" s="1625" t="s">
        <v>1463</v>
      </c>
      <c r="Q2" s="46"/>
      <c r="R2" s="1629" t="str">
        <f>+IF(+ROUND(S470=0,2),"O K","НЕРАВНЕНИЕ!")</f>
        <v>O K</v>
      </c>
      <c r="S2" s="1628" t="s">
        <v>1464</v>
      </c>
      <c r="T2" s="46"/>
      <c r="U2" s="1631" t="str">
        <f>+IF(+ROUND(V470=0,2),"O K","НЕРАВНЕНИЕ!")</f>
        <v>O K</v>
      </c>
      <c r="V2" s="1805" t="s">
        <v>1465</v>
      </c>
      <c r="W2" s="46"/>
      <c r="X2" s="1634" t="str">
        <f>+IF(+ROUND(Y470=0,2),"O K","НЕРАВНЕНИЕ!")</f>
        <v>O K</v>
      </c>
      <c r="Y2" s="1633" t="s">
        <v>1466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от Регистъра на бюдж. организации в СЕБРА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17"/>
      <c r="P3" s="17"/>
      <c r="Q3" s="45"/>
      <c r="R3" s="1587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>
        <f>+'TRIAL-BALANCE'!G4:L4</f>
        <v>0</v>
      </c>
      <c r="H4" s="2474"/>
      <c r="I4" s="2474"/>
      <c r="J4" s="2474"/>
      <c r="K4" s="2474"/>
      <c r="L4" s="2475"/>
      <c r="M4" s="47"/>
      <c r="N4" s="111"/>
      <c r="O4" s="1627" t="str">
        <f>+IF(+ROUND(P466,2)=0,"O K","НЕРАВНЕНИЕ !")</f>
        <v>O K</v>
      </c>
      <c r="P4" s="1626" t="str">
        <f>+IF(+ROUND(P468,2)=0,"O K","НЕРАВНЕНИЕ !")</f>
        <v>O K</v>
      </c>
      <c r="Q4" s="47"/>
      <c r="R4" s="1629" t="str">
        <f>+IF(+ROUND(+S466,2)=0,"O K","НЕРАВНЕНИЕ !")</f>
        <v>O K</v>
      </c>
      <c r="S4" s="1630" t="str">
        <f>+IF(+ROUND(+S468,2)=0,"O K","НЕРАВНЕНИЕ !")</f>
        <v>O K</v>
      </c>
      <c r="T4" s="47"/>
      <c r="U4" s="1631" t="str">
        <f>+IF(+ROUND(V466,2)=0,"O K","НЕРАВНЕНИЕ !")</f>
        <v>O K</v>
      </c>
      <c r="V4" s="1632" t="str">
        <f>+IF(+ROUND(V468,2)=0,"O K","НЕРАВНЕНИЕ !")</f>
        <v>O K</v>
      </c>
      <c r="W4" s="47"/>
      <c r="X4" s="1634" t="str">
        <f>+IF(+ROUND(Y466,2)=0,"O K","НЕРАВНЕНИЕ !")</f>
        <v>O K</v>
      </c>
      <c r="Y4" s="1635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17"/>
      <c r="P5" s="17"/>
      <c r="Q5" s="45"/>
      <c r="R5" s="428"/>
      <c r="S5" s="428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18" t="s">
        <v>792</v>
      </c>
      <c r="B6" s="202"/>
      <c r="C6" s="2462">
        <f>+'TRIAL-BALANCE'!C6:E6</f>
        <v>0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1642" t="s">
        <v>1134</v>
      </c>
      <c r="P6" s="1643"/>
      <c r="Q6" s="48"/>
      <c r="R6" s="1640" t="s">
        <v>1134</v>
      </c>
      <c r="S6" s="1641"/>
      <c r="T6" s="48"/>
      <c r="U6" s="1638" t="str">
        <f>+R6</f>
        <v xml:space="preserve">   ПРЕДХОДНА ГОДИНА - САЛДА ПО СМЕТКИ</v>
      </c>
      <c r="V6" s="1639"/>
      <c r="W6" s="48"/>
      <c r="X6" s="1636" t="s">
        <v>1293</v>
      </c>
      <c r="Y6" s="1637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93"/>
      <c r="P7" s="896"/>
      <c r="Q7" s="421"/>
      <c r="R7" s="977"/>
      <c r="S7" s="961"/>
      <c r="T7" s="45"/>
      <c r="U7" s="894"/>
      <c r="V7" s="895"/>
      <c r="W7" s="45"/>
      <c r="X7" s="1595"/>
      <c r="Y7" s="1596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52" t="s">
        <v>258</v>
      </c>
      <c r="B8" s="206"/>
      <c r="C8" s="1056">
        <f>+'TRIAL-BALANCE'!C8</f>
        <v>0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65" t="s">
        <v>378</v>
      </c>
      <c r="O8" s="1376" t="s">
        <v>1119</v>
      </c>
      <c r="P8" s="1113">
        <f>+$I12</f>
        <v>2020</v>
      </c>
      <c r="Q8" s="48"/>
      <c r="R8" s="1114" t="s">
        <v>1461</v>
      </c>
      <c r="S8" s="1115">
        <f>+$I12</f>
        <v>2020</v>
      </c>
      <c r="T8" s="48"/>
      <c r="U8" s="1776" t="s">
        <v>1462</v>
      </c>
      <c r="V8" s="1644">
        <f>+$I12</f>
        <v>2020</v>
      </c>
      <c r="W8" s="48"/>
      <c r="X8" s="1597" t="s">
        <v>1292</v>
      </c>
      <c r="Y8" s="1598"/>
      <c r="Z8" s="43"/>
      <c r="AA8" s="2170" t="s">
        <v>1120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66"/>
      <c r="O9" s="22"/>
      <c r="P9" s="25"/>
      <c r="Q9" s="45"/>
      <c r="R9" s="22"/>
      <c r="S9" s="25"/>
      <c r="T9" s="45"/>
      <c r="U9" s="22"/>
      <c r="V9" s="25"/>
      <c r="W9" s="45"/>
      <c r="X9" s="1599"/>
      <c r="Y9" s="1600"/>
      <c r="Z9" s="43"/>
      <c r="AA9" s="1619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0</v>
      </c>
      <c r="L10" s="2519"/>
      <c r="M10" s="48"/>
      <c r="N10" s="1577">
        <f>+$C8</f>
        <v>0</v>
      </c>
      <c r="O10" s="950" t="s">
        <v>1133</v>
      </c>
      <c r="P10" s="146"/>
      <c r="Q10" s="49"/>
      <c r="R10" s="950" t="s">
        <v>1133</v>
      </c>
      <c r="S10" s="146"/>
      <c r="T10" s="49"/>
      <c r="U10" s="950" t="s">
        <v>1133</v>
      </c>
      <c r="V10" s="146"/>
      <c r="W10" s="48"/>
      <c r="X10" s="1601" t="s">
        <v>1132</v>
      </c>
      <c r="Y10" s="1602"/>
      <c r="Z10" s="43"/>
      <c r="AA10" s="2171" t="s">
        <v>1123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371"/>
      <c r="P11" s="136"/>
      <c r="Q11" s="45"/>
      <c r="R11" s="371"/>
      <c r="S11" s="136"/>
      <c r="T11" s="45"/>
      <c r="U11" s="959"/>
      <c r="V11" s="141"/>
      <c r="W11" s="45"/>
      <c r="X11" s="1603"/>
      <c r="Y11" s="1604"/>
      <c r="Z11" s="43"/>
      <c r="AA11" s="1620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88" t="s">
        <v>1467</v>
      </c>
      <c r="B12" s="1413"/>
      <c r="C12" s="1589"/>
      <c r="D12" s="1590"/>
      <c r="E12" s="1591"/>
      <c r="F12" s="1591"/>
      <c r="G12" s="1592"/>
      <c r="H12" s="1592"/>
      <c r="I12" s="1593">
        <f>+E8-1</f>
        <v>2020</v>
      </c>
      <c r="J12" s="1592"/>
      <c r="K12" s="1592"/>
      <c r="L12" s="1594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60" t="s">
        <v>371</v>
      </c>
      <c r="Q12" s="50"/>
      <c r="R12" s="1059" t="s">
        <v>370</v>
      </c>
      <c r="S12" s="1060" t="s">
        <v>371</v>
      </c>
      <c r="T12" s="50"/>
      <c r="U12" s="1059" t="s">
        <v>370</v>
      </c>
      <c r="V12" s="1060" t="s">
        <v>371</v>
      </c>
      <c r="W12" s="50"/>
      <c r="X12" s="1605" t="s">
        <v>370</v>
      </c>
      <c r="Y12" s="1606" t="s">
        <v>371</v>
      </c>
      <c r="Z12" s="43"/>
      <c r="AA12" s="2172" t="s">
        <v>2082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903" t="s">
        <v>1468</v>
      </c>
      <c r="B13" s="902"/>
      <c r="C13" s="897"/>
      <c r="D13" s="897"/>
      <c r="E13" s="897"/>
      <c r="F13" s="897"/>
      <c r="G13" s="897"/>
      <c r="H13" s="897"/>
      <c r="I13" s="897"/>
      <c r="J13" s="897"/>
      <c r="K13" s="897"/>
      <c r="L13" s="898"/>
      <c r="M13" s="49"/>
      <c r="N13" s="1118" t="s">
        <v>1126</v>
      </c>
      <c r="O13" s="1116"/>
      <c r="P13" s="1117"/>
      <c r="Q13" s="344"/>
      <c r="R13" s="1116"/>
      <c r="S13" s="1117"/>
      <c r="T13" s="344"/>
      <c r="U13" s="1116"/>
      <c r="V13" s="1117"/>
      <c r="W13" s="49"/>
      <c r="X13" s="1607"/>
      <c r="Y13" s="1608"/>
      <c r="Z13" s="43"/>
      <c r="AA13" s="2173" t="s">
        <v>1124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72">
        <v>12969320.109999999</v>
      </c>
      <c r="Q14" s="51"/>
      <c r="R14" s="323">
        <v>0</v>
      </c>
      <c r="S14" s="372">
        <v>7499.05</v>
      </c>
      <c r="T14" s="51"/>
      <c r="U14" s="323">
        <v>0</v>
      </c>
      <c r="V14" s="372">
        <v>18726.54</v>
      </c>
      <c r="W14" s="51"/>
      <c r="X14" s="351">
        <f>+ROUND(+O14+R14+U14,2)</f>
        <v>0</v>
      </c>
      <c r="Y14" s="1609">
        <f>+ROUND(+P14+S14+V14,2)</f>
        <v>12995545.699999999</v>
      </c>
      <c r="Z14" s="43"/>
      <c r="AA14" s="1621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>+A15</f>
        <v>1101</v>
      </c>
      <c r="O15" s="323">
        <v>0</v>
      </c>
      <c r="P15" s="372">
        <v>1088949.8</v>
      </c>
      <c r="Q15" s="51"/>
      <c r="R15" s="323">
        <v>0</v>
      </c>
      <c r="S15" s="372">
        <v>4051593.34</v>
      </c>
      <c r="T15" s="51"/>
      <c r="U15" s="323">
        <v>0</v>
      </c>
      <c r="V15" s="372">
        <v>53343885.130000003</v>
      </c>
      <c r="W15" s="51"/>
      <c r="X15" s="351">
        <f>+ROUND(+O15+R15+U15,2)</f>
        <v>0</v>
      </c>
      <c r="Y15" s="1609">
        <f>+ROUND(+P15+S15+V15,2)</f>
        <v>58484428.270000003</v>
      </c>
      <c r="Z15" s="43"/>
      <c r="AA15" s="1621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904" t="s">
        <v>1121</v>
      </c>
      <c r="B16" s="905"/>
      <c r="C16" s="899"/>
      <c r="D16" s="899"/>
      <c r="E16" s="899"/>
      <c r="F16" s="899"/>
      <c r="G16" s="899"/>
      <c r="H16" s="899"/>
      <c r="I16" s="899"/>
      <c r="J16" s="899"/>
      <c r="K16" s="899"/>
      <c r="L16" s="900"/>
      <c r="M16" s="51" t="s">
        <v>265</v>
      </c>
      <c r="N16" s="917">
        <v>6</v>
      </c>
      <c r="O16" s="952"/>
      <c r="P16" s="953"/>
      <c r="Q16" s="51"/>
      <c r="R16" s="952"/>
      <c r="S16" s="953"/>
      <c r="T16" s="51"/>
      <c r="U16" s="952"/>
      <c r="V16" s="953"/>
      <c r="W16" s="51"/>
      <c r="X16" s="384"/>
      <c r="Y16" s="387"/>
      <c r="Z16" s="43"/>
      <c r="AA16" s="1623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53">
        <v>6010</v>
      </c>
      <c r="B17" s="1054" t="s">
        <v>322</v>
      </c>
      <c r="C17" s="614"/>
      <c r="D17" s="614"/>
      <c r="E17" s="614"/>
      <c r="F17" s="614"/>
      <c r="G17" s="614"/>
      <c r="H17" s="614"/>
      <c r="I17" s="614"/>
      <c r="J17" s="614"/>
      <c r="K17" s="614"/>
      <c r="L17" s="615"/>
      <c r="M17" s="51" t="s">
        <v>265</v>
      </c>
      <c r="N17" s="112">
        <f t="shared" ref="N17:N85" si="0">+A17</f>
        <v>6010</v>
      </c>
      <c r="O17" s="323">
        <v>500154.04</v>
      </c>
      <c r="P17" s="372">
        <v>0</v>
      </c>
      <c r="Q17" s="51"/>
      <c r="R17" s="323">
        <v>2658.86</v>
      </c>
      <c r="S17" s="372">
        <v>0</v>
      </c>
      <c r="T17" s="51"/>
      <c r="U17" s="323"/>
      <c r="V17" s="372"/>
      <c r="W17" s="51"/>
      <c r="X17" s="351">
        <f t="shared" ref="X17:X47" si="1">+ROUND(+O17+R17+U17,2)</f>
        <v>502812.9</v>
      </c>
      <c r="Y17" s="1609">
        <f t="shared" ref="Y17:Y47" si="2">+ROUND(+P17+S17+V17,2)</f>
        <v>0</v>
      </c>
      <c r="Z17" s="43"/>
      <c r="AA17" s="1621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32" t="s">
        <v>323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 t="s">
        <v>265</v>
      </c>
      <c r="N18" s="113">
        <f t="shared" si="0"/>
        <v>6011</v>
      </c>
      <c r="O18" s="323">
        <v>27662.48</v>
      </c>
      <c r="P18" s="372">
        <v>0</v>
      </c>
      <c r="Q18" s="51"/>
      <c r="R18" s="120">
        <v>20010.810000000001</v>
      </c>
      <c r="S18" s="888">
        <v>0</v>
      </c>
      <c r="T18" s="51"/>
      <c r="U18" s="120"/>
      <c r="V18" s="888"/>
      <c r="W18" s="51"/>
      <c r="X18" s="351">
        <f t="shared" si="1"/>
        <v>47673.29</v>
      </c>
      <c r="Y18" s="1609">
        <f t="shared" si="2"/>
        <v>0</v>
      </c>
      <c r="Z18" s="43"/>
      <c r="AA18" s="1621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32" t="s">
        <v>324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 t="s">
        <v>265</v>
      </c>
      <c r="N19" s="113">
        <f t="shared" si="0"/>
        <v>6012</v>
      </c>
      <c r="O19" s="323">
        <v>320734.28999999998</v>
      </c>
      <c r="P19" s="372">
        <v>0</v>
      </c>
      <c r="Q19" s="51"/>
      <c r="R19" s="120">
        <v>31642.15</v>
      </c>
      <c r="S19" s="888">
        <v>0</v>
      </c>
      <c r="T19" s="51"/>
      <c r="U19" s="120"/>
      <c r="V19" s="888"/>
      <c r="W19" s="51"/>
      <c r="X19" s="351">
        <f t="shared" si="1"/>
        <v>352376.44</v>
      </c>
      <c r="Y19" s="1609">
        <f t="shared" si="2"/>
        <v>0</v>
      </c>
      <c r="Z19" s="43"/>
      <c r="AA19" s="1621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32" t="s">
        <v>325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 t="s">
        <v>265</v>
      </c>
      <c r="N20" s="113">
        <f t="shared" si="0"/>
        <v>6013</v>
      </c>
      <c r="O20" s="323">
        <v>838.18</v>
      </c>
      <c r="P20" s="372">
        <v>0</v>
      </c>
      <c r="Q20" s="51"/>
      <c r="R20" s="120"/>
      <c r="S20" s="888"/>
      <c r="T20" s="51"/>
      <c r="U20" s="120"/>
      <c r="V20" s="888"/>
      <c r="W20" s="51"/>
      <c r="X20" s="351">
        <f t="shared" si="1"/>
        <v>838.18</v>
      </c>
      <c r="Y20" s="1609">
        <f t="shared" si="2"/>
        <v>0</v>
      </c>
      <c r="Z20" s="43"/>
      <c r="AA20" s="1621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32" t="s">
        <v>326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 t="s">
        <v>265</v>
      </c>
      <c r="N21" s="113">
        <f t="shared" si="0"/>
        <v>6014</v>
      </c>
      <c r="O21" s="323">
        <v>53394.69</v>
      </c>
      <c r="P21" s="372">
        <v>0</v>
      </c>
      <c r="Q21" s="51"/>
      <c r="R21" s="120">
        <v>376</v>
      </c>
      <c r="S21" s="888">
        <v>0</v>
      </c>
      <c r="T21" s="51"/>
      <c r="U21" s="120"/>
      <c r="V21" s="888"/>
      <c r="W21" s="51"/>
      <c r="X21" s="351">
        <f t="shared" si="1"/>
        <v>53770.69</v>
      </c>
      <c r="Y21" s="1609">
        <f t="shared" si="2"/>
        <v>0</v>
      </c>
      <c r="Z21" s="43"/>
      <c r="AA21" s="1621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32" t="s">
        <v>327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0"/>
        <v>6015</v>
      </c>
      <c r="O22" s="323">
        <v>30461.19</v>
      </c>
      <c r="P22" s="372">
        <v>0</v>
      </c>
      <c r="Q22" s="51"/>
      <c r="R22" s="120"/>
      <c r="S22" s="888"/>
      <c r="T22" s="51"/>
      <c r="U22" s="120"/>
      <c r="V22" s="888"/>
      <c r="W22" s="51"/>
      <c r="X22" s="351">
        <f t="shared" si="1"/>
        <v>30461.19</v>
      </c>
      <c r="Y22" s="1609">
        <f t="shared" si="2"/>
        <v>0</v>
      </c>
      <c r="Z22" s="43"/>
      <c r="AA22" s="1621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32" t="s">
        <v>328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0"/>
        <v>6016</v>
      </c>
      <c r="O23" s="323">
        <v>7710.19</v>
      </c>
      <c r="P23" s="372">
        <v>0</v>
      </c>
      <c r="Q23" s="51"/>
      <c r="R23" s="120"/>
      <c r="S23" s="888"/>
      <c r="T23" s="51"/>
      <c r="U23" s="120"/>
      <c r="V23" s="888"/>
      <c r="W23" s="51"/>
      <c r="X23" s="351">
        <f t="shared" si="1"/>
        <v>7710.19</v>
      </c>
      <c r="Y23" s="1609">
        <f t="shared" si="2"/>
        <v>0</v>
      </c>
      <c r="Z23" s="43"/>
      <c r="AA23" s="1621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32" t="s">
        <v>329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0"/>
        <v>6017</v>
      </c>
      <c r="O24" s="323">
        <v>5015.75</v>
      </c>
      <c r="P24" s="372">
        <v>0</v>
      </c>
      <c r="Q24" s="51"/>
      <c r="R24" s="120">
        <v>931.12</v>
      </c>
      <c r="S24" s="888">
        <v>0</v>
      </c>
      <c r="T24" s="51"/>
      <c r="U24" s="120"/>
      <c r="V24" s="888"/>
      <c r="W24" s="51"/>
      <c r="X24" s="351">
        <f t="shared" si="1"/>
        <v>5946.87</v>
      </c>
      <c r="Y24" s="1609">
        <f t="shared" si="2"/>
        <v>0</v>
      </c>
      <c r="Z24" s="43"/>
      <c r="AA24" s="1621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32" t="s">
        <v>330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0"/>
        <v>6018</v>
      </c>
      <c r="O25" s="323">
        <v>26111.24</v>
      </c>
      <c r="P25" s="372">
        <v>0</v>
      </c>
      <c r="Q25" s="51"/>
      <c r="R25" s="120"/>
      <c r="S25" s="888"/>
      <c r="T25" s="51"/>
      <c r="U25" s="120"/>
      <c r="V25" s="888"/>
      <c r="W25" s="51"/>
      <c r="X25" s="351">
        <f t="shared" si="1"/>
        <v>26111.24</v>
      </c>
      <c r="Y25" s="1609">
        <f t="shared" si="2"/>
        <v>0</v>
      </c>
      <c r="Z25" s="43"/>
      <c r="AA25" s="1621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32" t="s">
        <v>331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0"/>
        <v>6019</v>
      </c>
      <c r="O26" s="323">
        <v>369178.98</v>
      </c>
      <c r="P26" s="372">
        <v>0</v>
      </c>
      <c r="Q26" s="51"/>
      <c r="R26" s="120">
        <v>43624</v>
      </c>
      <c r="S26" s="888">
        <v>0</v>
      </c>
      <c r="T26" s="51"/>
      <c r="U26" s="120"/>
      <c r="V26" s="888"/>
      <c r="W26" s="51"/>
      <c r="X26" s="351">
        <f t="shared" si="1"/>
        <v>412802.98</v>
      </c>
      <c r="Y26" s="1609">
        <f t="shared" si="2"/>
        <v>0</v>
      </c>
      <c r="Z26" s="43"/>
      <c r="AA26" s="1621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32" t="s">
        <v>332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0"/>
        <v>6021</v>
      </c>
      <c r="O27" s="323">
        <v>345129.96</v>
      </c>
      <c r="P27" s="372">
        <v>0</v>
      </c>
      <c r="Q27" s="51"/>
      <c r="R27" s="120"/>
      <c r="S27" s="888"/>
      <c r="T27" s="51"/>
      <c r="U27" s="120"/>
      <c r="V27" s="888"/>
      <c r="W27" s="51"/>
      <c r="X27" s="351">
        <f t="shared" si="1"/>
        <v>345129.96</v>
      </c>
      <c r="Y27" s="1609">
        <f t="shared" si="2"/>
        <v>0</v>
      </c>
      <c r="Z27" s="43"/>
      <c r="AA27" s="1621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32" t="s">
        <v>333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0"/>
        <v>6022</v>
      </c>
      <c r="O28" s="323">
        <v>11992.51</v>
      </c>
      <c r="P28" s="372">
        <v>0</v>
      </c>
      <c r="Q28" s="51"/>
      <c r="R28" s="120"/>
      <c r="S28" s="888"/>
      <c r="T28" s="51"/>
      <c r="U28" s="120"/>
      <c r="V28" s="888"/>
      <c r="W28" s="51"/>
      <c r="X28" s="351">
        <f t="shared" si="1"/>
        <v>11992.51</v>
      </c>
      <c r="Y28" s="1609">
        <f t="shared" si="2"/>
        <v>0</v>
      </c>
      <c r="Z28" s="43"/>
      <c r="AA28" s="1621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32" t="s">
        <v>334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0"/>
        <v>6023</v>
      </c>
      <c r="O29" s="323">
        <v>57925.51</v>
      </c>
      <c r="P29" s="372">
        <v>0</v>
      </c>
      <c r="Q29" s="51"/>
      <c r="R29" s="120"/>
      <c r="S29" s="888"/>
      <c r="T29" s="51"/>
      <c r="U29" s="120"/>
      <c r="V29" s="888"/>
      <c r="W29" s="51"/>
      <c r="X29" s="351">
        <f t="shared" si="1"/>
        <v>57925.51</v>
      </c>
      <c r="Y29" s="1609">
        <f t="shared" si="2"/>
        <v>0</v>
      </c>
      <c r="Z29" s="43"/>
      <c r="AA29" s="1621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32" t="s">
        <v>335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0"/>
        <v>6025</v>
      </c>
      <c r="O30" s="323">
        <v>25238.6</v>
      </c>
      <c r="P30" s="372">
        <v>0</v>
      </c>
      <c r="Q30" s="51"/>
      <c r="R30" s="120"/>
      <c r="S30" s="888"/>
      <c r="T30" s="51"/>
      <c r="U30" s="120"/>
      <c r="V30" s="888"/>
      <c r="W30" s="51"/>
      <c r="X30" s="351">
        <f t="shared" si="1"/>
        <v>25238.6</v>
      </c>
      <c r="Y30" s="1609">
        <f t="shared" si="2"/>
        <v>0</v>
      </c>
      <c r="Z30" s="43"/>
      <c r="AA30" s="1621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32" t="s">
        <v>336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0"/>
        <v>6026</v>
      </c>
      <c r="O31" s="323">
        <v>14861.06</v>
      </c>
      <c r="P31" s="372">
        <v>0</v>
      </c>
      <c r="Q31" s="51"/>
      <c r="R31" s="120"/>
      <c r="S31" s="888"/>
      <c r="T31" s="51"/>
      <c r="U31" s="120"/>
      <c r="V31" s="888"/>
      <c r="W31" s="51"/>
      <c r="X31" s="351">
        <f t="shared" si="1"/>
        <v>14861.06</v>
      </c>
      <c r="Y31" s="1609">
        <f t="shared" si="2"/>
        <v>0</v>
      </c>
      <c r="Z31" s="43"/>
      <c r="AA31" s="1621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32" t="s">
        <v>337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0"/>
        <v>6027</v>
      </c>
      <c r="O32" s="323"/>
      <c r="P32" s="372"/>
      <c r="Q32" s="51"/>
      <c r="R32" s="120"/>
      <c r="S32" s="888"/>
      <c r="T32" s="51"/>
      <c r="U32" s="120"/>
      <c r="V32" s="888"/>
      <c r="W32" s="51"/>
      <c r="X32" s="351">
        <f t="shared" si="1"/>
        <v>0</v>
      </c>
      <c r="Y32" s="1609">
        <f t="shared" si="2"/>
        <v>0</v>
      </c>
      <c r="Z32" s="43"/>
      <c r="AA32" s="1621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32" t="s">
        <v>338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0"/>
        <v>6028</v>
      </c>
      <c r="O33" s="323">
        <v>16608</v>
      </c>
      <c r="P33" s="372">
        <v>0</v>
      </c>
      <c r="Q33" s="51"/>
      <c r="R33" s="120">
        <v>20425.11</v>
      </c>
      <c r="S33" s="888">
        <v>0</v>
      </c>
      <c r="T33" s="51"/>
      <c r="U33" s="120"/>
      <c r="V33" s="888"/>
      <c r="W33" s="51"/>
      <c r="X33" s="351">
        <f t="shared" si="1"/>
        <v>37033.11</v>
      </c>
      <c r="Y33" s="1609">
        <f t="shared" si="2"/>
        <v>0</v>
      </c>
      <c r="Z33" s="43"/>
      <c r="AA33" s="1621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32" t="s">
        <v>339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0"/>
        <v>6029</v>
      </c>
      <c r="O34" s="323">
        <v>406845.72</v>
      </c>
      <c r="P34" s="372">
        <v>0</v>
      </c>
      <c r="Q34" s="51"/>
      <c r="R34" s="120">
        <v>98210.6</v>
      </c>
      <c r="S34" s="888">
        <v>0</v>
      </c>
      <c r="T34" s="51"/>
      <c r="U34" s="120"/>
      <c r="V34" s="888"/>
      <c r="W34" s="51"/>
      <c r="X34" s="351">
        <f t="shared" si="1"/>
        <v>505056.32</v>
      </c>
      <c r="Y34" s="1609">
        <f t="shared" si="2"/>
        <v>0</v>
      </c>
      <c r="Z34" s="43"/>
      <c r="AA34" s="1621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91">
        <v>6030</v>
      </c>
      <c r="B35" s="1034" t="s">
        <v>340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574"/>
      <c r="M35" s="51" t="s">
        <v>265</v>
      </c>
      <c r="N35" s="1733">
        <f t="shared" si="0"/>
        <v>6030</v>
      </c>
      <c r="O35" s="323">
        <v>20166.009999999998</v>
      </c>
      <c r="P35" s="372">
        <v>0</v>
      </c>
      <c r="Q35" s="51"/>
      <c r="R35" s="10">
        <v>0</v>
      </c>
      <c r="S35" s="889">
        <v>0</v>
      </c>
      <c r="T35" s="51"/>
      <c r="U35" s="10">
        <v>0</v>
      </c>
      <c r="V35" s="889">
        <v>0</v>
      </c>
      <c r="W35" s="51"/>
      <c r="X35" s="2182">
        <f t="shared" si="1"/>
        <v>20166.009999999998</v>
      </c>
      <c r="Y35" s="2183">
        <f t="shared" si="2"/>
        <v>0</v>
      </c>
      <c r="Z35" s="43"/>
      <c r="AA35" s="1621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91">
        <v>6032</v>
      </c>
      <c r="B36" s="1034" t="s">
        <v>341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574"/>
      <c r="M36" s="51" t="s">
        <v>265</v>
      </c>
      <c r="N36" s="1733">
        <f t="shared" si="0"/>
        <v>6032</v>
      </c>
      <c r="O36" s="323"/>
      <c r="P36" s="372"/>
      <c r="Q36" s="51"/>
      <c r="R36" s="10">
        <v>0</v>
      </c>
      <c r="S36" s="889">
        <v>0</v>
      </c>
      <c r="T36" s="51"/>
      <c r="U36" s="10">
        <v>0</v>
      </c>
      <c r="V36" s="889">
        <v>0</v>
      </c>
      <c r="W36" s="51"/>
      <c r="X36" s="2182">
        <f t="shared" si="1"/>
        <v>0</v>
      </c>
      <c r="Y36" s="2183">
        <f t="shared" si="2"/>
        <v>0</v>
      </c>
      <c r="Z36" s="43"/>
      <c r="AA36" s="1621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91">
        <v>6033</v>
      </c>
      <c r="B37" s="1034" t="s">
        <v>342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574"/>
      <c r="M37" s="51" t="s">
        <v>265</v>
      </c>
      <c r="N37" s="1733">
        <f t="shared" si="0"/>
        <v>6033</v>
      </c>
      <c r="O37" s="323">
        <v>49491.18</v>
      </c>
      <c r="P37" s="372">
        <v>0</v>
      </c>
      <c r="Q37" s="51"/>
      <c r="R37" s="10">
        <v>0</v>
      </c>
      <c r="S37" s="889">
        <v>0</v>
      </c>
      <c r="T37" s="51"/>
      <c r="U37" s="10">
        <v>0</v>
      </c>
      <c r="V37" s="889">
        <v>0</v>
      </c>
      <c r="W37" s="51"/>
      <c r="X37" s="2182">
        <f t="shared" si="1"/>
        <v>49491.18</v>
      </c>
      <c r="Y37" s="2183">
        <f t="shared" si="2"/>
        <v>0</v>
      </c>
      <c r="Z37" s="43"/>
      <c r="AA37" s="1621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91">
        <v>6034</v>
      </c>
      <c r="B38" s="1034" t="s">
        <v>343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574"/>
      <c r="M38" s="51" t="s">
        <v>265</v>
      </c>
      <c r="N38" s="1733">
        <f t="shared" si="0"/>
        <v>6034</v>
      </c>
      <c r="O38" s="323">
        <v>525577.59</v>
      </c>
      <c r="P38" s="372">
        <v>0</v>
      </c>
      <c r="Q38" s="51"/>
      <c r="R38" s="10">
        <v>0</v>
      </c>
      <c r="S38" s="889">
        <v>0</v>
      </c>
      <c r="T38" s="51"/>
      <c r="U38" s="10">
        <v>0</v>
      </c>
      <c r="V38" s="889">
        <v>0</v>
      </c>
      <c r="W38" s="51"/>
      <c r="X38" s="2182">
        <f t="shared" si="1"/>
        <v>525577.59</v>
      </c>
      <c r="Y38" s="2183">
        <f t="shared" si="2"/>
        <v>0</v>
      </c>
      <c r="Z38" s="43"/>
      <c r="AA38" s="1621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91">
        <v>6035</v>
      </c>
      <c r="B39" s="1034" t="s">
        <v>344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574"/>
      <c r="M39" s="51" t="s">
        <v>265</v>
      </c>
      <c r="N39" s="1733">
        <f t="shared" si="0"/>
        <v>6035</v>
      </c>
      <c r="O39" s="323">
        <v>98395.839999999997</v>
      </c>
      <c r="P39" s="372">
        <v>0</v>
      </c>
      <c r="Q39" s="51"/>
      <c r="R39" s="10">
        <v>0</v>
      </c>
      <c r="S39" s="889">
        <v>0</v>
      </c>
      <c r="T39" s="51"/>
      <c r="U39" s="10">
        <v>0</v>
      </c>
      <c r="V39" s="889">
        <v>0</v>
      </c>
      <c r="W39" s="51"/>
      <c r="X39" s="2182">
        <f t="shared" si="1"/>
        <v>98395.839999999997</v>
      </c>
      <c r="Y39" s="2183">
        <f t="shared" si="2"/>
        <v>0</v>
      </c>
      <c r="Z39" s="43"/>
      <c r="AA39" s="1621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91">
        <v>6036</v>
      </c>
      <c r="B40" s="1034" t="s">
        <v>345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574"/>
      <c r="M40" s="51" t="s">
        <v>265</v>
      </c>
      <c r="N40" s="1733">
        <f t="shared" si="0"/>
        <v>6036</v>
      </c>
      <c r="O40" s="323">
        <v>10713</v>
      </c>
      <c r="P40" s="372">
        <v>0</v>
      </c>
      <c r="Q40" s="51"/>
      <c r="R40" s="10">
        <v>0</v>
      </c>
      <c r="S40" s="889">
        <v>0</v>
      </c>
      <c r="T40" s="51"/>
      <c r="U40" s="10">
        <v>0</v>
      </c>
      <c r="V40" s="889">
        <v>0</v>
      </c>
      <c r="W40" s="51"/>
      <c r="X40" s="2182">
        <f t="shared" si="1"/>
        <v>10713</v>
      </c>
      <c r="Y40" s="2183">
        <f t="shared" si="2"/>
        <v>0</v>
      </c>
      <c r="Z40" s="43"/>
      <c r="AA40" s="1621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91">
        <v>6037</v>
      </c>
      <c r="B41" s="1033" t="s">
        <v>347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733">
        <f t="shared" si="0"/>
        <v>6037</v>
      </c>
      <c r="O41" s="10">
        <v>0</v>
      </c>
      <c r="P41" s="889">
        <v>0</v>
      </c>
      <c r="Q41" s="51"/>
      <c r="R41" s="10">
        <v>0</v>
      </c>
      <c r="S41" s="889">
        <v>0</v>
      </c>
      <c r="T41" s="51"/>
      <c r="U41" s="120">
        <v>1683733.67</v>
      </c>
      <c r="V41" s="888">
        <v>0</v>
      </c>
      <c r="W41" s="51"/>
      <c r="X41" s="2182">
        <f t="shared" si="1"/>
        <v>1683733.67</v>
      </c>
      <c r="Y41" s="2183">
        <f t="shared" si="2"/>
        <v>0</v>
      </c>
      <c r="Z41" s="43"/>
      <c r="AA41" s="1621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91">
        <v>6039</v>
      </c>
      <c r="B42" s="1034" t="s">
        <v>346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733">
        <f t="shared" si="0"/>
        <v>6039</v>
      </c>
      <c r="O42" s="323">
        <v>189.56</v>
      </c>
      <c r="P42" s="372">
        <v>0</v>
      </c>
      <c r="Q42" s="51"/>
      <c r="R42" s="10">
        <v>0</v>
      </c>
      <c r="S42" s="889">
        <v>0</v>
      </c>
      <c r="T42" s="51"/>
      <c r="U42" s="120"/>
      <c r="V42" s="888"/>
      <c r="W42" s="51"/>
      <c r="X42" s="2182">
        <f t="shared" si="1"/>
        <v>189.56</v>
      </c>
      <c r="Y42" s="2183">
        <f t="shared" si="2"/>
        <v>0</v>
      </c>
      <c r="Z42" s="43"/>
      <c r="AA42" s="1621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33" t="s">
        <v>348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90"/>
      <c r="M43" s="51" t="s">
        <v>265</v>
      </c>
      <c r="N43" s="113">
        <f t="shared" si="0"/>
        <v>6041</v>
      </c>
      <c r="O43" s="323">
        <v>159346.45000000001</v>
      </c>
      <c r="P43" s="372">
        <v>0</v>
      </c>
      <c r="Q43" s="51"/>
      <c r="R43" s="120">
        <v>33164.129999999997</v>
      </c>
      <c r="S43" s="888">
        <v>0</v>
      </c>
      <c r="T43" s="51"/>
      <c r="U43" s="120"/>
      <c r="V43" s="888"/>
      <c r="W43" s="51"/>
      <c r="X43" s="351">
        <f t="shared" si="1"/>
        <v>192510.58</v>
      </c>
      <c r="Y43" s="1609">
        <f t="shared" si="2"/>
        <v>0</v>
      </c>
      <c r="Z43" s="43"/>
      <c r="AA43" s="1621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33" t="s">
        <v>349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90"/>
      <c r="M44" s="51" t="s">
        <v>265</v>
      </c>
      <c r="N44" s="113">
        <f t="shared" si="0"/>
        <v>6042</v>
      </c>
      <c r="O44" s="323">
        <v>4427494.5</v>
      </c>
      <c r="P44" s="372">
        <v>0</v>
      </c>
      <c r="Q44" s="51"/>
      <c r="R44" s="120">
        <v>169659.65</v>
      </c>
      <c r="S44" s="888">
        <v>0</v>
      </c>
      <c r="T44" s="51"/>
      <c r="U44" s="120"/>
      <c r="V44" s="888"/>
      <c r="W44" s="51"/>
      <c r="X44" s="351">
        <f t="shared" si="1"/>
        <v>4597154.1500000004</v>
      </c>
      <c r="Y44" s="1609">
        <f t="shared" si="2"/>
        <v>0</v>
      </c>
      <c r="Z44" s="43"/>
      <c r="AA44" s="1621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33" t="s">
        <v>350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90"/>
      <c r="M45" s="51" t="s">
        <v>265</v>
      </c>
      <c r="N45" s="113">
        <f t="shared" si="0"/>
        <v>6043</v>
      </c>
      <c r="O45" s="323">
        <v>1318942.56</v>
      </c>
      <c r="P45" s="372">
        <v>0</v>
      </c>
      <c r="Q45" s="51"/>
      <c r="R45" s="120">
        <v>464422.39</v>
      </c>
      <c r="S45" s="888">
        <v>0</v>
      </c>
      <c r="T45" s="51"/>
      <c r="U45" s="120"/>
      <c r="V45" s="888"/>
      <c r="W45" s="51"/>
      <c r="X45" s="351">
        <f t="shared" si="1"/>
        <v>1783364.95</v>
      </c>
      <c r="Y45" s="1609">
        <f t="shared" si="2"/>
        <v>0</v>
      </c>
      <c r="Z45" s="43"/>
      <c r="AA45" s="1621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33" t="s">
        <v>351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0"/>
        <v>6044</v>
      </c>
      <c r="O46" s="323">
        <v>223183.76</v>
      </c>
      <c r="P46" s="372">
        <v>0</v>
      </c>
      <c r="Q46" s="51"/>
      <c r="R46" s="120">
        <v>1461.81</v>
      </c>
      <c r="S46" s="888">
        <v>0</v>
      </c>
      <c r="T46" s="51"/>
      <c r="U46" s="120"/>
      <c r="V46" s="888"/>
      <c r="W46" s="51"/>
      <c r="X46" s="351">
        <f t="shared" si="1"/>
        <v>224645.57</v>
      </c>
      <c r="Y46" s="1609">
        <f t="shared" si="2"/>
        <v>0</v>
      </c>
      <c r="Z46" s="43"/>
      <c r="AA46" s="1621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33" t="s">
        <v>352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 t="shared" si="0"/>
        <v>6046</v>
      </c>
      <c r="O47" s="323"/>
      <c r="P47" s="372"/>
      <c r="Q47" s="51"/>
      <c r="R47" s="120"/>
      <c r="S47" s="888"/>
      <c r="T47" s="51"/>
      <c r="U47" s="120"/>
      <c r="V47" s="888"/>
      <c r="W47" s="51"/>
      <c r="X47" s="351">
        <f t="shared" si="1"/>
        <v>0</v>
      </c>
      <c r="Y47" s="1609">
        <f t="shared" si="2"/>
        <v>0</v>
      </c>
      <c r="Z47" s="43"/>
      <c r="AA47" s="1621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32" t="s">
        <v>353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0"/>
        <v>6047</v>
      </c>
      <c r="O48" s="120">
        <v>262761.02</v>
      </c>
      <c r="P48" s="890">
        <v>0</v>
      </c>
      <c r="Q48" s="51"/>
      <c r="R48" s="581"/>
      <c r="S48" s="605">
        <v>0</v>
      </c>
      <c r="T48" s="51"/>
      <c r="U48" s="120"/>
      <c r="V48" s="892">
        <v>0</v>
      </c>
      <c r="W48" s="51"/>
      <c r="X48" s="351">
        <f>+ROUND(+O48+R48+U48,2)</f>
        <v>262761.02</v>
      </c>
      <c r="Y48" s="1611">
        <v>0</v>
      </c>
      <c r="Z48" s="43"/>
      <c r="AA48" s="1621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32" t="s">
        <v>354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 t="shared" si="0"/>
        <v>6048</v>
      </c>
      <c r="O49" s="954">
        <v>0</v>
      </c>
      <c r="P49" s="888">
        <v>194087.94</v>
      </c>
      <c r="Q49" s="51"/>
      <c r="R49" s="604">
        <v>0</v>
      </c>
      <c r="S49" s="891"/>
      <c r="T49" s="51"/>
      <c r="U49" s="960">
        <v>0</v>
      </c>
      <c r="V49" s="888"/>
      <c r="W49" s="51"/>
      <c r="X49" s="1612">
        <v>0</v>
      </c>
      <c r="Y49" s="1609">
        <f t="shared" ref="Y49:Y80" si="4">+ROUND(+P49+S49+V49,2)</f>
        <v>194087.94</v>
      </c>
      <c r="Z49" s="43"/>
      <c r="AA49" s="1621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35" t="s">
        <v>433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>+A50</f>
        <v>6049</v>
      </c>
      <c r="O50" s="120">
        <v>31223.27</v>
      </c>
      <c r="P50" s="888">
        <v>0</v>
      </c>
      <c r="Q50" s="51"/>
      <c r="R50" s="120"/>
      <c r="S50" s="888"/>
      <c r="T50" s="51"/>
      <c r="U50" s="120"/>
      <c r="V50" s="888"/>
      <c r="W50" s="51"/>
      <c r="X50" s="351">
        <f t="shared" ref="X50:X81" si="5">+ROUND(+O50+R50+U50,2)</f>
        <v>31223.27</v>
      </c>
      <c r="Y50" s="1609">
        <f t="shared" si="4"/>
        <v>0</v>
      </c>
      <c r="Z50" s="43"/>
      <c r="AA50" s="1621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33" t="s">
        <v>434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0"/>
        <v>6051</v>
      </c>
      <c r="O51" s="120">
        <v>815692.91</v>
      </c>
      <c r="P51" s="888">
        <v>0</v>
      </c>
      <c r="Q51" s="51"/>
      <c r="R51" s="120">
        <v>86773.1</v>
      </c>
      <c r="S51" s="888">
        <v>0</v>
      </c>
      <c r="T51" s="51"/>
      <c r="U51" s="120"/>
      <c r="V51" s="888"/>
      <c r="W51" s="51"/>
      <c r="X51" s="351">
        <f t="shared" si="5"/>
        <v>902466.01</v>
      </c>
      <c r="Y51" s="1609">
        <f t="shared" si="4"/>
        <v>0</v>
      </c>
      <c r="Z51" s="43"/>
      <c r="AA51" s="1621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33" t="s">
        <v>435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0"/>
        <v>6052</v>
      </c>
      <c r="O52" s="120">
        <v>292893.39</v>
      </c>
      <c r="P52" s="888">
        <v>0</v>
      </c>
      <c r="Q52" s="51"/>
      <c r="R52" s="120">
        <v>33032.07</v>
      </c>
      <c r="S52" s="888">
        <v>0</v>
      </c>
      <c r="T52" s="51"/>
      <c r="U52" s="120"/>
      <c r="V52" s="888"/>
      <c r="W52" s="51"/>
      <c r="X52" s="351">
        <f t="shared" si="5"/>
        <v>325925.46000000002</v>
      </c>
      <c r="Y52" s="1609">
        <f t="shared" si="4"/>
        <v>0</v>
      </c>
      <c r="Z52" s="43"/>
      <c r="AA52" s="1621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33" t="s">
        <v>436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>+A53</f>
        <v>6054</v>
      </c>
      <c r="O53" s="120"/>
      <c r="P53" s="888"/>
      <c r="Q53" s="51"/>
      <c r="R53" s="120"/>
      <c r="S53" s="888"/>
      <c r="T53" s="51"/>
      <c r="U53" s="120"/>
      <c r="V53" s="888"/>
      <c r="W53" s="51"/>
      <c r="X53" s="351">
        <f t="shared" si="5"/>
        <v>0</v>
      </c>
      <c r="Y53" s="1609">
        <f t="shared" si="4"/>
        <v>0</v>
      </c>
      <c r="Z53" s="43"/>
      <c r="AA53" s="1621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33" t="s">
        <v>437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0"/>
        <v>6055</v>
      </c>
      <c r="O54" s="120">
        <v>131501.95000000001</v>
      </c>
      <c r="P54" s="888">
        <v>0</v>
      </c>
      <c r="Q54" s="51"/>
      <c r="R54" s="120">
        <v>15023.14</v>
      </c>
      <c r="S54" s="888">
        <v>0</v>
      </c>
      <c r="T54" s="51"/>
      <c r="U54" s="120"/>
      <c r="V54" s="888"/>
      <c r="W54" s="51"/>
      <c r="X54" s="351">
        <f t="shared" si="5"/>
        <v>146525.09</v>
      </c>
      <c r="Y54" s="1609">
        <f t="shared" si="4"/>
        <v>0</v>
      </c>
      <c r="Z54" s="43"/>
      <c r="AA54" s="1621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33" t="s">
        <v>438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0"/>
        <v>6056</v>
      </c>
      <c r="O55" s="120"/>
      <c r="P55" s="888"/>
      <c r="Q55" s="51"/>
      <c r="R55" s="120"/>
      <c r="S55" s="888"/>
      <c r="T55" s="51"/>
      <c r="U55" s="120"/>
      <c r="V55" s="888"/>
      <c r="W55" s="51"/>
      <c r="X55" s="351">
        <f t="shared" si="5"/>
        <v>0</v>
      </c>
      <c r="Y55" s="1609">
        <f t="shared" si="4"/>
        <v>0</v>
      </c>
      <c r="Z55" s="43"/>
      <c r="AA55" s="1621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33" t="s">
        <v>439</v>
      </c>
      <c r="C56" s="1033"/>
      <c r="D56" s="1033"/>
      <c r="E56" s="1033"/>
      <c r="F56" s="1033"/>
      <c r="G56" s="1033"/>
      <c r="H56" s="1033"/>
      <c r="I56" s="1033"/>
      <c r="J56" s="1033"/>
      <c r="K56" s="1033"/>
      <c r="L56" s="90"/>
      <c r="M56" s="51" t="s">
        <v>265</v>
      </c>
      <c r="N56" s="113">
        <f t="shared" si="0"/>
        <v>6058</v>
      </c>
      <c r="O56" s="120"/>
      <c r="P56" s="888"/>
      <c r="Q56" s="51"/>
      <c r="R56" s="120"/>
      <c r="S56" s="888"/>
      <c r="T56" s="51"/>
      <c r="U56" s="120"/>
      <c r="V56" s="888"/>
      <c r="W56" s="51"/>
      <c r="X56" s="351">
        <f t="shared" si="5"/>
        <v>0</v>
      </c>
      <c r="Y56" s="1609">
        <f t="shared" si="4"/>
        <v>0</v>
      </c>
      <c r="Z56" s="43"/>
      <c r="AA56" s="1621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33" t="s">
        <v>440</v>
      </c>
      <c r="C57" s="1033"/>
      <c r="D57" s="1033"/>
      <c r="E57" s="1033"/>
      <c r="F57" s="1033"/>
      <c r="G57" s="1033"/>
      <c r="H57" s="1033"/>
      <c r="I57" s="1033"/>
      <c r="J57" s="1033"/>
      <c r="K57" s="1033"/>
      <c r="L57" s="90"/>
      <c r="M57" s="51" t="s">
        <v>265</v>
      </c>
      <c r="N57" s="113">
        <f t="shared" si="0"/>
        <v>6059</v>
      </c>
      <c r="O57" s="120"/>
      <c r="P57" s="888"/>
      <c r="Q57" s="51"/>
      <c r="R57" s="120"/>
      <c r="S57" s="888"/>
      <c r="T57" s="51"/>
      <c r="U57" s="120"/>
      <c r="V57" s="888"/>
      <c r="W57" s="51"/>
      <c r="X57" s="351">
        <f t="shared" si="5"/>
        <v>0</v>
      </c>
      <c r="Y57" s="1609">
        <f t="shared" si="4"/>
        <v>0</v>
      </c>
      <c r="Z57" s="43"/>
      <c r="AA57" s="1621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32" t="s">
        <v>441</v>
      </c>
      <c r="C58" s="1033"/>
      <c r="D58" s="1033"/>
      <c r="E58" s="1033"/>
      <c r="F58" s="1033"/>
      <c r="G58" s="1033"/>
      <c r="H58" s="1033"/>
      <c r="I58" s="1033"/>
      <c r="J58" s="1033"/>
      <c r="K58" s="1033"/>
      <c r="L58" s="90"/>
      <c r="M58" s="51" t="s">
        <v>265</v>
      </c>
      <c r="N58" s="113">
        <f t="shared" si="0"/>
        <v>6061</v>
      </c>
      <c r="O58" s="120">
        <v>22386.76</v>
      </c>
      <c r="P58" s="888">
        <v>0</v>
      </c>
      <c r="Q58" s="51"/>
      <c r="R58" s="120"/>
      <c r="S58" s="888"/>
      <c r="T58" s="51"/>
      <c r="U58" s="120"/>
      <c r="V58" s="888"/>
      <c r="W58" s="51"/>
      <c r="X58" s="351">
        <f t="shared" si="5"/>
        <v>22386.76</v>
      </c>
      <c r="Y58" s="1609">
        <f t="shared" si="4"/>
        <v>0</v>
      </c>
      <c r="Z58" s="43"/>
      <c r="AA58" s="1621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32" t="s">
        <v>442</v>
      </c>
      <c r="C59" s="1033"/>
      <c r="D59" s="1033"/>
      <c r="E59" s="1033"/>
      <c r="F59" s="1033"/>
      <c r="G59" s="1033"/>
      <c r="H59" s="1033"/>
      <c r="I59" s="1033"/>
      <c r="J59" s="1033"/>
      <c r="K59" s="1033"/>
      <c r="L59" s="90"/>
      <c r="M59" s="51" t="s">
        <v>265</v>
      </c>
      <c r="N59" s="113">
        <f t="shared" si="0"/>
        <v>6062</v>
      </c>
      <c r="O59" s="120">
        <v>1792.11</v>
      </c>
      <c r="P59" s="888">
        <v>0</v>
      </c>
      <c r="Q59" s="51"/>
      <c r="R59" s="120"/>
      <c r="S59" s="888"/>
      <c r="T59" s="51"/>
      <c r="U59" s="120"/>
      <c r="V59" s="888"/>
      <c r="W59" s="51"/>
      <c r="X59" s="351">
        <f t="shared" si="5"/>
        <v>1792.11</v>
      </c>
      <c r="Y59" s="1609">
        <f t="shared" si="4"/>
        <v>0</v>
      </c>
      <c r="Z59" s="43"/>
      <c r="AA59" s="1621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32" t="s">
        <v>443</v>
      </c>
      <c r="C60" s="1033"/>
      <c r="D60" s="1033"/>
      <c r="E60" s="1033"/>
      <c r="F60" s="1033"/>
      <c r="G60" s="1033"/>
      <c r="H60" s="1033"/>
      <c r="I60" s="1033"/>
      <c r="J60" s="1033"/>
      <c r="K60" s="1033"/>
      <c r="L60" s="90"/>
      <c r="M60" s="51" t="s">
        <v>265</v>
      </c>
      <c r="N60" s="113">
        <f t="shared" si="0"/>
        <v>6063</v>
      </c>
      <c r="O60" s="120"/>
      <c r="P60" s="888"/>
      <c r="Q60" s="51"/>
      <c r="R60" s="120"/>
      <c r="S60" s="888"/>
      <c r="T60" s="51"/>
      <c r="U60" s="120"/>
      <c r="V60" s="888"/>
      <c r="W60" s="51"/>
      <c r="X60" s="351">
        <f t="shared" si="5"/>
        <v>0</v>
      </c>
      <c r="Y60" s="1609">
        <f t="shared" si="4"/>
        <v>0</v>
      </c>
      <c r="Z60" s="43"/>
      <c r="AA60" s="1621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32" t="s">
        <v>444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90"/>
      <c r="M61" s="51" t="s">
        <v>265</v>
      </c>
      <c r="N61" s="113">
        <f t="shared" si="0"/>
        <v>6064</v>
      </c>
      <c r="O61" s="120"/>
      <c r="P61" s="888"/>
      <c r="Q61" s="51"/>
      <c r="R61" s="120"/>
      <c r="S61" s="888"/>
      <c r="T61" s="51"/>
      <c r="U61" s="120"/>
      <c r="V61" s="888"/>
      <c r="W61" s="51"/>
      <c r="X61" s="351">
        <f t="shared" si="5"/>
        <v>0</v>
      </c>
      <c r="Y61" s="1609">
        <f t="shared" si="4"/>
        <v>0</v>
      </c>
      <c r="Z61" s="43"/>
      <c r="AA61" s="1621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32" t="s">
        <v>445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90"/>
      <c r="M62" s="51" t="s">
        <v>265</v>
      </c>
      <c r="N62" s="113">
        <f t="shared" si="0"/>
        <v>6065</v>
      </c>
      <c r="O62" s="120">
        <v>9039.8799999999992</v>
      </c>
      <c r="P62" s="888">
        <v>0</v>
      </c>
      <c r="Q62" s="51"/>
      <c r="R62" s="120"/>
      <c r="S62" s="888"/>
      <c r="T62" s="51"/>
      <c r="U62" s="120"/>
      <c r="V62" s="888"/>
      <c r="W62" s="51"/>
      <c r="X62" s="351">
        <f t="shared" si="5"/>
        <v>9039.8799999999992</v>
      </c>
      <c r="Y62" s="1609">
        <f t="shared" si="4"/>
        <v>0</v>
      </c>
      <c r="Z62" s="43"/>
      <c r="AA62" s="1621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32" t="s">
        <v>446</v>
      </c>
      <c r="C63" s="1033"/>
      <c r="D63" s="1033"/>
      <c r="E63" s="1033"/>
      <c r="F63" s="1033"/>
      <c r="G63" s="1033"/>
      <c r="H63" s="1033"/>
      <c r="I63" s="1033"/>
      <c r="J63" s="1033"/>
      <c r="K63" s="1033"/>
      <c r="L63" s="90"/>
      <c r="M63" s="51" t="s">
        <v>265</v>
      </c>
      <c r="N63" s="113">
        <f t="shared" si="0"/>
        <v>6067</v>
      </c>
      <c r="O63" s="120"/>
      <c r="P63" s="888"/>
      <c r="Q63" s="51"/>
      <c r="R63" s="120"/>
      <c r="S63" s="888"/>
      <c r="T63" s="51"/>
      <c r="U63" s="120"/>
      <c r="V63" s="888"/>
      <c r="W63" s="51"/>
      <c r="X63" s="351">
        <f t="shared" si="5"/>
        <v>0</v>
      </c>
      <c r="Y63" s="1609">
        <f t="shared" si="4"/>
        <v>0</v>
      </c>
      <c r="Z63" s="43"/>
      <c r="AA63" s="1621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32" t="s">
        <v>447</v>
      </c>
      <c r="C64" s="1033"/>
      <c r="D64" s="1033"/>
      <c r="E64" s="1033"/>
      <c r="F64" s="1033"/>
      <c r="G64" s="1033"/>
      <c r="H64" s="1033"/>
      <c r="I64" s="1033"/>
      <c r="J64" s="1033"/>
      <c r="K64" s="1033"/>
      <c r="L64" s="90"/>
      <c r="M64" s="51" t="s">
        <v>265</v>
      </c>
      <c r="N64" s="113">
        <f t="shared" si="0"/>
        <v>6068</v>
      </c>
      <c r="O64" s="120"/>
      <c r="P64" s="888"/>
      <c r="Q64" s="51"/>
      <c r="R64" s="120"/>
      <c r="S64" s="888"/>
      <c r="T64" s="51"/>
      <c r="U64" s="120"/>
      <c r="V64" s="888"/>
      <c r="W64" s="51"/>
      <c r="X64" s="351">
        <f t="shared" si="5"/>
        <v>0</v>
      </c>
      <c r="Y64" s="1609">
        <f t="shared" si="4"/>
        <v>0</v>
      </c>
      <c r="Z64" s="43"/>
      <c r="AA64" s="1621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32" t="s">
        <v>448</v>
      </c>
      <c r="C65" s="1033"/>
      <c r="D65" s="1033"/>
      <c r="E65" s="1033"/>
      <c r="F65" s="1033"/>
      <c r="G65" s="1033"/>
      <c r="H65" s="1033"/>
      <c r="I65" s="1033"/>
      <c r="J65" s="1033"/>
      <c r="K65" s="1033"/>
      <c r="L65" s="90"/>
      <c r="M65" s="51" t="s">
        <v>265</v>
      </c>
      <c r="N65" s="113">
        <f t="shared" si="0"/>
        <v>6069</v>
      </c>
      <c r="O65" s="120"/>
      <c r="P65" s="888"/>
      <c r="Q65" s="51"/>
      <c r="R65" s="120"/>
      <c r="S65" s="888"/>
      <c r="T65" s="51"/>
      <c r="U65" s="120"/>
      <c r="V65" s="888"/>
      <c r="W65" s="51"/>
      <c r="X65" s="351">
        <f t="shared" si="5"/>
        <v>0</v>
      </c>
      <c r="Y65" s="1609">
        <f t="shared" si="4"/>
        <v>0</v>
      </c>
      <c r="Z65" s="43"/>
      <c r="AA65" s="1621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32" t="s">
        <v>449</v>
      </c>
      <c r="C66" s="1033"/>
      <c r="D66" s="1033"/>
      <c r="E66" s="1033"/>
      <c r="F66" s="1033"/>
      <c r="G66" s="1033"/>
      <c r="H66" s="1033"/>
      <c r="I66" s="1033"/>
      <c r="J66" s="1033"/>
      <c r="K66" s="1033"/>
      <c r="L66" s="90"/>
      <c r="M66" s="51" t="s">
        <v>265</v>
      </c>
      <c r="N66" s="113">
        <f t="shared" si="0"/>
        <v>6071</v>
      </c>
      <c r="O66" s="120"/>
      <c r="P66" s="888"/>
      <c r="Q66" s="51"/>
      <c r="R66" s="120"/>
      <c r="S66" s="888"/>
      <c r="T66" s="51"/>
      <c r="U66" s="120"/>
      <c r="V66" s="888"/>
      <c r="W66" s="51"/>
      <c r="X66" s="351">
        <f t="shared" si="5"/>
        <v>0</v>
      </c>
      <c r="Y66" s="1609">
        <f t="shared" si="4"/>
        <v>0</v>
      </c>
      <c r="Z66" s="43"/>
      <c r="AA66" s="1621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32" t="s">
        <v>450</v>
      </c>
      <c r="C67" s="1033"/>
      <c r="D67" s="1033"/>
      <c r="E67" s="1033"/>
      <c r="F67" s="1033"/>
      <c r="G67" s="1033"/>
      <c r="H67" s="1033"/>
      <c r="I67" s="1033"/>
      <c r="J67" s="1033"/>
      <c r="K67" s="1033"/>
      <c r="L67" s="90"/>
      <c r="M67" s="51" t="s">
        <v>265</v>
      </c>
      <c r="N67" s="113">
        <f t="shared" si="0"/>
        <v>6072</v>
      </c>
      <c r="O67" s="120"/>
      <c r="P67" s="888"/>
      <c r="Q67" s="51"/>
      <c r="R67" s="120"/>
      <c r="S67" s="888"/>
      <c r="T67" s="51"/>
      <c r="U67" s="120"/>
      <c r="V67" s="888"/>
      <c r="W67" s="51"/>
      <c r="X67" s="351">
        <f t="shared" si="5"/>
        <v>0</v>
      </c>
      <c r="Y67" s="1609">
        <f t="shared" si="4"/>
        <v>0</v>
      </c>
      <c r="Z67" s="43"/>
      <c r="AA67" s="1621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32" t="s">
        <v>451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0"/>
        <v>6073</v>
      </c>
      <c r="O68" s="120"/>
      <c r="P68" s="888"/>
      <c r="Q68" s="51"/>
      <c r="R68" s="120"/>
      <c r="S68" s="888"/>
      <c r="T68" s="51"/>
      <c r="U68" s="120"/>
      <c r="V68" s="888"/>
      <c r="W68" s="51"/>
      <c r="X68" s="351">
        <f t="shared" si="5"/>
        <v>0</v>
      </c>
      <c r="Y68" s="1609">
        <f t="shared" si="4"/>
        <v>0</v>
      </c>
      <c r="Z68" s="43"/>
      <c r="AA68" s="1621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32" t="s">
        <v>452</v>
      </c>
      <c r="C69" s="1033"/>
      <c r="D69" s="1033"/>
      <c r="E69" s="1033"/>
      <c r="F69" s="1033"/>
      <c r="G69" s="1033"/>
      <c r="H69" s="1033"/>
      <c r="I69" s="1033"/>
      <c r="J69" s="1033"/>
      <c r="K69" s="1033"/>
      <c r="L69" s="90"/>
      <c r="M69" s="51" t="s">
        <v>265</v>
      </c>
      <c r="N69" s="113">
        <f t="shared" si="0"/>
        <v>6074</v>
      </c>
      <c r="O69" s="120"/>
      <c r="P69" s="888"/>
      <c r="Q69" s="51"/>
      <c r="R69" s="120"/>
      <c r="S69" s="888"/>
      <c r="T69" s="51"/>
      <c r="U69" s="120"/>
      <c r="V69" s="888"/>
      <c r="W69" s="51"/>
      <c r="X69" s="351">
        <f t="shared" si="5"/>
        <v>0</v>
      </c>
      <c r="Y69" s="1609">
        <f t="shared" si="4"/>
        <v>0</v>
      </c>
      <c r="Z69" s="43"/>
      <c r="AA69" s="1621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32" t="s">
        <v>453</v>
      </c>
      <c r="C70" s="1033"/>
      <c r="D70" s="1033"/>
      <c r="E70" s="1033"/>
      <c r="F70" s="1033"/>
      <c r="G70" s="1033"/>
      <c r="H70" s="1033"/>
      <c r="I70" s="1033"/>
      <c r="J70" s="1033"/>
      <c r="K70" s="1033"/>
      <c r="L70" s="90"/>
      <c r="M70" s="51" t="s">
        <v>265</v>
      </c>
      <c r="N70" s="113">
        <f t="shared" si="0"/>
        <v>6075</v>
      </c>
      <c r="O70" s="120">
        <v>5000</v>
      </c>
      <c r="P70" s="888">
        <v>0</v>
      </c>
      <c r="Q70" s="51"/>
      <c r="R70" s="120">
        <v>15000</v>
      </c>
      <c r="S70" s="888">
        <v>0</v>
      </c>
      <c r="T70" s="51"/>
      <c r="U70" s="960">
        <v>0</v>
      </c>
      <c r="V70" s="892">
        <v>0</v>
      </c>
      <c r="W70" s="51"/>
      <c r="X70" s="351">
        <f t="shared" si="5"/>
        <v>20000</v>
      </c>
      <c r="Y70" s="1609">
        <f t="shared" si="4"/>
        <v>0</v>
      </c>
      <c r="Z70" s="43"/>
      <c r="AA70" s="1621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32" t="s">
        <v>454</v>
      </c>
      <c r="C71" s="1033"/>
      <c r="D71" s="1033"/>
      <c r="E71" s="1033"/>
      <c r="F71" s="1033"/>
      <c r="G71" s="1033"/>
      <c r="H71" s="1033"/>
      <c r="I71" s="1033"/>
      <c r="J71" s="1033"/>
      <c r="K71" s="1033"/>
      <c r="L71" s="90"/>
      <c r="M71" s="51" t="s">
        <v>265</v>
      </c>
      <c r="N71" s="113">
        <f t="shared" si="0"/>
        <v>6076</v>
      </c>
      <c r="O71" s="120"/>
      <c r="P71" s="888"/>
      <c r="Q71" s="51"/>
      <c r="R71" s="120">
        <v>6537085.2800000003</v>
      </c>
      <c r="S71" s="888">
        <v>0</v>
      </c>
      <c r="T71" s="51"/>
      <c r="U71" s="960">
        <v>0</v>
      </c>
      <c r="V71" s="892">
        <v>0</v>
      </c>
      <c r="W71" s="51"/>
      <c r="X71" s="351">
        <f t="shared" si="5"/>
        <v>6537085.2800000003</v>
      </c>
      <c r="Y71" s="1609">
        <f t="shared" si="4"/>
        <v>0</v>
      </c>
      <c r="Z71" s="43"/>
      <c r="AA71" s="1621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32" t="s">
        <v>455</v>
      </c>
      <c r="C72" s="1033"/>
      <c r="D72" s="1033"/>
      <c r="E72" s="1033"/>
      <c r="F72" s="1033"/>
      <c r="G72" s="1033"/>
      <c r="H72" s="1033"/>
      <c r="I72" s="1033"/>
      <c r="J72" s="1033"/>
      <c r="K72" s="1033"/>
      <c r="L72" s="90"/>
      <c r="M72" s="51" t="s">
        <v>265</v>
      </c>
      <c r="N72" s="113">
        <f t="shared" si="0"/>
        <v>6077</v>
      </c>
      <c r="O72" s="120"/>
      <c r="P72" s="888"/>
      <c r="Q72" s="51"/>
      <c r="R72" s="120"/>
      <c r="S72" s="888"/>
      <c r="T72" s="51"/>
      <c r="U72" s="960">
        <v>0</v>
      </c>
      <c r="V72" s="892">
        <v>0</v>
      </c>
      <c r="W72" s="51"/>
      <c r="X72" s="351">
        <f t="shared" si="5"/>
        <v>0</v>
      </c>
      <c r="Y72" s="1609">
        <f t="shared" si="4"/>
        <v>0</v>
      </c>
      <c r="Z72" s="43"/>
      <c r="AA72" s="1621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32" t="s">
        <v>456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0"/>
        <v>6078</v>
      </c>
      <c r="O73" s="120"/>
      <c r="P73" s="888"/>
      <c r="Q73" s="51"/>
      <c r="R73" s="120"/>
      <c r="S73" s="888"/>
      <c r="T73" s="51"/>
      <c r="U73" s="960">
        <v>0</v>
      </c>
      <c r="V73" s="892">
        <v>0</v>
      </c>
      <c r="W73" s="51"/>
      <c r="X73" s="351">
        <f t="shared" si="5"/>
        <v>0</v>
      </c>
      <c r="Y73" s="1609">
        <f t="shared" si="4"/>
        <v>0</v>
      </c>
      <c r="Z73" s="43"/>
      <c r="AA73" s="1621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32" t="s">
        <v>457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0"/>
        <v>6079</v>
      </c>
      <c r="O74" s="120"/>
      <c r="P74" s="888"/>
      <c r="Q74" s="51"/>
      <c r="R74" s="120"/>
      <c r="S74" s="888"/>
      <c r="T74" s="51"/>
      <c r="U74" s="960">
        <v>0</v>
      </c>
      <c r="V74" s="892">
        <v>0</v>
      </c>
      <c r="W74" s="51"/>
      <c r="X74" s="351">
        <f t="shared" si="5"/>
        <v>0</v>
      </c>
      <c r="Y74" s="1609">
        <f t="shared" si="4"/>
        <v>0</v>
      </c>
      <c r="Z74" s="43"/>
      <c r="AA74" s="1621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32" t="s">
        <v>458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6080</v>
      </c>
      <c r="O75" s="120"/>
      <c r="P75" s="888"/>
      <c r="Q75" s="51"/>
      <c r="R75" s="120"/>
      <c r="S75" s="888"/>
      <c r="T75" s="51"/>
      <c r="U75" s="120"/>
      <c r="V75" s="888"/>
      <c r="W75" s="51"/>
      <c r="X75" s="351">
        <f t="shared" si="5"/>
        <v>0</v>
      </c>
      <c r="Y75" s="1609">
        <f t="shared" si="4"/>
        <v>0</v>
      </c>
      <c r="Z75" s="43"/>
      <c r="AA75" s="1621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32" t="s">
        <v>459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>+A76</f>
        <v>6081</v>
      </c>
      <c r="O76" s="120"/>
      <c r="P76" s="888"/>
      <c r="Q76" s="51"/>
      <c r="R76" s="120"/>
      <c r="S76" s="888"/>
      <c r="T76" s="51"/>
      <c r="U76" s="120"/>
      <c r="V76" s="888"/>
      <c r="W76" s="51"/>
      <c r="X76" s="351">
        <f t="shared" si="5"/>
        <v>0</v>
      </c>
      <c r="Y76" s="1609">
        <f t="shared" si="4"/>
        <v>0</v>
      </c>
      <c r="Z76" s="43"/>
      <c r="AA76" s="1621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33" t="s">
        <v>460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0"/>
        <v>6082</v>
      </c>
      <c r="O77" s="120"/>
      <c r="P77" s="888"/>
      <c r="Q77" s="51"/>
      <c r="R77" s="120"/>
      <c r="S77" s="888"/>
      <c r="T77" s="51"/>
      <c r="U77" s="120"/>
      <c r="V77" s="888"/>
      <c r="W77" s="51"/>
      <c r="X77" s="351">
        <f t="shared" si="5"/>
        <v>0</v>
      </c>
      <c r="Y77" s="1609">
        <f t="shared" si="4"/>
        <v>0</v>
      </c>
      <c r="Z77" s="43"/>
      <c r="AA77" s="1621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33" t="s">
        <v>461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si="0"/>
        <v>6087</v>
      </c>
      <c r="O78" s="120"/>
      <c r="P78" s="888"/>
      <c r="Q78" s="51"/>
      <c r="R78" s="120"/>
      <c r="S78" s="888"/>
      <c r="T78" s="51"/>
      <c r="U78" s="120"/>
      <c r="V78" s="888"/>
      <c r="W78" s="51"/>
      <c r="X78" s="351">
        <f t="shared" si="5"/>
        <v>0</v>
      </c>
      <c r="Y78" s="1609">
        <f t="shared" si="4"/>
        <v>0</v>
      </c>
      <c r="Z78" s="43"/>
      <c r="AA78" s="1621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33" t="s">
        <v>462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0"/>
        <v>6089</v>
      </c>
      <c r="O79" s="120"/>
      <c r="P79" s="888"/>
      <c r="Q79" s="51"/>
      <c r="R79" s="120"/>
      <c r="S79" s="888"/>
      <c r="T79" s="51"/>
      <c r="U79" s="120"/>
      <c r="V79" s="888"/>
      <c r="W79" s="51"/>
      <c r="X79" s="351">
        <f t="shared" si="5"/>
        <v>0</v>
      </c>
      <c r="Y79" s="1609">
        <f t="shared" si="4"/>
        <v>0</v>
      </c>
      <c r="Z79" s="43"/>
      <c r="AA79" s="1621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32" t="s">
        <v>463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>+A80</f>
        <v>6090</v>
      </c>
      <c r="O80" s="120">
        <v>4080.8</v>
      </c>
      <c r="P80" s="888">
        <v>0</v>
      </c>
      <c r="Q80" s="51"/>
      <c r="R80" s="120"/>
      <c r="S80" s="888"/>
      <c r="T80" s="51"/>
      <c r="U80" s="120"/>
      <c r="V80" s="888"/>
      <c r="W80" s="51"/>
      <c r="X80" s="351">
        <f t="shared" si="5"/>
        <v>4080.8</v>
      </c>
      <c r="Y80" s="1609">
        <f t="shared" si="4"/>
        <v>0</v>
      </c>
      <c r="Z80" s="43"/>
      <c r="AA80" s="1621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33" t="s">
        <v>464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0"/>
        <v>6091</v>
      </c>
      <c r="O81" s="120">
        <v>176775.16</v>
      </c>
      <c r="P81" s="888">
        <v>0</v>
      </c>
      <c r="Q81" s="51"/>
      <c r="R81" s="120"/>
      <c r="S81" s="888"/>
      <c r="T81" s="51"/>
      <c r="U81" s="120"/>
      <c r="V81" s="888"/>
      <c r="W81" s="51"/>
      <c r="X81" s="351">
        <f t="shared" si="5"/>
        <v>176775.16</v>
      </c>
      <c r="Y81" s="1609">
        <f t="shared" ref="Y81:Y112" si="6">+ROUND(+P81+S81+V81,2)</f>
        <v>0</v>
      </c>
      <c r="Z81" s="43"/>
      <c r="AA81" s="1621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32" t="s">
        <v>465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>+A82</f>
        <v>6092</v>
      </c>
      <c r="O82" s="120"/>
      <c r="P82" s="888"/>
      <c r="Q82" s="51"/>
      <c r="R82" s="120"/>
      <c r="S82" s="888"/>
      <c r="T82" s="51"/>
      <c r="U82" s="120"/>
      <c r="V82" s="888"/>
      <c r="W82" s="51"/>
      <c r="X82" s="351">
        <f t="shared" ref="X82:X113" si="8">+ROUND(+O82+R82+U82,2)</f>
        <v>0</v>
      </c>
      <c r="Y82" s="1609">
        <f t="shared" si="6"/>
        <v>0</v>
      </c>
      <c r="Z82" s="43"/>
      <c r="AA82" s="1621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78" t="s">
        <v>466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0"/>
        <v>6093</v>
      </c>
      <c r="O83" s="120">
        <v>13886.84</v>
      </c>
      <c r="P83" s="888">
        <v>0</v>
      </c>
      <c r="Q83" s="51"/>
      <c r="R83" s="120">
        <v>3488</v>
      </c>
      <c r="S83" s="888">
        <v>0</v>
      </c>
      <c r="T83" s="51"/>
      <c r="U83" s="120"/>
      <c r="V83" s="888"/>
      <c r="W83" s="51"/>
      <c r="X83" s="351">
        <f t="shared" si="8"/>
        <v>17374.84</v>
      </c>
      <c r="Y83" s="1609">
        <f t="shared" si="6"/>
        <v>0</v>
      </c>
      <c r="Z83" s="43"/>
      <c r="AA83" s="1621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78" t="s">
        <v>467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0"/>
        <v>6094</v>
      </c>
      <c r="O84" s="120"/>
      <c r="P84" s="888"/>
      <c r="Q84" s="51"/>
      <c r="R84" s="120">
        <v>0</v>
      </c>
      <c r="S84" s="888">
        <v>25.4</v>
      </c>
      <c r="T84" s="51"/>
      <c r="U84" s="120"/>
      <c r="V84" s="888"/>
      <c r="W84" s="51"/>
      <c r="X84" s="351">
        <f t="shared" si="8"/>
        <v>0</v>
      </c>
      <c r="Y84" s="1609">
        <f t="shared" si="6"/>
        <v>25.4</v>
      </c>
      <c r="Z84" s="43"/>
      <c r="AA84" s="1621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78" t="s">
        <v>468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0"/>
        <v>6095</v>
      </c>
      <c r="O85" s="120">
        <v>3229.53</v>
      </c>
      <c r="P85" s="888">
        <v>0</v>
      </c>
      <c r="Q85" s="51"/>
      <c r="R85" s="120"/>
      <c r="S85" s="888"/>
      <c r="T85" s="51"/>
      <c r="U85" s="120"/>
      <c r="V85" s="888"/>
      <c r="W85" s="51"/>
      <c r="X85" s="351">
        <f t="shared" si="8"/>
        <v>3229.53</v>
      </c>
      <c r="Y85" s="1609">
        <f t="shared" si="6"/>
        <v>0</v>
      </c>
      <c r="Z85" s="43"/>
      <c r="AA85" s="1621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78" t="s">
        <v>469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ref="N86:N160" si="9">+A86</f>
        <v>6096</v>
      </c>
      <c r="O86" s="120"/>
      <c r="P86" s="888"/>
      <c r="Q86" s="51"/>
      <c r="R86" s="120"/>
      <c r="S86" s="888"/>
      <c r="T86" s="51"/>
      <c r="U86" s="120"/>
      <c r="V86" s="888"/>
      <c r="W86" s="51"/>
      <c r="X86" s="351">
        <f t="shared" si="8"/>
        <v>0</v>
      </c>
      <c r="Y86" s="1609">
        <f t="shared" si="6"/>
        <v>0</v>
      </c>
      <c r="Z86" s="43"/>
      <c r="AA86" s="1621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78" t="s">
        <v>470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9"/>
        <v>6098</v>
      </c>
      <c r="O87" s="120">
        <v>13324.08</v>
      </c>
      <c r="P87" s="888">
        <v>0</v>
      </c>
      <c r="Q87" s="51"/>
      <c r="R87" s="120"/>
      <c r="S87" s="888"/>
      <c r="T87" s="51"/>
      <c r="U87" s="120"/>
      <c r="V87" s="888"/>
      <c r="W87" s="51"/>
      <c r="X87" s="351">
        <f t="shared" si="8"/>
        <v>13324.08</v>
      </c>
      <c r="Y87" s="1609">
        <f t="shared" si="6"/>
        <v>0</v>
      </c>
      <c r="Z87" s="43"/>
      <c r="AA87" s="1621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78" t="s">
        <v>471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 t="shared" si="9"/>
        <v>6099</v>
      </c>
      <c r="O88" s="120"/>
      <c r="P88" s="888"/>
      <c r="Q88" s="51"/>
      <c r="R88" s="120"/>
      <c r="S88" s="888"/>
      <c r="T88" s="51"/>
      <c r="U88" s="120"/>
      <c r="V88" s="888"/>
      <c r="W88" s="51"/>
      <c r="X88" s="351">
        <f t="shared" si="8"/>
        <v>0</v>
      </c>
      <c r="Y88" s="1609">
        <f t="shared" si="6"/>
        <v>0</v>
      </c>
      <c r="Z88" s="43"/>
      <c r="AA88" s="1621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312" t="s">
        <v>2150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9"/>
        <v>6111</v>
      </c>
      <c r="O89" s="120"/>
      <c r="P89" s="888"/>
      <c r="Q89" s="51"/>
      <c r="R89" s="120"/>
      <c r="S89" s="888"/>
      <c r="T89" s="51"/>
      <c r="U89" s="120"/>
      <c r="V89" s="888"/>
      <c r="W89" s="51"/>
      <c r="X89" s="351">
        <f t="shared" si="8"/>
        <v>0</v>
      </c>
      <c r="Y89" s="1609">
        <f t="shared" si="6"/>
        <v>0</v>
      </c>
      <c r="Z89" s="43"/>
      <c r="AA89" s="1621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45" t="s">
        <v>2151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90"/>
      <c r="M90" s="51" t="s">
        <v>265</v>
      </c>
      <c r="N90" s="113">
        <f t="shared" si="9"/>
        <v>6112</v>
      </c>
      <c r="O90" s="120">
        <v>8101.96</v>
      </c>
      <c r="P90" s="888">
        <v>0</v>
      </c>
      <c r="Q90" s="51"/>
      <c r="R90" s="120"/>
      <c r="S90" s="888"/>
      <c r="T90" s="51"/>
      <c r="U90" s="120"/>
      <c r="V90" s="888"/>
      <c r="W90" s="51"/>
      <c r="X90" s="351">
        <f t="shared" si="8"/>
        <v>8101.96</v>
      </c>
      <c r="Y90" s="1609">
        <f t="shared" si="6"/>
        <v>0</v>
      </c>
      <c r="Z90" s="43"/>
      <c r="AA90" s="1621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45" t="s">
        <v>2152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90"/>
      <c r="M91" s="51" t="s">
        <v>265</v>
      </c>
      <c r="N91" s="113">
        <f t="shared" si="9"/>
        <v>6113</v>
      </c>
      <c r="O91" s="120">
        <v>5742.09</v>
      </c>
      <c r="P91" s="888">
        <v>0</v>
      </c>
      <c r="Q91" s="51"/>
      <c r="R91" s="120"/>
      <c r="S91" s="888"/>
      <c r="T91" s="51"/>
      <c r="U91" s="120"/>
      <c r="V91" s="888"/>
      <c r="W91" s="51"/>
      <c r="X91" s="351">
        <f t="shared" si="8"/>
        <v>5742.09</v>
      </c>
      <c r="Y91" s="1609">
        <f t="shared" si="6"/>
        <v>0</v>
      </c>
      <c r="Z91" s="43"/>
      <c r="AA91" s="1621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45" t="s">
        <v>2153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90"/>
      <c r="M92" s="51" t="s">
        <v>265</v>
      </c>
      <c r="N92" s="113">
        <f t="shared" si="9"/>
        <v>6114</v>
      </c>
      <c r="O92" s="120"/>
      <c r="P92" s="888"/>
      <c r="Q92" s="51"/>
      <c r="R92" s="120"/>
      <c r="S92" s="888"/>
      <c r="T92" s="51"/>
      <c r="U92" s="120"/>
      <c r="V92" s="888"/>
      <c r="W92" s="51"/>
      <c r="X92" s="351">
        <f t="shared" si="8"/>
        <v>0</v>
      </c>
      <c r="Y92" s="1609">
        <f t="shared" si="6"/>
        <v>0</v>
      </c>
      <c r="Z92" s="43"/>
      <c r="AA92" s="1621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45" t="s">
        <v>2154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90"/>
      <c r="M93" s="51" t="s">
        <v>265</v>
      </c>
      <c r="N93" s="113">
        <f t="shared" si="9"/>
        <v>6115</v>
      </c>
      <c r="O93" s="120"/>
      <c r="P93" s="888"/>
      <c r="Q93" s="51"/>
      <c r="R93" s="120"/>
      <c r="S93" s="888"/>
      <c r="T93" s="51"/>
      <c r="U93" s="120"/>
      <c r="V93" s="888"/>
      <c r="W93" s="51"/>
      <c r="X93" s="351">
        <f t="shared" si="8"/>
        <v>0</v>
      </c>
      <c r="Y93" s="1609">
        <f t="shared" si="6"/>
        <v>0</v>
      </c>
      <c r="Z93" s="43"/>
      <c r="AA93" s="1621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45" t="s">
        <v>2155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90"/>
      <c r="M94" s="51" t="s">
        <v>265</v>
      </c>
      <c r="N94" s="113">
        <f>+A94</f>
        <v>6131</v>
      </c>
      <c r="O94" s="120">
        <v>155914.79999999999</v>
      </c>
      <c r="P94" s="888">
        <v>0</v>
      </c>
      <c r="Q94" s="51"/>
      <c r="R94" s="120"/>
      <c r="S94" s="888"/>
      <c r="T94" s="51"/>
      <c r="U94" s="120"/>
      <c r="V94" s="888"/>
      <c r="W94" s="51"/>
      <c r="X94" s="351">
        <f t="shared" si="8"/>
        <v>155914.79999999999</v>
      </c>
      <c r="Y94" s="1609">
        <f t="shared" si="6"/>
        <v>0</v>
      </c>
      <c r="Z94" s="43"/>
      <c r="AA94" s="1621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45" t="s">
        <v>2156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90"/>
      <c r="M95" s="51" t="s">
        <v>265</v>
      </c>
      <c r="N95" s="113">
        <f>+A95</f>
        <v>6132</v>
      </c>
      <c r="O95" s="120"/>
      <c r="P95" s="888"/>
      <c r="Q95" s="51"/>
      <c r="R95" s="120"/>
      <c r="S95" s="888"/>
      <c r="T95" s="51"/>
      <c r="U95" s="120"/>
      <c r="V95" s="888"/>
      <c r="W95" s="51"/>
      <c r="X95" s="351">
        <f t="shared" si="8"/>
        <v>0</v>
      </c>
      <c r="Y95" s="1609">
        <f t="shared" si="6"/>
        <v>0</v>
      </c>
      <c r="Z95" s="43"/>
      <c r="AA95" s="1621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316" t="s">
        <v>2157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90"/>
      <c r="M96" s="51" t="s">
        <v>265</v>
      </c>
      <c r="N96" s="113">
        <f>+A96</f>
        <v>6133</v>
      </c>
      <c r="O96" s="120"/>
      <c r="P96" s="888"/>
      <c r="Q96" s="51"/>
      <c r="R96" s="120"/>
      <c r="S96" s="888"/>
      <c r="T96" s="51"/>
      <c r="U96" s="120"/>
      <c r="V96" s="888"/>
      <c r="W96" s="51"/>
      <c r="X96" s="351">
        <f t="shared" si="8"/>
        <v>0</v>
      </c>
      <c r="Y96" s="1609">
        <f t="shared" si="6"/>
        <v>0</v>
      </c>
      <c r="Z96" s="43"/>
      <c r="AA96" s="1621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45" t="s">
        <v>2158</v>
      </c>
      <c r="C97" s="1033"/>
      <c r="D97" s="1033"/>
      <c r="E97" s="1033"/>
      <c r="F97" s="1033"/>
      <c r="G97" s="1033"/>
      <c r="H97" s="1033"/>
      <c r="I97" s="1033"/>
      <c r="J97" s="1033"/>
      <c r="K97" s="1033"/>
      <c r="L97" s="90"/>
      <c r="M97" s="51" t="s">
        <v>265</v>
      </c>
      <c r="N97" s="113">
        <f t="shared" si="9"/>
        <v>6140</v>
      </c>
      <c r="O97" s="120"/>
      <c r="P97" s="888"/>
      <c r="Q97" s="51"/>
      <c r="R97" s="120"/>
      <c r="S97" s="888"/>
      <c r="T97" s="51"/>
      <c r="U97" s="120"/>
      <c r="V97" s="888"/>
      <c r="W97" s="51"/>
      <c r="X97" s="351">
        <f t="shared" si="8"/>
        <v>0</v>
      </c>
      <c r="Y97" s="1609">
        <f t="shared" si="6"/>
        <v>0</v>
      </c>
      <c r="Z97" s="43"/>
      <c r="AA97" s="1621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45" t="s">
        <v>2159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90"/>
      <c r="M98" s="51" t="s">
        <v>265</v>
      </c>
      <c r="N98" s="113">
        <f>+A98</f>
        <v>6141</v>
      </c>
      <c r="O98" s="120"/>
      <c r="P98" s="888"/>
      <c r="Q98" s="51"/>
      <c r="R98" s="120"/>
      <c r="S98" s="888"/>
      <c r="T98" s="51"/>
      <c r="U98" s="120"/>
      <c r="V98" s="888"/>
      <c r="W98" s="51"/>
      <c r="X98" s="351">
        <f t="shared" si="8"/>
        <v>0</v>
      </c>
      <c r="Y98" s="1609">
        <f t="shared" si="6"/>
        <v>0</v>
      </c>
      <c r="Z98" s="43"/>
      <c r="AA98" s="1621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45" t="s">
        <v>2160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90"/>
      <c r="M99" s="51" t="s">
        <v>265</v>
      </c>
      <c r="N99" s="113">
        <f t="shared" si="9"/>
        <v>6142</v>
      </c>
      <c r="O99" s="120"/>
      <c r="P99" s="888"/>
      <c r="Q99" s="51"/>
      <c r="R99" s="120"/>
      <c r="S99" s="888"/>
      <c r="T99" s="51"/>
      <c r="U99" s="120"/>
      <c r="V99" s="888"/>
      <c r="W99" s="51"/>
      <c r="X99" s="351">
        <f t="shared" si="8"/>
        <v>0</v>
      </c>
      <c r="Y99" s="1609">
        <f t="shared" si="6"/>
        <v>0</v>
      </c>
      <c r="Z99" s="43"/>
      <c r="AA99" s="1621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45" t="s">
        <v>2161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90"/>
      <c r="M100" s="51" t="s">
        <v>265</v>
      </c>
      <c r="N100" s="113">
        <f t="shared" si="9"/>
        <v>6143</v>
      </c>
      <c r="O100" s="120"/>
      <c r="P100" s="888"/>
      <c r="Q100" s="51"/>
      <c r="R100" s="120"/>
      <c r="S100" s="888"/>
      <c r="T100" s="51"/>
      <c r="U100" s="120"/>
      <c r="V100" s="888"/>
      <c r="W100" s="51"/>
      <c r="X100" s="351">
        <f t="shared" si="8"/>
        <v>0</v>
      </c>
      <c r="Y100" s="1609">
        <f t="shared" si="6"/>
        <v>0</v>
      </c>
      <c r="Z100" s="43"/>
      <c r="AA100" s="1621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45" t="s">
        <v>2162</v>
      </c>
      <c r="C101" s="1033"/>
      <c r="D101" s="1033"/>
      <c r="E101" s="1033"/>
      <c r="F101" s="1033"/>
      <c r="G101" s="1033"/>
      <c r="H101" s="1033"/>
      <c r="I101" s="1033"/>
      <c r="J101" s="1033"/>
      <c r="K101" s="1033"/>
      <c r="L101" s="90"/>
      <c r="M101" s="51" t="s">
        <v>265</v>
      </c>
      <c r="N101" s="113">
        <f t="shared" si="9"/>
        <v>6144</v>
      </c>
      <c r="O101" s="120"/>
      <c r="P101" s="888"/>
      <c r="Q101" s="51"/>
      <c r="R101" s="120"/>
      <c r="S101" s="888"/>
      <c r="T101" s="51"/>
      <c r="U101" s="120"/>
      <c r="V101" s="888"/>
      <c r="W101" s="51"/>
      <c r="X101" s="351">
        <f t="shared" si="8"/>
        <v>0</v>
      </c>
      <c r="Y101" s="1609">
        <f t="shared" si="6"/>
        <v>0</v>
      </c>
      <c r="Z101" s="43"/>
      <c r="AA101" s="1621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45" t="s">
        <v>2163</v>
      </c>
      <c r="C102" s="1033"/>
      <c r="D102" s="1033"/>
      <c r="E102" s="1033"/>
      <c r="F102" s="1033"/>
      <c r="G102" s="1033"/>
      <c r="H102" s="1033"/>
      <c r="I102" s="1033"/>
      <c r="J102" s="1033"/>
      <c r="K102" s="1033"/>
      <c r="L102" s="90"/>
      <c r="M102" s="51" t="s">
        <v>265</v>
      </c>
      <c r="N102" s="113">
        <f t="shared" si="9"/>
        <v>6145</v>
      </c>
      <c r="O102" s="120"/>
      <c r="P102" s="888"/>
      <c r="Q102" s="51"/>
      <c r="R102" s="120"/>
      <c r="S102" s="888"/>
      <c r="T102" s="51"/>
      <c r="U102" s="120"/>
      <c r="V102" s="888"/>
      <c r="W102" s="51"/>
      <c r="X102" s="351">
        <f t="shared" si="8"/>
        <v>0</v>
      </c>
      <c r="Y102" s="1609">
        <f t="shared" si="6"/>
        <v>0</v>
      </c>
      <c r="Z102" s="43"/>
      <c r="AA102" s="1621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45" t="s">
        <v>2164</v>
      </c>
      <c r="C103" s="1033"/>
      <c r="D103" s="1033"/>
      <c r="E103" s="1033"/>
      <c r="F103" s="1033"/>
      <c r="G103" s="1033"/>
      <c r="H103" s="1033"/>
      <c r="I103" s="1033"/>
      <c r="J103" s="1033"/>
      <c r="K103" s="1033"/>
      <c r="L103" s="90"/>
      <c r="M103" s="51" t="s">
        <v>265</v>
      </c>
      <c r="N103" s="113">
        <f t="shared" si="9"/>
        <v>6146</v>
      </c>
      <c r="O103" s="120"/>
      <c r="P103" s="888"/>
      <c r="Q103" s="51"/>
      <c r="R103" s="120"/>
      <c r="S103" s="888"/>
      <c r="T103" s="51"/>
      <c r="U103" s="120"/>
      <c r="V103" s="888"/>
      <c r="W103" s="51"/>
      <c r="X103" s="351">
        <f t="shared" si="8"/>
        <v>0</v>
      </c>
      <c r="Y103" s="1609">
        <f t="shared" si="6"/>
        <v>0</v>
      </c>
      <c r="Z103" s="43"/>
      <c r="AA103" s="1621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45" t="s">
        <v>2165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9"/>
        <v>6147</v>
      </c>
      <c r="O104" s="120"/>
      <c r="P104" s="888"/>
      <c r="Q104" s="51"/>
      <c r="R104" s="120"/>
      <c r="S104" s="888"/>
      <c r="T104" s="51"/>
      <c r="U104" s="120"/>
      <c r="V104" s="888"/>
      <c r="W104" s="51"/>
      <c r="X104" s="351">
        <f t="shared" si="8"/>
        <v>0</v>
      </c>
      <c r="Y104" s="1609">
        <f t="shared" si="6"/>
        <v>0</v>
      </c>
      <c r="Z104" s="43"/>
      <c r="AA104" s="1621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45" t="s">
        <v>2166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9"/>
        <v>6149</v>
      </c>
      <c r="O105" s="120"/>
      <c r="P105" s="888"/>
      <c r="Q105" s="51"/>
      <c r="R105" s="120"/>
      <c r="S105" s="888"/>
      <c r="T105" s="51"/>
      <c r="U105" s="120"/>
      <c r="V105" s="888"/>
      <c r="W105" s="51"/>
      <c r="X105" s="351">
        <f t="shared" si="8"/>
        <v>0</v>
      </c>
      <c r="Y105" s="1609">
        <f t="shared" si="6"/>
        <v>0</v>
      </c>
      <c r="Z105" s="43"/>
      <c r="AA105" s="1621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45" t="s">
        <v>2167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9"/>
        <v>6151</v>
      </c>
      <c r="O106" s="120"/>
      <c r="P106" s="888"/>
      <c r="Q106" s="51"/>
      <c r="R106" s="120"/>
      <c r="S106" s="888"/>
      <c r="T106" s="51"/>
      <c r="U106" s="120"/>
      <c r="V106" s="888"/>
      <c r="W106" s="51"/>
      <c r="X106" s="351">
        <f t="shared" si="8"/>
        <v>0</v>
      </c>
      <c r="Y106" s="1609">
        <f t="shared" si="6"/>
        <v>0</v>
      </c>
      <c r="Z106" s="43"/>
      <c r="AA106" s="1621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45" t="s">
        <v>2168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9"/>
        <v>6159</v>
      </c>
      <c r="O107" s="120"/>
      <c r="P107" s="888"/>
      <c r="Q107" s="51"/>
      <c r="R107" s="120"/>
      <c r="S107" s="888"/>
      <c r="T107" s="51"/>
      <c r="U107" s="120"/>
      <c r="V107" s="888"/>
      <c r="W107" s="51"/>
      <c r="X107" s="351">
        <f t="shared" si="8"/>
        <v>0</v>
      </c>
      <c r="Y107" s="1609">
        <f t="shared" si="6"/>
        <v>0</v>
      </c>
      <c r="Z107" s="43"/>
      <c r="AA107" s="1621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45" t="s">
        <v>2169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9"/>
        <v>6161</v>
      </c>
      <c r="O108" s="120"/>
      <c r="P108" s="888"/>
      <c r="Q108" s="51"/>
      <c r="R108" s="120"/>
      <c r="S108" s="888"/>
      <c r="T108" s="51"/>
      <c r="U108" s="120"/>
      <c r="V108" s="888"/>
      <c r="W108" s="51"/>
      <c r="X108" s="351">
        <f t="shared" si="8"/>
        <v>0</v>
      </c>
      <c r="Y108" s="1609">
        <f t="shared" si="6"/>
        <v>0</v>
      </c>
      <c r="Z108" s="43"/>
      <c r="AA108" s="1621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45" t="s">
        <v>2170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9"/>
        <v>6162</v>
      </c>
      <c r="O109" s="120"/>
      <c r="P109" s="888"/>
      <c r="Q109" s="51"/>
      <c r="R109" s="120"/>
      <c r="S109" s="888"/>
      <c r="T109" s="51"/>
      <c r="U109" s="120"/>
      <c r="V109" s="888"/>
      <c r="W109" s="51"/>
      <c r="X109" s="351">
        <f t="shared" si="8"/>
        <v>0</v>
      </c>
      <c r="Y109" s="1609">
        <f t="shared" si="6"/>
        <v>0</v>
      </c>
      <c r="Z109" s="43"/>
      <c r="AA109" s="1621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45" t="s">
        <v>2171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9"/>
        <v>6163</v>
      </c>
      <c r="O110" s="120"/>
      <c r="P110" s="888"/>
      <c r="Q110" s="51"/>
      <c r="R110" s="120"/>
      <c r="S110" s="888"/>
      <c r="T110" s="51"/>
      <c r="U110" s="120"/>
      <c r="V110" s="888"/>
      <c r="W110" s="51"/>
      <c r="X110" s="351">
        <f t="shared" si="8"/>
        <v>0</v>
      </c>
      <c r="Y110" s="1609">
        <f t="shared" si="6"/>
        <v>0</v>
      </c>
      <c r="Z110" s="43"/>
      <c r="AA110" s="1621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33" t="s">
        <v>432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9"/>
        <v>6201</v>
      </c>
      <c r="O111" s="120"/>
      <c r="P111" s="888"/>
      <c r="Q111" s="51"/>
      <c r="R111" s="120"/>
      <c r="S111" s="888"/>
      <c r="T111" s="51"/>
      <c r="U111" s="120"/>
      <c r="V111" s="888"/>
      <c r="W111" s="51"/>
      <c r="X111" s="351">
        <f t="shared" si="8"/>
        <v>0</v>
      </c>
      <c r="Y111" s="1609">
        <f t="shared" si="6"/>
        <v>0</v>
      </c>
      <c r="Z111" s="43"/>
      <c r="AA111" s="1621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33" t="s">
        <v>499</v>
      </c>
      <c r="C112" s="1033"/>
      <c r="D112" s="1033"/>
      <c r="E112" s="1033"/>
      <c r="F112" s="1033"/>
      <c r="G112" s="1033"/>
      <c r="H112" s="1033"/>
      <c r="I112" s="1033"/>
      <c r="J112" s="1033"/>
      <c r="K112" s="1033"/>
      <c r="L112" s="90"/>
      <c r="M112" s="51" t="s">
        <v>265</v>
      </c>
      <c r="N112" s="113">
        <f t="shared" si="9"/>
        <v>6202</v>
      </c>
      <c r="O112" s="120"/>
      <c r="P112" s="888"/>
      <c r="Q112" s="51"/>
      <c r="R112" s="120"/>
      <c r="S112" s="888"/>
      <c r="T112" s="51"/>
      <c r="U112" s="120"/>
      <c r="V112" s="888"/>
      <c r="W112" s="51"/>
      <c r="X112" s="351">
        <f t="shared" si="8"/>
        <v>0</v>
      </c>
      <c r="Y112" s="1609">
        <f t="shared" si="6"/>
        <v>0</v>
      </c>
      <c r="Z112" s="43"/>
      <c r="AA112" s="1621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33" t="s">
        <v>500</v>
      </c>
      <c r="C113" s="1033"/>
      <c r="D113" s="1033"/>
      <c r="E113" s="1033"/>
      <c r="F113" s="1033"/>
      <c r="G113" s="1033"/>
      <c r="H113" s="1033"/>
      <c r="I113" s="1033"/>
      <c r="J113" s="1033"/>
      <c r="K113" s="1033"/>
      <c r="L113" s="90"/>
      <c r="M113" s="51" t="s">
        <v>265</v>
      </c>
      <c r="N113" s="113">
        <f t="shared" si="9"/>
        <v>6203</v>
      </c>
      <c r="O113" s="120">
        <v>76603.56</v>
      </c>
      <c r="P113" s="888">
        <v>0</v>
      </c>
      <c r="Q113" s="51"/>
      <c r="R113" s="120"/>
      <c r="S113" s="888"/>
      <c r="T113" s="51"/>
      <c r="U113" s="120"/>
      <c r="V113" s="888"/>
      <c r="W113" s="51"/>
      <c r="X113" s="351">
        <f t="shared" si="8"/>
        <v>76603.56</v>
      </c>
      <c r="Y113" s="1609">
        <f t="shared" ref="Y113:Y144" si="10">+ROUND(+P113+S113+V113,2)</f>
        <v>0</v>
      </c>
      <c r="Z113" s="43"/>
      <c r="AA113" s="1621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33" t="s">
        <v>501</v>
      </c>
      <c r="C114" s="1033"/>
      <c r="D114" s="1033"/>
      <c r="E114" s="1033"/>
      <c r="F114" s="1033"/>
      <c r="G114" s="1033"/>
      <c r="H114" s="1033"/>
      <c r="I114" s="1033"/>
      <c r="J114" s="1033"/>
      <c r="K114" s="1033"/>
      <c r="L114" s="90"/>
      <c r="M114" s="51" t="s">
        <v>265</v>
      </c>
      <c r="N114" s="113">
        <f t="shared" si="9"/>
        <v>6209</v>
      </c>
      <c r="O114" s="120"/>
      <c r="P114" s="888"/>
      <c r="Q114" s="51"/>
      <c r="R114" s="120"/>
      <c r="S114" s="888"/>
      <c r="T114" s="51"/>
      <c r="U114" s="120"/>
      <c r="V114" s="888"/>
      <c r="W114" s="51"/>
      <c r="X114" s="351">
        <f t="shared" ref="X114:X145" si="11">+ROUND(+O114+R114+U114,2)</f>
        <v>0</v>
      </c>
      <c r="Y114" s="1609">
        <f t="shared" si="10"/>
        <v>0</v>
      </c>
      <c r="Z114" s="43"/>
      <c r="AA114" s="1621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33" t="s">
        <v>502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9"/>
        <v>6211</v>
      </c>
      <c r="O115" s="120"/>
      <c r="P115" s="888"/>
      <c r="Q115" s="51"/>
      <c r="R115" s="120"/>
      <c r="S115" s="888"/>
      <c r="T115" s="51"/>
      <c r="U115" s="120"/>
      <c r="V115" s="888"/>
      <c r="W115" s="51"/>
      <c r="X115" s="351">
        <f t="shared" si="11"/>
        <v>0</v>
      </c>
      <c r="Y115" s="1609">
        <f t="shared" si="10"/>
        <v>0</v>
      </c>
      <c r="Z115" s="43"/>
      <c r="AA115" s="1621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33" t="s">
        <v>503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>+A116</f>
        <v>6218</v>
      </c>
      <c r="O116" s="120"/>
      <c r="P116" s="888"/>
      <c r="Q116" s="51"/>
      <c r="R116" s="120"/>
      <c r="S116" s="888"/>
      <c r="T116" s="51"/>
      <c r="U116" s="120"/>
      <c r="V116" s="888"/>
      <c r="W116" s="51"/>
      <c r="X116" s="351">
        <f t="shared" si="11"/>
        <v>0</v>
      </c>
      <c r="Y116" s="1609">
        <f t="shared" si="10"/>
        <v>0</v>
      </c>
      <c r="Z116" s="43"/>
      <c r="AA116" s="1621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33" t="s">
        <v>504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9"/>
        <v>6221</v>
      </c>
      <c r="O117" s="120"/>
      <c r="P117" s="888"/>
      <c r="Q117" s="51"/>
      <c r="R117" s="120"/>
      <c r="S117" s="888"/>
      <c r="T117" s="51"/>
      <c r="U117" s="120"/>
      <c r="V117" s="888"/>
      <c r="W117" s="51"/>
      <c r="X117" s="1613">
        <f t="shared" si="11"/>
        <v>0</v>
      </c>
      <c r="Y117" s="1614">
        <f t="shared" si="10"/>
        <v>0</v>
      </c>
      <c r="Z117" s="43"/>
      <c r="AA117" s="1621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33" t="s">
        <v>505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9"/>
        <v>6224</v>
      </c>
      <c r="O118" s="120"/>
      <c r="P118" s="888"/>
      <c r="Q118" s="51"/>
      <c r="R118" s="120"/>
      <c r="S118" s="888"/>
      <c r="T118" s="51"/>
      <c r="U118" s="120"/>
      <c r="V118" s="888"/>
      <c r="W118" s="51"/>
      <c r="X118" s="1613">
        <f t="shared" si="11"/>
        <v>0</v>
      </c>
      <c r="Y118" s="1614">
        <f t="shared" si="10"/>
        <v>0</v>
      </c>
      <c r="Z118" s="43"/>
      <c r="AA118" s="1621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33" t="s">
        <v>506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 t="shared" si="9"/>
        <v>6225</v>
      </c>
      <c r="O119" s="120"/>
      <c r="P119" s="888"/>
      <c r="Q119" s="51"/>
      <c r="R119" s="120"/>
      <c r="S119" s="888"/>
      <c r="T119" s="51"/>
      <c r="U119" s="120"/>
      <c r="V119" s="888"/>
      <c r="W119" s="51"/>
      <c r="X119" s="1613">
        <f t="shared" si="11"/>
        <v>0</v>
      </c>
      <c r="Y119" s="1614">
        <f t="shared" si="10"/>
        <v>0</v>
      </c>
      <c r="Z119" s="43"/>
      <c r="AA119" s="1621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33" t="s">
        <v>507</v>
      </c>
      <c r="C120" s="1033"/>
      <c r="D120" s="1033"/>
      <c r="E120" s="1033"/>
      <c r="F120" s="1033"/>
      <c r="G120" s="1033"/>
      <c r="H120" s="1033"/>
      <c r="I120" s="1033"/>
      <c r="J120" s="1033"/>
      <c r="K120" s="1033"/>
      <c r="L120" s="90"/>
      <c r="M120" s="51" t="s">
        <v>265</v>
      </c>
      <c r="N120" s="113">
        <f t="shared" si="9"/>
        <v>6226</v>
      </c>
      <c r="O120" s="120"/>
      <c r="P120" s="888"/>
      <c r="Q120" s="51"/>
      <c r="R120" s="120"/>
      <c r="S120" s="888"/>
      <c r="T120" s="51"/>
      <c r="U120" s="120"/>
      <c r="V120" s="888"/>
      <c r="W120" s="51"/>
      <c r="X120" s="1613">
        <f t="shared" si="11"/>
        <v>0</v>
      </c>
      <c r="Y120" s="1614">
        <f t="shared" si="10"/>
        <v>0</v>
      </c>
      <c r="Z120" s="43"/>
      <c r="AA120" s="1621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33" t="s">
        <v>508</v>
      </c>
      <c r="C121" s="1033"/>
      <c r="D121" s="1033"/>
      <c r="E121" s="1033"/>
      <c r="F121" s="1033"/>
      <c r="G121" s="1033"/>
      <c r="H121" s="1033"/>
      <c r="I121" s="1033"/>
      <c r="J121" s="1033"/>
      <c r="K121" s="1033"/>
      <c r="L121" s="90"/>
      <c r="M121" s="51" t="s">
        <v>265</v>
      </c>
      <c r="N121" s="113">
        <f t="shared" si="9"/>
        <v>6227</v>
      </c>
      <c r="O121" s="120"/>
      <c r="P121" s="888"/>
      <c r="Q121" s="51"/>
      <c r="R121" s="120"/>
      <c r="S121" s="888"/>
      <c r="T121" s="51"/>
      <c r="U121" s="120"/>
      <c r="V121" s="888"/>
      <c r="W121" s="51"/>
      <c r="X121" s="1613">
        <f t="shared" si="11"/>
        <v>0</v>
      </c>
      <c r="Y121" s="1614">
        <f t="shared" si="10"/>
        <v>0</v>
      </c>
      <c r="Z121" s="43"/>
      <c r="AA121" s="1621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33" t="s">
        <v>509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 t="shared" si="9"/>
        <v>6229</v>
      </c>
      <c r="O122" s="120"/>
      <c r="P122" s="888"/>
      <c r="Q122" s="51"/>
      <c r="R122" s="120"/>
      <c r="S122" s="888"/>
      <c r="T122" s="51"/>
      <c r="U122" s="120"/>
      <c r="V122" s="888"/>
      <c r="W122" s="51"/>
      <c r="X122" s="1613">
        <f t="shared" si="11"/>
        <v>0</v>
      </c>
      <c r="Y122" s="1614">
        <f t="shared" si="10"/>
        <v>0</v>
      </c>
      <c r="Z122" s="43"/>
      <c r="AA122" s="1621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33" t="s">
        <v>510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 t="shared" si="9"/>
        <v>6231</v>
      </c>
      <c r="O123" s="120"/>
      <c r="P123" s="888"/>
      <c r="Q123" s="51"/>
      <c r="R123" s="120"/>
      <c r="S123" s="888"/>
      <c r="T123" s="51"/>
      <c r="U123" s="120"/>
      <c r="V123" s="888"/>
      <c r="W123" s="51"/>
      <c r="X123" s="1613">
        <f t="shared" si="11"/>
        <v>0</v>
      </c>
      <c r="Y123" s="1614">
        <f t="shared" si="10"/>
        <v>0</v>
      </c>
      <c r="Z123" s="43"/>
      <c r="AA123" s="1621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33" t="s">
        <v>511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9"/>
        <v>6232</v>
      </c>
      <c r="O124" s="120"/>
      <c r="P124" s="888"/>
      <c r="Q124" s="51"/>
      <c r="R124" s="120"/>
      <c r="S124" s="888"/>
      <c r="T124" s="51"/>
      <c r="U124" s="120"/>
      <c r="V124" s="888"/>
      <c r="W124" s="51"/>
      <c r="X124" s="1613">
        <f t="shared" si="11"/>
        <v>0</v>
      </c>
      <c r="Y124" s="1614">
        <f t="shared" si="10"/>
        <v>0</v>
      </c>
      <c r="Z124" s="43"/>
      <c r="AA124" s="1621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33" t="s">
        <v>512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9"/>
        <v>6241</v>
      </c>
      <c r="O125" s="120"/>
      <c r="P125" s="888"/>
      <c r="Q125" s="51"/>
      <c r="R125" s="120"/>
      <c r="S125" s="888"/>
      <c r="T125" s="51"/>
      <c r="U125" s="120"/>
      <c r="V125" s="888"/>
      <c r="W125" s="51"/>
      <c r="X125" s="1613">
        <f t="shared" si="11"/>
        <v>0</v>
      </c>
      <c r="Y125" s="1614">
        <f t="shared" si="10"/>
        <v>0</v>
      </c>
      <c r="Z125" s="43"/>
      <c r="AA125" s="1621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33" t="s">
        <v>513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9"/>
        <v>6242</v>
      </c>
      <c r="O126" s="120"/>
      <c r="P126" s="888"/>
      <c r="Q126" s="51"/>
      <c r="R126" s="120"/>
      <c r="S126" s="888"/>
      <c r="T126" s="51"/>
      <c r="U126" s="120"/>
      <c r="V126" s="888"/>
      <c r="W126" s="51"/>
      <c r="X126" s="1613">
        <f t="shared" si="11"/>
        <v>0</v>
      </c>
      <c r="Y126" s="1614">
        <f t="shared" si="10"/>
        <v>0</v>
      </c>
      <c r="Z126" s="43"/>
      <c r="AA126" s="1621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33" t="s">
        <v>514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>+A127</f>
        <v>6270</v>
      </c>
      <c r="O127" s="120"/>
      <c r="P127" s="888"/>
      <c r="Q127" s="51"/>
      <c r="R127" s="120"/>
      <c r="S127" s="888"/>
      <c r="T127" s="51"/>
      <c r="U127" s="120"/>
      <c r="V127" s="888"/>
      <c r="W127" s="51"/>
      <c r="X127" s="1613">
        <f t="shared" si="11"/>
        <v>0</v>
      </c>
      <c r="Y127" s="1614">
        <f t="shared" si="10"/>
        <v>0</v>
      </c>
      <c r="Z127" s="43"/>
      <c r="AA127" s="1621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33" t="s">
        <v>515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9"/>
        <v>6271</v>
      </c>
      <c r="O128" s="120"/>
      <c r="P128" s="888"/>
      <c r="Q128" s="51"/>
      <c r="R128" s="120"/>
      <c r="S128" s="888"/>
      <c r="T128" s="51"/>
      <c r="U128" s="120"/>
      <c r="V128" s="888"/>
      <c r="W128" s="51"/>
      <c r="X128" s="1613">
        <f t="shared" si="11"/>
        <v>0</v>
      </c>
      <c r="Y128" s="1614">
        <f t="shared" si="10"/>
        <v>0</v>
      </c>
      <c r="Z128" s="43"/>
      <c r="AA128" s="1621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33" t="s">
        <v>516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9"/>
        <v>6272</v>
      </c>
      <c r="O129" s="120"/>
      <c r="P129" s="888"/>
      <c r="Q129" s="51"/>
      <c r="R129" s="120"/>
      <c r="S129" s="888"/>
      <c r="T129" s="51"/>
      <c r="U129" s="120"/>
      <c r="V129" s="888"/>
      <c r="W129" s="51"/>
      <c r="X129" s="1613">
        <f t="shared" si="11"/>
        <v>0</v>
      </c>
      <c r="Y129" s="1614">
        <f t="shared" si="10"/>
        <v>0</v>
      </c>
      <c r="Z129" s="43"/>
      <c r="AA129" s="1621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33" t="s">
        <v>520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9"/>
        <v>6273</v>
      </c>
      <c r="O130" s="120"/>
      <c r="P130" s="888"/>
      <c r="Q130" s="51"/>
      <c r="R130" s="120"/>
      <c r="S130" s="888"/>
      <c r="T130" s="51"/>
      <c r="U130" s="120"/>
      <c r="V130" s="888"/>
      <c r="W130" s="51"/>
      <c r="X130" s="1613">
        <f t="shared" si="11"/>
        <v>0</v>
      </c>
      <c r="Y130" s="1614">
        <f t="shared" si="10"/>
        <v>0</v>
      </c>
      <c r="Z130" s="43"/>
      <c r="AA130" s="1621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33" t="s">
        <v>521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9"/>
        <v>6274</v>
      </c>
      <c r="O131" s="120"/>
      <c r="P131" s="888"/>
      <c r="Q131" s="51"/>
      <c r="R131" s="120"/>
      <c r="S131" s="888"/>
      <c r="T131" s="51"/>
      <c r="U131" s="120"/>
      <c r="V131" s="888"/>
      <c r="W131" s="51"/>
      <c r="X131" s="1613">
        <f t="shared" si="11"/>
        <v>0</v>
      </c>
      <c r="Y131" s="1614">
        <f t="shared" si="10"/>
        <v>0</v>
      </c>
      <c r="Z131" s="43"/>
      <c r="AA131" s="1621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33" t="s">
        <v>522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9"/>
        <v>6275</v>
      </c>
      <c r="O132" s="120"/>
      <c r="P132" s="888"/>
      <c r="Q132" s="51"/>
      <c r="R132" s="120"/>
      <c r="S132" s="888"/>
      <c r="T132" s="51"/>
      <c r="U132" s="120"/>
      <c r="V132" s="888"/>
      <c r="W132" s="51"/>
      <c r="X132" s="1613">
        <f t="shared" si="11"/>
        <v>0</v>
      </c>
      <c r="Y132" s="1614">
        <f t="shared" si="10"/>
        <v>0</v>
      </c>
      <c r="Z132" s="43"/>
      <c r="AA132" s="1621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33" t="s">
        <v>523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9"/>
        <v>6276</v>
      </c>
      <c r="O133" s="120"/>
      <c r="P133" s="888"/>
      <c r="Q133" s="51"/>
      <c r="R133" s="120"/>
      <c r="S133" s="888"/>
      <c r="T133" s="51"/>
      <c r="U133" s="120"/>
      <c r="V133" s="888"/>
      <c r="W133" s="51"/>
      <c r="X133" s="1613">
        <f t="shared" si="11"/>
        <v>0</v>
      </c>
      <c r="Y133" s="1614">
        <f t="shared" si="10"/>
        <v>0</v>
      </c>
      <c r="Z133" s="43"/>
      <c r="AA133" s="1621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33" t="s">
        <v>524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9"/>
        <v>6277</v>
      </c>
      <c r="O134" s="120"/>
      <c r="P134" s="888"/>
      <c r="Q134" s="51"/>
      <c r="R134" s="120"/>
      <c r="S134" s="888"/>
      <c r="T134" s="51"/>
      <c r="U134" s="120"/>
      <c r="V134" s="888"/>
      <c r="W134" s="51"/>
      <c r="X134" s="1613">
        <f t="shared" si="11"/>
        <v>0</v>
      </c>
      <c r="Y134" s="1614">
        <f t="shared" si="10"/>
        <v>0</v>
      </c>
      <c r="Z134" s="43"/>
      <c r="AA134" s="1621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33" t="s">
        <v>578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9"/>
        <v>6278</v>
      </c>
      <c r="O135" s="120"/>
      <c r="P135" s="888"/>
      <c r="Q135" s="51"/>
      <c r="R135" s="120"/>
      <c r="S135" s="888"/>
      <c r="T135" s="51"/>
      <c r="U135" s="120"/>
      <c r="V135" s="888"/>
      <c r="W135" s="51"/>
      <c r="X135" s="1613">
        <f t="shared" si="11"/>
        <v>0</v>
      </c>
      <c r="Y135" s="1614">
        <f t="shared" si="10"/>
        <v>0</v>
      </c>
      <c r="Z135" s="43"/>
      <c r="AA135" s="1621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33" t="s">
        <v>517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9"/>
        <v>6279</v>
      </c>
      <c r="O136" s="120"/>
      <c r="P136" s="888"/>
      <c r="Q136" s="51"/>
      <c r="R136" s="120"/>
      <c r="S136" s="888"/>
      <c r="T136" s="51"/>
      <c r="U136" s="120"/>
      <c r="V136" s="888"/>
      <c r="W136" s="51"/>
      <c r="X136" s="1613">
        <f t="shared" si="11"/>
        <v>0</v>
      </c>
      <c r="Y136" s="1614">
        <f t="shared" si="10"/>
        <v>0</v>
      </c>
      <c r="Z136" s="43"/>
      <c r="AA136" s="1621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33" t="s">
        <v>560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9"/>
        <v>6281</v>
      </c>
      <c r="O137" s="120"/>
      <c r="P137" s="888"/>
      <c r="Q137" s="51"/>
      <c r="R137" s="120"/>
      <c r="S137" s="888"/>
      <c r="T137" s="51"/>
      <c r="U137" s="120"/>
      <c r="V137" s="888"/>
      <c r="W137" s="51"/>
      <c r="X137" s="1613">
        <f t="shared" si="11"/>
        <v>0</v>
      </c>
      <c r="Y137" s="1614">
        <f t="shared" si="10"/>
        <v>0</v>
      </c>
      <c r="Z137" s="43"/>
      <c r="AA137" s="1621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33" t="s">
        <v>561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9"/>
        <v>6282</v>
      </c>
      <c r="O138" s="120"/>
      <c r="P138" s="888"/>
      <c r="Q138" s="51"/>
      <c r="R138" s="120"/>
      <c r="S138" s="888"/>
      <c r="T138" s="51"/>
      <c r="U138" s="120"/>
      <c r="V138" s="888"/>
      <c r="W138" s="51"/>
      <c r="X138" s="1613">
        <f t="shared" si="11"/>
        <v>0</v>
      </c>
      <c r="Y138" s="1614">
        <f t="shared" si="10"/>
        <v>0</v>
      </c>
      <c r="Z138" s="43"/>
      <c r="AA138" s="1621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33" t="s">
        <v>562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9"/>
        <v>6291</v>
      </c>
      <c r="O139" s="120"/>
      <c r="P139" s="888"/>
      <c r="Q139" s="51"/>
      <c r="R139" s="120"/>
      <c r="S139" s="888"/>
      <c r="T139" s="51"/>
      <c r="U139" s="120"/>
      <c r="V139" s="888"/>
      <c r="W139" s="51"/>
      <c r="X139" s="1613">
        <f t="shared" si="11"/>
        <v>0</v>
      </c>
      <c r="Y139" s="1614">
        <f t="shared" si="10"/>
        <v>0</v>
      </c>
      <c r="Z139" s="43"/>
      <c r="AA139" s="1621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33" t="s">
        <v>563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9"/>
        <v>6292</v>
      </c>
      <c r="O140" s="120"/>
      <c r="P140" s="888"/>
      <c r="Q140" s="51"/>
      <c r="R140" s="120"/>
      <c r="S140" s="888"/>
      <c r="T140" s="51"/>
      <c r="U140" s="120"/>
      <c r="V140" s="888"/>
      <c r="W140" s="51"/>
      <c r="X140" s="1613">
        <f t="shared" si="11"/>
        <v>0</v>
      </c>
      <c r="Y140" s="1614">
        <f t="shared" si="10"/>
        <v>0</v>
      </c>
      <c r="Z140" s="43"/>
      <c r="AA140" s="1621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33" t="s">
        <v>579</v>
      </c>
      <c r="C141" s="1033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>+A141</f>
        <v>6298</v>
      </c>
      <c r="O141" s="120"/>
      <c r="P141" s="888"/>
      <c r="Q141" s="51"/>
      <c r="R141" s="120"/>
      <c r="S141" s="888"/>
      <c r="T141" s="51"/>
      <c r="U141" s="120"/>
      <c r="V141" s="888"/>
      <c r="W141" s="51"/>
      <c r="X141" s="1613">
        <f t="shared" si="11"/>
        <v>0</v>
      </c>
      <c r="Y141" s="1614">
        <f t="shared" si="10"/>
        <v>0</v>
      </c>
      <c r="Z141" s="43"/>
      <c r="AA141" s="1621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33" t="s">
        <v>580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9"/>
        <v>6401</v>
      </c>
      <c r="O142" s="120"/>
      <c r="P142" s="888"/>
      <c r="Q142" s="51"/>
      <c r="R142" s="120"/>
      <c r="S142" s="888"/>
      <c r="T142" s="51"/>
      <c r="U142" s="120"/>
      <c r="V142" s="888"/>
      <c r="W142" s="51"/>
      <c r="X142" s="1613">
        <f t="shared" si="11"/>
        <v>0</v>
      </c>
      <c r="Y142" s="1614">
        <f t="shared" si="10"/>
        <v>0</v>
      </c>
      <c r="Z142" s="43"/>
      <c r="AA142" s="1621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33" t="s">
        <v>581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9"/>
        <v>6402</v>
      </c>
      <c r="O143" s="120"/>
      <c r="P143" s="888"/>
      <c r="Q143" s="51"/>
      <c r="R143" s="120"/>
      <c r="S143" s="888"/>
      <c r="T143" s="51"/>
      <c r="U143" s="120"/>
      <c r="V143" s="888"/>
      <c r="W143" s="51"/>
      <c r="X143" s="1613">
        <f t="shared" si="11"/>
        <v>0</v>
      </c>
      <c r="Y143" s="1614">
        <f t="shared" si="10"/>
        <v>0</v>
      </c>
      <c r="Z143" s="43"/>
      <c r="AA143" s="1621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33" t="s">
        <v>582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9"/>
        <v>6411</v>
      </c>
      <c r="O144" s="120">
        <v>23605.5</v>
      </c>
      <c r="P144" s="888">
        <v>0</v>
      </c>
      <c r="Q144" s="51"/>
      <c r="R144" s="120">
        <v>3835</v>
      </c>
      <c r="S144" s="888">
        <v>0</v>
      </c>
      <c r="T144" s="51"/>
      <c r="U144" s="120"/>
      <c r="V144" s="888"/>
      <c r="W144" s="51"/>
      <c r="X144" s="1613">
        <f t="shared" si="11"/>
        <v>27440.5</v>
      </c>
      <c r="Y144" s="1614">
        <f t="shared" si="10"/>
        <v>0</v>
      </c>
      <c r="Z144" s="43"/>
      <c r="AA144" s="1621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33" t="s">
        <v>583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9"/>
        <v>6412</v>
      </c>
      <c r="O145" s="120"/>
      <c r="P145" s="888"/>
      <c r="Q145" s="51"/>
      <c r="R145" s="120"/>
      <c r="S145" s="888"/>
      <c r="T145" s="51"/>
      <c r="U145" s="120"/>
      <c r="V145" s="888"/>
      <c r="W145" s="51"/>
      <c r="X145" s="1613">
        <f t="shared" si="11"/>
        <v>0</v>
      </c>
      <c r="Y145" s="1614">
        <f t="shared" ref="Y145:Y176" si="12">+ROUND(+P145+S145+V145,2)</f>
        <v>0</v>
      </c>
      <c r="Z145" s="43"/>
      <c r="AA145" s="1621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78" t="s">
        <v>584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9"/>
        <v>6421</v>
      </c>
      <c r="O146" s="120">
        <v>28113.59</v>
      </c>
      <c r="P146" s="888">
        <v>0</v>
      </c>
      <c r="Q146" s="51"/>
      <c r="R146" s="120">
        <v>4332.05</v>
      </c>
      <c r="S146" s="888">
        <v>0</v>
      </c>
      <c r="T146" s="51"/>
      <c r="U146" s="120"/>
      <c r="V146" s="888"/>
      <c r="W146" s="51"/>
      <c r="X146" s="1613">
        <f t="shared" ref="X146:X177" si="14">+ROUND(+O146+R146+U146,2)</f>
        <v>32445.64</v>
      </c>
      <c r="Y146" s="1614">
        <f t="shared" si="12"/>
        <v>0</v>
      </c>
      <c r="Z146" s="43"/>
      <c r="AA146" s="1621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78" t="s">
        <v>585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9"/>
        <v>6422</v>
      </c>
      <c r="O147" s="120"/>
      <c r="P147" s="888"/>
      <c r="Q147" s="51"/>
      <c r="R147" s="120"/>
      <c r="S147" s="888"/>
      <c r="T147" s="51"/>
      <c r="U147" s="120"/>
      <c r="V147" s="888"/>
      <c r="W147" s="51"/>
      <c r="X147" s="1613">
        <f t="shared" si="14"/>
        <v>0</v>
      </c>
      <c r="Y147" s="1614">
        <f t="shared" si="12"/>
        <v>0</v>
      </c>
      <c r="Z147" s="43"/>
      <c r="AA147" s="1621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78" t="s">
        <v>586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9"/>
        <v>6423</v>
      </c>
      <c r="O148" s="120"/>
      <c r="P148" s="888"/>
      <c r="Q148" s="51"/>
      <c r="R148" s="120"/>
      <c r="S148" s="888"/>
      <c r="T148" s="51"/>
      <c r="U148" s="120"/>
      <c r="V148" s="888"/>
      <c r="W148" s="51"/>
      <c r="X148" s="1613">
        <f t="shared" si="14"/>
        <v>0</v>
      </c>
      <c r="Y148" s="1614">
        <f t="shared" si="12"/>
        <v>0</v>
      </c>
      <c r="Z148" s="43"/>
      <c r="AA148" s="1621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78" t="s">
        <v>587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 t="shared" si="9"/>
        <v>6424</v>
      </c>
      <c r="O149" s="120"/>
      <c r="P149" s="888"/>
      <c r="Q149" s="51"/>
      <c r="R149" s="120"/>
      <c r="S149" s="888"/>
      <c r="T149" s="51"/>
      <c r="U149" s="120"/>
      <c r="V149" s="888"/>
      <c r="W149" s="51"/>
      <c r="X149" s="1613">
        <f t="shared" si="14"/>
        <v>0</v>
      </c>
      <c r="Y149" s="1614">
        <f t="shared" si="12"/>
        <v>0</v>
      </c>
      <c r="Z149" s="43"/>
      <c r="AA149" s="1621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78" t="s">
        <v>588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9"/>
        <v>6425</v>
      </c>
      <c r="O150" s="120"/>
      <c r="P150" s="888"/>
      <c r="Q150" s="51"/>
      <c r="R150" s="120"/>
      <c r="S150" s="888"/>
      <c r="T150" s="51"/>
      <c r="U150" s="120"/>
      <c r="V150" s="888"/>
      <c r="W150" s="51"/>
      <c r="X150" s="1613">
        <f t="shared" si="14"/>
        <v>0</v>
      </c>
      <c r="Y150" s="1614">
        <f t="shared" si="12"/>
        <v>0</v>
      </c>
      <c r="Z150" s="43"/>
      <c r="AA150" s="1621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78" t="s">
        <v>589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9"/>
        <v>6426</v>
      </c>
      <c r="O151" s="120"/>
      <c r="P151" s="888"/>
      <c r="Q151" s="51"/>
      <c r="R151" s="120"/>
      <c r="S151" s="888"/>
      <c r="T151" s="51"/>
      <c r="U151" s="120"/>
      <c r="V151" s="888"/>
      <c r="W151" s="51"/>
      <c r="X151" s="1613">
        <f t="shared" si="14"/>
        <v>0</v>
      </c>
      <c r="Y151" s="1614">
        <f t="shared" si="12"/>
        <v>0</v>
      </c>
      <c r="Z151" s="43"/>
      <c r="AA151" s="1621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78" t="s">
        <v>598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9"/>
        <v>6427</v>
      </c>
      <c r="O152" s="120"/>
      <c r="P152" s="888"/>
      <c r="Q152" s="51"/>
      <c r="R152" s="120"/>
      <c r="S152" s="888"/>
      <c r="T152" s="51"/>
      <c r="U152" s="120"/>
      <c r="V152" s="888"/>
      <c r="W152" s="51"/>
      <c r="X152" s="1613">
        <f t="shared" si="14"/>
        <v>0</v>
      </c>
      <c r="Y152" s="1614">
        <f t="shared" si="12"/>
        <v>0</v>
      </c>
      <c r="Z152" s="43"/>
      <c r="AA152" s="1621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78" t="s">
        <v>599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9"/>
        <v>6428</v>
      </c>
      <c r="O153" s="120"/>
      <c r="P153" s="888"/>
      <c r="Q153" s="51"/>
      <c r="R153" s="120"/>
      <c r="S153" s="888"/>
      <c r="T153" s="51"/>
      <c r="U153" s="120"/>
      <c r="V153" s="888"/>
      <c r="W153" s="51"/>
      <c r="X153" s="1613">
        <f t="shared" si="14"/>
        <v>0</v>
      </c>
      <c r="Y153" s="1614">
        <f t="shared" si="12"/>
        <v>0</v>
      </c>
      <c r="Z153" s="43"/>
      <c r="AA153" s="1621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33" t="s">
        <v>899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 t="shared" si="9"/>
        <v>6430</v>
      </c>
      <c r="O154" s="120"/>
      <c r="P154" s="888"/>
      <c r="Q154" s="51"/>
      <c r="R154" s="120"/>
      <c r="S154" s="888"/>
      <c r="T154" s="51"/>
      <c r="U154" s="120"/>
      <c r="V154" s="888"/>
      <c r="W154" s="51"/>
      <c r="X154" s="1613">
        <f t="shared" si="14"/>
        <v>0</v>
      </c>
      <c r="Y154" s="1614">
        <f t="shared" si="12"/>
        <v>0</v>
      </c>
      <c r="Z154" s="43"/>
      <c r="AA154" s="1621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33" t="s">
        <v>600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6437</v>
      </c>
      <c r="O155" s="120"/>
      <c r="P155" s="888"/>
      <c r="Q155" s="51"/>
      <c r="R155" s="120"/>
      <c r="S155" s="888"/>
      <c r="T155" s="51"/>
      <c r="U155" s="120"/>
      <c r="V155" s="888"/>
      <c r="W155" s="51"/>
      <c r="X155" s="1613">
        <f t="shared" si="14"/>
        <v>0</v>
      </c>
      <c r="Y155" s="1614">
        <f t="shared" si="12"/>
        <v>0</v>
      </c>
      <c r="Z155" s="43"/>
      <c r="AA155" s="1621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33" t="s">
        <v>601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>+A156</f>
        <v>6438</v>
      </c>
      <c r="O156" s="120"/>
      <c r="P156" s="888"/>
      <c r="Q156" s="51"/>
      <c r="R156" s="120"/>
      <c r="S156" s="888"/>
      <c r="T156" s="51"/>
      <c r="U156" s="120"/>
      <c r="V156" s="888"/>
      <c r="W156" s="51"/>
      <c r="X156" s="1613">
        <f t="shared" si="14"/>
        <v>0</v>
      </c>
      <c r="Y156" s="1614">
        <f t="shared" si="12"/>
        <v>0</v>
      </c>
      <c r="Z156" s="43"/>
      <c r="AA156" s="1621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33" t="s">
        <v>602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>+A157</f>
        <v>6440</v>
      </c>
      <c r="O157" s="120"/>
      <c r="P157" s="888"/>
      <c r="Q157" s="51"/>
      <c r="R157" s="120"/>
      <c r="S157" s="888"/>
      <c r="T157" s="51"/>
      <c r="U157" s="120"/>
      <c r="V157" s="888"/>
      <c r="W157" s="51"/>
      <c r="X157" s="1613">
        <f t="shared" si="14"/>
        <v>0</v>
      </c>
      <c r="Y157" s="1614">
        <f t="shared" si="12"/>
        <v>0</v>
      </c>
      <c r="Z157" s="43"/>
      <c r="AA157" s="1621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606">
        <v>6441</v>
      </c>
      <c r="B158" s="378" t="s">
        <v>603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9"/>
        <v>6441</v>
      </c>
      <c r="O158" s="120">
        <v>26259</v>
      </c>
      <c r="P158" s="888">
        <v>0</v>
      </c>
      <c r="Q158" s="51"/>
      <c r="R158" s="120">
        <v>209991.14</v>
      </c>
      <c r="S158" s="888">
        <v>0</v>
      </c>
      <c r="T158" s="51"/>
      <c r="U158" s="120"/>
      <c r="V158" s="888"/>
      <c r="W158" s="51"/>
      <c r="X158" s="1613">
        <f t="shared" si="14"/>
        <v>236250.14</v>
      </c>
      <c r="Y158" s="1614">
        <f t="shared" si="12"/>
        <v>0</v>
      </c>
      <c r="Z158" s="43"/>
      <c r="AA158" s="1621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606">
        <v>6442</v>
      </c>
      <c r="B159" s="378" t="s">
        <v>604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9"/>
        <v>6442</v>
      </c>
      <c r="O159" s="120"/>
      <c r="P159" s="888"/>
      <c r="Q159" s="51"/>
      <c r="R159" s="120"/>
      <c r="S159" s="888"/>
      <c r="T159" s="51"/>
      <c r="U159" s="120"/>
      <c r="V159" s="888"/>
      <c r="W159" s="51"/>
      <c r="X159" s="1613">
        <f t="shared" si="14"/>
        <v>0</v>
      </c>
      <c r="Y159" s="1614">
        <f t="shared" si="12"/>
        <v>0</v>
      </c>
      <c r="Z159" s="43"/>
      <c r="AA159" s="1621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606">
        <v>6443</v>
      </c>
      <c r="B160" s="378" t="s">
        <v>605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9"/>
        <v>6443</v>
      </c>
      <c r="O160" s="120">
        <v>4132.26</v>
      </c>
      <c r="P160" s="888">
        <v>0</v>
      </c>
      <c r="Q160" s="51"/>
      <c r="R160" s="120"/>
      <c r="S160" s="888"/>
      <c r="T160" s="51"/>
      <c r="U160" s="120"/>
      <c r="V160" s="888"/>
      <c r="W160" s="51"/>
      <c r="X160" s="1613">
        <f t="shared" si="14"/>
        <v>4132.26</v>
      </c>
      <c r="Y160" s="1614">
        <f t="shared" si="12"/>
        <v>0</v>
      </c>
      <c r="Z160" s="43"/>
      <c r="AA160" s="1621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606">
        <v>6444</v>
      </c>
      <c r="B161" s="378" t="s">
        <v>606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ref="N161:N226" si="15">+A161</f>
        <v>6444</v>
      </c>
      <c r="O161" s="120"/>
      <c r="P161" s="888"/>
      <c r="Q161" s="51"/>
      <c r="R161" s="120"/>
      <c r="S161" s="888"/>
      <c r="T161" s="51"/>
      <c r="U161" s="120"/>
      <c r="V161" s="888"/>
      <c r="W161" s="51"/>
      <c r="X161" s="1613">
        <f t="shared" si="14"/>
        <v>0</v>
      </c>
      <c r="Y161" s="1614">
        <f t="shared" si="12"/>
        <v>0</v>
      </c>
      <c r="Z161" s="43"/>
      <c r="AA161" s="1621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606">
        <v>6445</v>
      </c>
      <c r="B162" s="378" t="s">
        <v>607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15"/>
        <v>6445</v>
      </c>
      <c r="O162" s="120">
        <v>62728</v>
      </c>
      <c r="P162" s="888">
        <v>0</v>
      </c>
      <c r="Q162" s="51"/>
      <c r="R162" s="120"/>
      <c r="S162" s="888"/>
      <c r="T162" s="51"/>
      <c r="U162" s="120"/>
      <c r="V162" s="888"/>
      <c r="W162" s="51"/>
      <c r="X162" s="1613">
        <f t="shared" si="14"/>
        <v>62728</v>
      </c>
      <c r="Y162" s="1614">
        <f t="shared" si="12"/>
        <v>0</v>
      </c>
      <c r="Z162" s="43"/>
      <c r="AA162" s="1621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606">
        <v>6446</v>
      </c>
      <c r="B163" s="378" t="s">
        <v>608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15"/>
        <v>6446</v>
      </c>
      <c r="O163" s="120"/>
      <c r="P163" s="888"/>
      <c r="Q163" s="51"/>
      <c r="R163" s="120"/>
      <c r="S163" s="888"/>
      <c r="T163" s="51"/>
      <c r="U163" s="120"/>
      <c r="V163" s="888"/>
      <c r="W163" s="51"/>
      <c r="X163" s="1613">
        <f t="shared" si="14"/>
        <v>0</v>
      </c>
      <c r="Y163" s="1614">
        <f t="shared" si="12"/>
        <v>0</v>
      </c>
      <c r="Z163" s="43"/>
      <c r="AA163" s="1621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606">
        <v>6447</v>
      </c>
      <c r="B164" s="378" t="s">
        <v>609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15"/>
        <v>6447</v>
      </c>
      <c r="O164" s="120">
        <v>1294</v>
      </c>
      <c r="P164" s="888">
        <v>0</v>
      </c>
      <c r="Q164" s="51"/>
      <c r="R164" s="120"/>
      <c r="S164" s="888"/>
      <c r="T164" s="51"/>
      <c r="U164" s="120"/>
      <c r="V164" s="888"/>
      <c r="W164" s="51"/>
      <c r="X164" s="1613">
        <f t="shared" si="14"/>
        <v>1294</v>
      </c>
      <c r="Y164" s="1614">
        <f t="shared" si="12"/>
        <v>0</v>
      </c>
      <c r="Z164" s="43"/>
      <c r="AA164" s="1621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606">
        <v>6448</v>
      </c>
      <c r="B165" s="378" t="s">
        <v>610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15"/>
        <v>6448</v>
      </c>
      <c r="O165" s="120"/>
      <c r="P165" s="888"/>
      <c r="Q165" s="51"/>
      <c r="R165" s="120"/>
      <c r="S165" s="888"/>
      <c r="T165" s="51"/>
      <c r="U165" s="120"/>
      <c r="V165" s="888"/>
      <c r="W165" s="51"/>
      <c r="X165" s="1613">
        <f t="shared" si="14"/>
        <v>0</v>
      </c>
      <c r="Y165" s="1614">
        <f t="shared" si="12"/>
        <v>0</v>
      </c>
      <c r="Z165" s="43"/>
      <c r="AA165" s="1621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606">
        <v>6449</v>
      </c>
      <c r="B166" s="378" t="s">
        <v>525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>+A166</f>
        <v>6449</v>
      </c>
      <c r="O166" s="120"/>
      <c r="P166" s="888"/>
      <c r="Q166" s="51"/>
      <c r="R166" s="120"/>
      <c r="S166" s="888"/>
      <c r="T166" s="51"/>
      <c r="U166" s="120"/>
      <c r="V166" s="888"/>
      <c r="W166" s="51"/>
      <c r="X166" s="1613">
        <f t="shared" si="14"/>
        <v>0</v>
      </c>
      <c r="Y166" s="1614">
        <f t="shared" si="12"/>
        <v>0</v>
      </c>
      <c r="Z166" s="43"/>
      <c r="AA166" s="1621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78" t="s">
        <v>526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si="15"/>
        <v>6451</v>
      </c>
      <c r="O167" s="120">
        <v>233087</v>
      </c>
      <c r="P167" s="888">
        <v>0</v>
      </c>
      <c r="Q167" s="51"/>
      <c r="R167" s="120"/>
      <c r="S167" s="888"/>
      <c r="T167" s="51"/>
      <c r="U167" s="120"/>
      <c r="V167" s="888"/>
      <c r="W167" s="51"/>
      <c r="X167" s="1613">
        <f t="shared" si="14"/>
        <v>233087</v>
      </c>
      <c r="Y167" s="1614">
        <f t="shared" si="12"/>
        <v>0</v>
      </c>
      <c r="Z167" s="43"/>
      <c r="AA167" s="1621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32" t="s">
        <v>527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15"/>
        <v>6453</v>
      </c>
      <c r="O168" s="120"/>
      <c r="P168" s="888"/>
      <c r="Q168" s="51"/>
      <c r="R168" s="120"/>
      <c r="S168" s="888"/>
      <c r="T168" s="51"/>
      <c r="U168" s="120"/>
      <c r="V168" s="888"/>
      <c r="W168" s="51"/>
      <c r="X168" s="1613">
        <f t="shared" si="14"/>
        <v>0</v>
      </c>
      <c r="Y168" s="1614">
        <f t="shared" si="12"/>
        <v>0</v>
      </c>
      <c r="Z168" s="43"/>
      <c r="AA168" s="1621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32" t="s">
        <v>528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15"/>
        <v>6454</v>
      </c>
      <c r="O169" s="120"/>
      <c r="P169" s="888"/>
      <c r="Q169" s="51"/>
      <c r="R169" s="120"/>
      <c r="S169" s="888"/>
      <c r="T169" s="51"/>
      <c r="U169" s="120"/>
      <c r="V169" s="888"/>
      <c r="W169" s="51"/>
      <c r="X169" s="1613">
        <f t="shared" si="14"/>
        <v>0</v>
      </c>
      <c r="Y169" s="1614">
        <f t="shared" si="12"/>
        <v>0</v>
      </c>
      <c r="Z169" s="43"/>
      <c r="AA169" s="1621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32" t="s">
        <v>529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15"/>
        <v>6455</v>
      </c>
      <c r="O170" s="120"/>
      <c r="P170" s="888"/>
      <c r="Q170" s="51"/>
      <c r="R170" s="120"/>
      <c r="S170" s="888"/>
      <c r="T170" s="51"/>
      <c r="U170" s="120"/>
      <c r="V170" s="888"/>
      <c r="W170" s="51"/>
      <c r="X170" s="1613">
        <f t="shared" si="14"/>
        <v>0</v>
      </c>
      <c r="Y170" s="1614">
        <f t="shared" si="12"/>
        <v>0</v>
      </c>
      <c r="Z170" s="43"/>
      <c r="AA170" s="1621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32" t="s">
        <v>530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15"/>
        <v>6457</v>
      </c>
      <c r="O171" s="120"/>
      <c r="P171" s="888"/>
      <c r="Q171" s="51"/>
      <c r="R171" s="120"/>
      <c r="S171" s="888"/>
      <c r="T171" s="51"/>
      <c r="U171" s="120"/>
      <c r="V171" s="888"/>
      <c r="W171" s="51"/>
      <c r="X171" s="1613">
        <f t="shared" si="14"/>
        <v>0</v>
      </c>
      <c r="Y171" s="1614">
        <f t="shared" si="12"/>
        <v>0</v>
      </c>
      <c r="Z171" s="43"/>
      <c r="AA171" s="1621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32" t="s">
        <v>531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15"/>
        <v>6458</v>
      </c>
      <c r="O172" s="120"/>
      <c r="P172" s="888"/>
      <c r="Q172" s="51"/>
      <c r="R172" s="120"/>
      <c r="S172" s="888"/>
      <c r="T172" s="51"/>
      <c r="U172" s="120"/>
      <c r="V172" s="888"/>
      <c r="W172" s="51"/>
      <c r="X172" s="1613">
        <f t="shared" si="14"/>
        <v>0</v>
      </c>
      <c r="Y172" s="1614">
        <f t="shared" si="12"/>
        <v>0</v>
      </c>
      <c r="Z172" s="43"/>
      <c r="AA172" s="1621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32" t="s">
        <v>532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15"/>
        <v>6460</v>
      </c>
      <c r="O173" s="120"/>
      <c r="P173" s="888"/>
      <c r="Q173" s="51"/>
      <c r="R173" s="120"/>
      <c r="S173" s="888"/>
      <c r="T173" s="51"/>
      <c r="U173" s="120"/>
      <c r="V173" s="888"/>
      <c r="W173" s="51"/>
      <c r="X173" s="1613">
        <f t="shared" si="14"/>
        <v>0</v>
      </c>
      <c r="Y173" s="1614">
        <f t="shared" si="12"/>
        <v>0</v>
      </c>
      <c r="Z173" s="43"/>
      <c r="AA173" s="1621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32" t="s">
        <v>533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15"/>
        <v>6461</v>
      </c>
      <c r="O174" s="120"/>
      <c r="P174" s="888"/>
      <c r="Q174" s="51"/>
      <c r="R174" s="120"/>
      <c r="S174" s="888"/>
      <c r="T174" s="51"/>
      <c r="U174" s="120"/>
      <c r="V174" s="888"/>
      <c r="W174" s="51"/>
      <c r="X174" s="1613">
        <f t="shared" si="14"/>
        <v>0</v>
      </c>
      <c r="Y174" s="1614">
        <f t="shared" si="12"/>
        <v>0</v>
      </c>
      <c r="Z174" s="43"/>
      <c r="AA174" s="1621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32" t="s">
        <v>535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 t="shared" si="15"/>
        <v>6462</v>
      </c>
      <c r="O175" s="120"/>
      <c r="P175" s="888"/>
      <c r="Q175" s="51"/>
      <c r="R175" s="120"/>
      <c r="S175" s="888"/>
      <c r="T175" s="51"/>
      <c r="U175" s="120"/>
      <c r="V175" s="888"/>
      <c r="W175" s="51"/>
      <c r="X175" s="1613">
        <f t="shared" si="14"/>
        <v>0</v>
      </c>
      <c r="Y175" s="1614">
        <f t="shared" si="12"/>
        <v>0</v>
      </c>
      <c r="Z175" s="43"/>
      <c r="AA175" s="1621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32" t="s">
        <v>536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15"/>
        <v>6463</v>
      </c>
      <c r="O176" s="120"/>
      <c r="P176" s="888"/>
      <c r="Q176" s="51"/>
      <c r="R176" s="120"/>
      <c r="S176" s="888"/>
      <c r="T176" s="51"/>
      <c r="U176" s="120"/>
      <c r="V176" s="888"/>
      <c r="W176" s="51"/>
      <c r="X176" s="1613">
        <f t="shared" si="14"/>
        <v>0</v>
      </c>
      <c r="Y176" s="1614">
        <f t="shared" si="12"/>
        <v>0</v>
      </c>
      <c r="Z176" s="43"/>
      <c r="AA176" s="1621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32" t="s">
        <v>537</v>
      </c>
      <c r="C177" s="1033"/>
      <c r="D177" s="1033"/>
      <c r="E177" s="1033"/>
      <c r="F177" s="1033"/>
      <c r="G177" s="1033"/>
      <c r="H177" s="1033"/>
      <c r="I177" s="1033"/>
      <c r="J177" s="1033"/>
      <c r="K177" s="1033"/>
      <c r="L177" s="90"/>
      <c r="M177" s="51" t="s">
        <v>265</v>
      </c>
      <c r="N177" s="113">
        <f t="shared" si="15"/>
        <v>6464</v>
      </c>
      <c r="O177" s="120"/>
      <c r="P177" s="888"/>
      <c r="Q177" s="51"/>
      <c r="R177" s="120"/>
      <c r="S177" s="888"/>
      <c r="T177" s="51"/>
      <c r="U177" s="120"/>
      <c r="V177" s="888"/>
      <c r="W177" s="51"/>
      <c r="X177" s="1613">
        <f t="shared" si="14"/>
        <v>0</v>
      </c>
      <c r="Y177" s="1614">
        <f t="shared" ref="Y177:Y202" si="16">+ROUND(+P177+S177+V177,2)</f>
        <v>0</v>
      </c>
      <c r="Z177" s="43"/>
      <c r="AA177" s="1621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32" t="s">
        <v>538</v>
      </c>
      <c r="C178" s="1033"/>
      <c r="D178" s="1033"/>
      <c r="E178" s="1033"/>
      <c r="F178" s="1033"/>
      <c r="G178" s="1033"/>
      <c r="H178" s="1033"/>
      <c r="I178" s="1033"/>
      <c r="J178" s="1033"/>
      <c r="K178" s="1033"/>
      <c r="L178" s="90"/>
      <c r="M178" s="51" t="s">
        <v>265</v>
      </c>
      <c r="N178" s="113">
        <f t="shared" si="15"/>
        <v>6465</v>
      </c>
      <c r="O178" s="120"/>
      <c r="P178" s="888"/>
      <c r="Q178" s="51"/>
      <c r="R178" s="120"/>
      <c r="S178" s="888"/>
      <c r="T178" s="51"/>
      <c r="U178" s="120"/>
      <c r="V178" s="888"/>
      <c r="W178" s="51"/>
      <c r="X178" s="1613">
        <f t="shared" ref="X178:X198" si="17">+ROUND(+O178+R178+U178,2)</f>
        <v>0</v>
      </c>
      <c r="Y178" s="1614">
        <f t="shared" si="16"/>
        <v>0</v>
      </c>
      <c r="Z178" s="43"/>
      <c r="AA178" s="1621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32" t="s">
        <v>539</v>
      </c>
      <c r="C179" s="1033"/>
      <c r="D179" s="1033"/>
      <c r="E179" s="1033"/>
      <c r="F179" s="1033"/>
      <c r="G179" s="1033"/>
      <c r="H179" s="1033"/>
      <c r="I179" s="1033"/>
      <c r="J179" s="1033"/>
      <c r="K179" s="1033"/>
      <c r="L179" s="90"/>
      <c r="M179" s="51" t="s">
        <v>265</v>
      </c>
      <c r="N179" s="113">
        <f t="shared" si="15"/>
        <v>6466</v>
      </c>
      <c r="O179" s="120"/>
      <c r="P179" s="888"/>
      <c r="Q179" s="51"/>
      <c r="R179" s="120"/>
      <c r="S179" s="888"/>
      <c r="T179" s="51"/>
      <c r="U179" s="120"/>
      <c r="V179" s="888"/>
      <c r="W179" s="51"/>
      <c r="X179" s="1613">
        <f t="shared" si="17"/>
        <v>0</v>
      </c>
      <c r="Y179" s="1614">
        <f t="shared" si="16"/>
        <v>0</v>
      </c>
      <c r="Z179" s="43"/>
      <c r="AA179" s="1621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32" t="s">
        <v>540</v>
      </c>
      <c r="C180" s="1033"/>
      <c r="D180" s="1033"/>
      <c r="E180" s="1033"/>
      <c r="F180" s="1033"/>
      <c r="G180" s="1033"/>
      <c r="H180" s="1033"/>
      <c r="I180" s="1033"/>
      <c r="J180" s="1033"/>
      <c r="K180" s="1033"/>
      <c r="L180" s="90"/>
      <c r="M180" s="51" t="s">
        <v>265</v>
      </c>
      <c r="N180" s="113">
        <f t="shared" si="15"/>
        <v>6467</v>
      </c>
      <c r="O180" s="120"/>
      <c r="P180" s="888"/>
      <c r="Q180" s="51"/>
      <c r="R180" s="120"/>
      <c r="S180" s="888"/>
      <c r="T180" s="51"/>
      <c r="U180" s="120"/>
      <c r="V180" s="888"/>
      <c r="W180" s="51"/>
      <c r="X180" s="1613">
        <f t="shared" si="17"/>
        <v>0</v>
      </c>
      <c r="Y180" s="1614">
        <f t="shared" si="16"/>
        <v>0</v>
      </c>
      <c r="Z180" s="43"/>
      <c r="AA180" s="1621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32" t="s">
        <v>541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15"/>
        <v>6468</v>
      </c>
      <c r="O181" s="120"/>
      <c r="P181" s="888"/>
      <c r="Q181" s="51"/>
      <c r="R181" s="120"/>
      <c r="S181" s="888"/>
      <c r="T181" s="51"/>
      <c r="U181" s="120"/>
      <c r="V181" s="888"/>
      <c r="W181" s="51"/>
      <c r="X181" s="1613">
        <f t="shared" si="17"/>
        <v>0</v>
      </c>
      <c r="Y181" s="1614">
        <f t="shared" si="16"/>
        <v>0</v>
      </c>
      <c r="Z181" s="43"/>
      <c r="AA181" s="1621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32" t="s">
        <v>542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15"/>
        <v>6469</v>
      </c>
      <c r="O182" s="120"/>
      <c r="P182" s="888"/>
      <c r="Q182" s="51"/>
      <c r="R182" s="120"/>
      <c r="S182" s="888"/>
      <c r="T182" s="51"/>
      <c r="U182" s="120"/>
      <c r="V182" s="888"/>
      <c r="W182" s="51"/>
      <c r="X182" s="1613">
        <f t="shared" si="17"/>
        <v>0</v>
      </c>
      <c r="Y182" s="1614">
        <f t="shared" si="16"/>
        <v>0</v>
      </c>
      <c r="Z182" s="43"/>
      <c r="AA182" s="1621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33" t="s">
        <v>543</v>
      </c>
      <c r="C183" s="1033"/>
      <c r="D183" s="1033"/>
      <c r="E183" s="1033"/>
      <c r="F183" s="1033"/>
      <c r="G183" s="1033"/>
      <c r="H183" s="1033"/>
      <c r="I183" s="1033"/>
      <c r="J183" s="1033"/>
      <c r="K183" s="1033"/>
      <c r="L183" s="90"/>
      <c r="M183" s="51" t="s">
        <v>265</v>
      </c>
      <c r="N183" s="113">
        <f t="shared" si="15"/>
        <v>6471</v>
      </c>
      <c r="O183" s="120"/>
      <c r="P183" s="888"/>
      <c r="Q183" s="51"/>
      <c r="R183" s="120"/>
      <c r="S183" s="888"/>
      <c r="T183" s="51"/>
      <c r="U183" s="120"/>
      <c r="V183" s="888"/>
      <c r="W183" s="51"/>
      <c r="X183" s="1613">
        <f t="shared" si="17"/>
        <v>0</v>
      </c>
      <c r="Y183" s="1614">
        <f t="shared" si="16"/>
        <v>0</v>
      </c>
      <c r="Z183" s="43"/>
      <c r="AA183" s="1621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33" t="s">
        <v>544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90"/>
      <c r="M184" s="51" t="s">
        <v>265</v>
      </c>
      <c r="N184" s="113">
        <f t="shared" si="15"/>
        <v>6473</v>
      </c>
      <c r="O184" s="120"/>
      <c r="P184" s="888"/>
      <c r="Q184" s="51"/>
      <c r="R184" s="120"/>
      <c r="S184" s="888"/>
      <c r="T184" s="51"/>
      <c r="U184" s="120"/>
      <c r="V184" s="888"/>
      <c r="W184" s="51"/>
      <c r="X184" s="1613">
        <f t="shared" si="17"/>
        <v>0</v>
      </c>
      <c r="Y184" s="1614">
        <f t="shared" si="16"/>
        <v>0</v>
      </c>
      <c r="Z184" s="43"/>
      <c r="AA184" s="1621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33" t="s">
        <v>545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15"/>
        <v>6475</v>
      </c>
      <c r="O185" s="120"/>
      <c r="P185" s="888"/>
      <c r="Q185" s="51"/>
      <c r="R185" s="120"/>
      <c r="S185" s="888"/>
      <c r="T185" s="51"/>
      <c r="U185" s="120"/>
      <c r="V185" s="888"/>
      <c r="W185" s="51"/>
      <c r="X185" s="1613">
        <f t="shared" si="17"/>
        <v>0</v>
      </c>
      <c r="Y185" s="1614">
        <f t="shared" si="16"/>
        <v>0</v>
      </c>
      <c r="Z185" s="43"/>
      <c r="AA185" s="1621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33" t="s">
        <v>546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90"/>
      <c r="M186" s="51" t="s">
        <v>265</v>
      </c>
      <c r="N186" s="113">
        <f t="shared" si="15"/>
        <v>6477</v>
      </c>
      <c r="O186" s="120"/>
      <c r="P186" s="888"/>
      <c r="Q186" s="51"/>
      <c r="R186" s="120"/>
      <c r="S186" s="888"/>
      <c r="T186" s="51"/>
      <c r="U186" s="120"/>
      <c r="V186" s="888"/>
      <c r="W186" s="51"/>
      <c r="X186" s="1613">
        <f t="shared" si="17"/>
        <v>0</v>
      </c>
      <c r="Y186" s="1614">
        <f t="shared" si="16"/>
        <v>0</v>
      </c>
      <c r="Z186" s="43"/>
      <c r="AA186" s="1621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33" t="s">
        <v>547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90"/>
      <c r="M187" s="51" t="s">
        <v>265</v>
      </c>
      <c r="N187" s="113">
        <f>+A187</f>
        <v>6479</v>
      </c>
      <c r="O187" s="120"/>
      <c r="P187" s="888"/>
      <c r="Q187" s="51"/>
      <c r="R187" s="120"/>
      <c r="S187" s="888"/>
      <c r="T187" s="51"/>
      <c r="U187" s="120"/>
      <c r="V187" s="888"/>
      <c r="W187" s="51"/>
      <c r="X187" s="1613">
        <f t="shared" si="17"/>
        <v>0</v>
      </c>
      <c r="Y187" s="1614">
        <f t="shared" si="16"/>
        <v>0</v>
      </c>
      <c r="Z187" s="43"/>
      <c r="AA187" s="1621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33" t="s">
        <v>567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90"/>
      <c r="M188" s="51" t="s">
        <v>265</v>
      </c>
      <c r="N188" s="113">
        <f>+A188</f>
        <v>6480</v>
      </c>
      <c r="O188" s="120"/>
      <c r="P188" s="888"/>
      <c r="Q188" s="51"/>
      <c r="R188" s="120"/>
      <c r="S188" s="888"/>
      <c r="T188" s="51"/>
      <c r="U188" s="120"/>
      <c r="V188" s="888"/>
      <c r="W188" s="51"/>
      <c r="X188" s="1613">
        <f t="shared" si="17"/>
        <v>0</v>
      </c>
      <c r="Y188" s="1614">
        <f t="shared" si="16"/>
        <v>0</v>
      </c>
      <c r="Z188" s="43"/>
      <c r="AA188" s="1621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33" t="s">
        <v>568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90"/>
      <c r="M189" s="51" t="s">
        <v>265</v>
      </c>
      <c r="N189" s="113">
        <f t="shared" si="15"/>
        <v>6481</v>
      </c>
      <c r="O189" s="120"/>
      <c r="P189" s="888"/>
      <c r="Q189" s="51"/>
      <c r="R189" s="120"/>
      <c r="S189" s="888"/>
      <c r="T189" s="51"/>
      <c r="U189" s="120"/>
      <c r="V189" s="888"/>
      <c r="W189" s="51"/>
      <c r="X189" s="1613">
        <f t="shared" si="17"/>
        <v>0</v>
      </c>
      <c r="Y189" s="1614">
        <f t="shared" si="16"/>
        <v>0</v>
      </c>
      <c r="Z189" s="43"/>
      <c r="AA189" s="1621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33" t="s">
        <v>569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15"/>
        <v>6483</v>
      </c>
      <c r="O190" s="120"/>
      <c r="P190" s="888"/>
      <c r="Q190" s="51"/>
      <c r="R190" s="120"/>
      <c r="S190" s="888"/>
      <c r="T190" s="51"/>
      <c r="U190" s="120"/>
      <c r="V190" s="888"/>
      <c r="W190" s="51"/>
      <c r="X190" s="1613">
        <f t="shared" si="17"/>
        <v>0</v>
      </c>
      <c r="Y190" s="1614">
        <f t="shared" si="16"/>
        <v>0</v>
      </c>
      <c r="Z190" s="43"/>
      <c r="AA190" s="1621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33" t="s">
        <v>570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15"/>
        <v>6485</v>
      </c>
      <c r="O191" s="120"/>
      <c r="P191" s="888"/>
      <c r="Q191" s="51"/>
      <c r="R191" s="120"/>
      <c r="S191" s="888"/>
      <c r="T191" s="51"/>
      <c r="U191" s="120"/>
      <c r="V191" s="888"/>
      <c r="W191" s="51"/>
      <c r="X191" s="1613">
        <f t="shared" si="17"/>
        <v>0</v>
      </c>
      <c r="Y191" s="1614">
        <f t="shared" si="16"/>
        <v>0</v>
      </c>
      <c r="Z191" s="43"/>
      <c r="AA191" s="1621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33" t="s">
        <v>571</v>
      </c>
      <c r="C192" s="1033"/>
      <c r="D192" s="1033"/>
      <c r="E192" s="1033"/>
      <c r="F192" s="1033"/>
      <c r="G192" s="1033"/>
      <c r="H192" s="1033"/>
      <c r="I192" s="1033"/>
      <c r="J192" s="1033"/>
      <c r="K192" s="1033"/>
      <c r="L192" s="90"/>
      <c r="M192" s="51" t="s">
        <v>265</v>
      </c>
      <c r="N192" s="113">
        <f t="shared" si="15"/>
        <v>6487</v>
      </c>
      <c r="O192" s="120"/>
      <c r="P192" s="888"/>
      <c r="Q192" s="51"/>
      <c r="R192" s="120"/>
      <c r="S192" s="888"/>
      <c r="T192" s="51"/>
      <c r="U192" s="120"/>
      <c r="V192" s="888"/>
      <c r="W192" s="51"/>
      <c r="X192" s="1613">
        <f t="shared" si="17"/>
        <v>0</v>
      </c>
      <c r="Y192" s="1614">
        <f t="shared" si="16"/>
        <v>0</v>
      </c>
      <c r="Z192" s="43"/>
      <c r="AA192" s="1621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33" t="s">
        <v>572</v>
      </c>
      <c r="C193" s="1033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>+A193</f>
        <v>6489</v>
      </c>
      <c r="O193" s="120"/>
      <c r="P193" s="888"/>
      <c r="Q193" s="51"/>
      <c r="R193" s="120"/>
      <c r="S193" s="888"/>
      <c r="T193" s="51"/>
      <c r="U193" s="120"/>
      <c r="V193" s="888"/>
      <c r="W193" s="51"/>
      <c r="X193" s="1613">
        <f t="shared" si="17"/>
        <v>0</v>
      </c>
      <c r="Y193" s="1614">
        <f t="shared" si="16"/>
        <v>0</v>
      </c>
      <c r="Z193" s="43"/>
      <c r="AA193" s="1621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33" t="s">
        <v>573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15"/>
        <v>6491</v>
      </c>
      <c r="O194" s="120"/>
      <c r="P194" s="888"/>
      <c r="Q194" s="51"/>
      <c r="R194" s="120"/>
      <c r="S194" s="888"/>
      <c r="T194" s="51"/>
      <c r="U194" s="120"/>
      <c r="V194" s="888"/>
      <c r="W194" s="51"/>
      <c r="X194" s="1613">
        <f t="shared" si="17"/>
        <v>0</v>
      </c>
      <c r="Y194" s="1614">
        <f t="shared" si="16"/>
        <v>0</v>
      </c>
      <c r="Z194" s="43"/>
      <c r="AA194" s="1621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33" t="s">
        <v>574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90"/>
      <c r="M195" s="51" t="s">
        <v>265</v>
      </c>
      <c r="N195" s="113">
        <f t="shared" si="15"/>
        <v>6493</v>
      </c>
      <c r="O195" s="120"/>
      <c r="P195" s="888"/>
      <c r="Q195" s="51"/>
      <c r="R195" s="120"/>
      <c r="S195" s="888"/>
      <c r="T195" s="51"/>
      <c r="U195" s="120"/>
      <c r="V195" s="888"/>
      <c r="W195" s="51"/>
      <c r="X195" s="1613">
        <f t="shared" si="17"/>
        <v>0</v>
      </c>
      <c r="Y195" s="1614">
        <f t="shared" si="16"/>
        <v>0</v>
      </c>
      <c r="Z195" s="43"/>
      <c r="AA195" s="1621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33" t="s">
        <v>575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90"/>
      <c r="M196" s="51" t="s">
        <v>265</v>
      </c>
      <c r="N196" s="113">
        <f t="shared" si="15"/>
        <v>6495</v>
      </c>
      <c r="O196" s="120"/>
      <c r="P196" s="888"/>
      <c r="Q196" s="51"/>
      <c r="R196" s="120"/>
      <c r="S196" s="888"/>
      <c r="T196" s="51"/>
      <c r="U196" s="120"/>
      <c r="V196" s="888"/>
      <c r="W196" s="51"/>
      <c r="X196" s="1613">
        <f t="shared" si="17"/>
        <v>0</v>
      </c>
      <c r="Y196" s="1614">
        <f t="shared" si="16"/>
        <v>0</v>
      </c>
      <c r="Z196" s="43"/>
      <c r="AA196" s="1621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33" t="s">
        <v>576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90"/>
      <c r="M197" s="51" t="s">
        <v>265</v>
      </c>
      <c r="N197" s="113">
        <f t="shared" si="15"/>
        <v>6497</v>
      </c>
      <c r="O197" s="120"/>
      <c r="P197" s="888"/>
      <c r="Q197" s="51"/>
      <c r="R197" s="120"/>
      <c r="S197" s="888"/>
      <c r="T197" s="51"/>
      <c r="U197" s="120"/>
      <c r="V197" s="888"/>
      <c r="W197" s="51"/>
      <c r="X197" s="1613">
        <f t="shared" si="17"/>
        <v>0</v>
      </c>
      <c r="Y197" s="1614">
        <f t="shared" si="16"/>
        <v>0</v>
      </c>
      <c r="Z197" s="43"/>
      <c r="AA197" s="1621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33" t="s">
        <v>577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90"/>
      <c r="M198" s="51" t="s">
        <v>265</v>
      </c>
      <c r="N198" s="113">
        <f>+A198</f>
        <v>6499</v>
      </c>
      <c r="O198" s="120"/>
      <c r="P198" s="888"/>
      <c r="Q198" s="51"/>
      <c r="R198" s="120"/>
      <c r="S198" s="888"/>
      <c r="T198" s="51"/>
      <c r="U198" s="120"/>
      <c r="V198" s="888"/>
      <c r="W198" s="51"/>
      <c r="X198" s="1613">
        <f t="shared" si="17"/>
        <v>0</v>
      </c>
      <c r="Y198" s="1614">
        <f t="shared" si="16"/>
        <v>0</v>
      </c>
      <c r="Z198" s="43"/>
      <c r="AA198" s="1621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32" t="s">
        <v>655</v>
      </c>
      <c r="C199" s="1033"/>
      <c r="D199" s="1033"/>
      <c r="E199" s="1033"/>
      <c r="F199" s="1033"/>
      <c r="G199" s="1033"/>
      <c r="H199" s="1033"/>
      <c r="I199" s="1033"/>
      <c r="J199" s="1033"/>
      <c r="K199" s="1033"/>
      <c r="L199" s="90"/>
      <c r="M199" s="51" t="s">
        <v>265</v>
      </c>
      <c r="N199" s="113">
        <f t="shared" si="15"/>
        <v>6501</v>
      </c>
      <c r="O199" s="954">
        <v>0</v>
      </c>
      <c r="P199" s="888"/>
      <c r="Q199" s="51"/>
      <c r="R199" s="604">
        <v>0</v>
      </c>
      <c r="S199" s="891"/>
      <c r="T199" s="51"/>
      <c r="U199" s="960">
        <v>0</v>
      </c>
      <c r="V199" s="888"/>
      <c r="W199" s="51"/>
      <c r="X199" s="1612">
        <v>0</v>
      </c>
      <c r="Y199" s="1614">
        <f t="shared" si="16"/>
        <v>0</v>
      </c>
      <c r="Z199" s="43"/>
      <c r="AA199" s="1621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32" t="s">
        <v>656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5"/>
        <v>6502</v>
      </c>
      <c r="O200" s="954">
        <v>0</v>
      </c>
      <c r="P200" s="888"/>
      <c r="Q200" s="51"/>
      <c r="R200" s="604">
        <v>0</v>
      </c>
      <c r="S200" s="891"/>
      <c r="T200" s="51"/>
      <c r="U200" s="960">
        <v>0</v>
      </c>
      <c r="V200" s="888"/>
      <c r="W200" s="51"/>
      <c r="X200" s="1612">
        <v>0</v>
      </c>
      <c r="Y200" s="1614">
        <f t="shared" si="16"/>
        <v>0</v>
      </c>
      <c r="Z200" s="43"/>
      <c r="AA200" s="1621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32" t="s">
        <v>657</v>
      </c>
      <c r="C201" s="1033"/>
      <c r="D201" s="1033"/>
      <c r="E201" s="1033"/>
      <c r="F201" s="1033"/>
      <c r="G201" s="1033"/>
      <c r="H201" s="1033"/>
      <c r="I201" s="1033"/>
      <c r="J201" s="1033"/>
      <c r="K201" s="1033"/>
      <c r="L201" s="90"/>
      <c r="M201" s="51" t="s">
        <v>265</v>
      </c>
      <c r="N201" s="113">
        <f t="shared" si="15"/>
        <v>6503</v>
      </c>
      <c r="O201" s="954">
        <v>0</v>
      </c>
      <c r="P201" s="888"/>
      <c r="Q201" s="51"/>
      <c r="R201" s="604">
        <v>0</v>
      </c>
      <c r="S201" s="891"/>
      <c r="T201" s="51"/>
      <c r="U201" s="960">
        <v>0</v>
      </c>
      <c r="V201" s="888"/>
      <c r="W201" s="51"/>
      <c r="X201" s="1612">
        <v>0</v>
      </c>
      <c r="Y201" s="1614">
        <f t="shared" si="16"/>
        <v>0</v>
      </c>
      <c r="Z201" s="43"/>
      <c r="AA201" s="1621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32" t="s">
        <v>658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5"/>
        <v>6504</v>
      </c>
      <c r="O202" s="954">
        <v>0</v>
      </c>
      <c r="P202" s="888"/>
      <c r="Q202" s="51"/>
      <c r="R202" s="604">
        <v>0</v>
      </c>
      <c r="S202" s="891"/>
      <c r="T202" s="51"/>
      <c r="U202" s="960">
        <v>0</v>
      </c>
      <c r="V202" s="888"/>
      <c r="W202" s="51"/>
      <c r="X202" s="1612">
        <v>0</v>
      </c>
      <c r="Y202" s="1614">
        <f t="shared" si="16"/>
        <v>0</v>
      </c>
      <c r="Z202" s="43"/>
      <c r="AA202" s="1621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32" t="s">
        <v>659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5"/>
        <v>6506</v>
      </c>
      <c r="O203" s="954">
        <v>0</v>
      </c>
      <c r="P203" s="890">
        <v>0</v>
      </c>
      <c r="Q203" s="51"/>
      <c r="R203" s="604">
        <v>0</v>
      </c>
      <c r="S203" s="605">
        <v>0</v>
      </c>
      <c r="T203" s="51"/>
      <c r="U203" s="960">
        <v>0</v>
      </c>
      <c r="V203" s="892">
        <v>0</v>
      </c>
      <c r="W203" s="51"/>
      <c r="X203" s="1612">
        <v>0</v>
      </c>
      <c r="Y203" s="1611">
        <v>0</v>
      </c>
      <c r="Z203" s="43"/>
      <c r="AA203" s="1621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32" t="s">
        <v>660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5"/>
        <v>6507</v>
      </c>
      <c r="O204" s="954">
        <v>0</v>
      </c>
      <c r="P204" s="888"/>
      <c r="Q204" s="51"/>
      <c r="R204" s="604">
        <v>0</v>
      </c>
      <c r="S204" s="891"/>
      <c r="T204" s="51"/>
      <c r="U204" s="960">
        <v>0</v>
      </c>
      <c r="V204" s="888"/>
      <c r="W204" s="51"/>
      <c r="X204" s="1612">
        <v>0</v>
      </c>
      <c r="Y204" s="1614">
        <f>+ROUND(+P204+S204+V204,2)</f>
        <v>0</v>
      </c>
      <c r="Z204" s="43"/>
      <c r="AA204" s="1621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32" t="s">
        <v>661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5"/>
        <v>6508</v>
      </c>
      <c r="O205" s="954">
        <v>0</v>
      </c>
      <c r="P205" s="888"/>
      <c r="Q205" s="51"/>
      <c r="R205" s="604">
        <v>0</v>
      </c>
      <c r="S205" s="891"/>
      <c r="T205" s="51"/>
      <c r="U205" s="960">
        <v>0</v>
      </c>
      <c r="V205" s="888"/>
      <c r="W205" s="51"/>
      <c r="X205" s="1612">
        <v>0</v>
      </c>
      <c r="Y205" s="1614">
        <f>+ROUND(+P205+S205+V205,2)</f>
        <v>0</v>
      </c>
      <c r="Z205" s="43"/>
      <c r="AA205" s="1621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33" t="s">
        <v>662</v>
      </c>
      <c r="C206" s="1033"/>
      <c r="D206" s="1033"/>
      <c r="E206" s="1033"/>
      <c r="F206" s="1033"/>
      <c r="G206" s="1033"/>
      <c r="H206" s="1033"/>
      <c r="I206" s="1033"/>
      <c r="J206" s="1033"/>
      <c r="K206" s="1033"/>
      <c r="L206" s="90"/>
      <c r="M206" s="51" t="s">
        <v>265</v>
      </c>
      <c r="N206" s="113">
        <f t="shared" si="15"/>
        <v>6711</v>
      </c>
      <c r="O206" s="120"/>
      <c r="P206" s="890">
        <v>0</v>
      </c>
      <c r="Q206" s="51"/>
      <c r="R206" s="581"/>
      <c r="S206" s="605">
        <v>0</v>
      </c>
      <c r="T206" s="51"/>
      <c r="U206" s="120"/>
      <c r="V206" s="892">
        <v>0</v>
      </c>
      <c r="W206" s="51"/>
      <c r="X206" s="1613">
        <f>+ROUND(+O206+R206+U206,2)</f>
        <v>0</v>
      </c>
      <c r="Y206" s="1611">
        <v>0</v>
      </c>
      <c r="Z206" s="43"/>
      <c r="AA206" s="1621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33" t="s">
        <v>663</v>
      </c>
      <c r="C207" s="1033"/>
      <c r="D207" s="1033"/>
      <c r="E207" s="1033"/>
      <c r="F207" s="1033"/>
      <c r="G207" s="1033"/>
      <c r="H207" s="1033"/>
      <c r="I207" s="1033"/>
      <c r="J207" s="1033"/>
      <c r="K207" s="1033"/>
      <c r="L207" s="90"/>
      <c r="M207" s="51" t="s">
        <v>265</v>
      </c>
      <c r="N207" s="113">
        <f t="shared" si="15"/>
        <v>6713</v>
      </c>
      <c r="O207" s="120"/>
      <c r="P207" s="890">
        <v>0</v>
      </c>
      <c r="Q207" s="51"/>
      <c r="R207" s="581"/>
      <c r="S207" s="605">
        <v>0</v>
      </c>
      <c r="T207" s="51"/>
      <c r="U207" s="120"/>
      <c r="V207" s="892">
        <v>0</v>
      </c>
      <c r="W207" s="51"/>
      <c r="X207" s="1613">
        <f>+ROUND(+O207+R207+U207,2)</f>
        <v>0</v>
      </c>
      <c r="Y207" s="1611">
        <v>0</v>
      </c>
      <c r="Z207" s="43"/>
      <c r="AA207" s="1621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33" t="s">
        <v>9</v>
      </c>
      <c r="C208" s="1033"/>
      <c r="D208" s="1033"/>
      <c r="E208" s="1033"/>
      <c r="F208" s="1033"/>
      <c r="G208" s="1033"/>
      <c r="H208" s="1033"/>
      <c r="I208" s="1033"/>
      <c r="J208" s="1033"/>
      <c r="K208" s="1033"/>
      <c r="L208" s="90"/>
      <c r="M208" s="51" t="s">
        <v>265</v>
      </c>
      <c r="N208" s="113">
        <f t="shared" si="15"/>
        <v>6717</v>
      </c>
      <c r="O208" s="120"/>
      <c r="P208" s="890">
        <v>0</v>
      </c>
      <c r="Q208" s="51"/>
      <c r="R208" s="581"/>
      <c r="S208" s="605">
        <v>0</v>
      </c>
      <c r="T208" s="51"/>
      <c r="U208" s="120"/>
      <c r="V208" s="892">
        <v>0</v>
      </c>
      <c r="W208" s="51"/>
      <c r="X208" s="1613">
        <f>+ROUND(+O208+R208+U208,2)</f>
        <v>0</v>
      </c>
      <c r="Y208" s="1611">
        <v>0</v>
      </c>
      <c r="Z208" s="43"/>
      <c r="AA208" s="1621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33" t="s">
        <v>10</v>
      </c>
      <c r="C209" s="1033"/>
      <c r="D209" s="1033"/>
      <c r="E209" s="1033"/>
      <c r="F209" s="1033"/>
      <c r="G209" s="1033"/>
      <c r="H209" s="1033"/>
      <c r="I209" s="1033"/>
      <c r="J209" s="1033"/>
      <c r="K209" s="1033"/>
      <c r="L209" s="90"/>
      <c r="M209" s="51" t="s">
        <v>265</v>
      </c>
      <c r="N209" s="113">
        <f t="shared" si="15"/>
        <v>6721</v>
      </c>
      <c r="O209" s="954">
        <v>0</v>
      </c>
      <c r="P209" s="888"/>
      <c r="Q209" s="51"/>
      <c r="R209" s="604">
        <v>0</v>
      </c>
      <c r="S209" s="891"/>
      <c r="T209" s="51"/>
      <c r="U209" s="960">
        <v>0</v>
      </c>
      <c r="V209" s="888"/>
      <c r="W209" s="51"/>
      <c r="X209" s="1612">
        <v>0</v>
      </c>
      <c r="Y209" s="1614">
        <f>+ROUND(+P209+S209+V209,2)</f>
        <v>0</v>
      </c>
      <c r="Z209" s="43"/>
      <c r="AA209" s="1621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33" t="s">
        <v>11</v>
      </c>
      <c r="C210" s="1033"/>
      <c r="D210" s="1033"/>
      <c r="E210" s="1033"/>
      <c r="F210" s="1033"/>
      <c r="G210" s="1033"/>
      <c r="H210" s="1033"/>
      <c r="I210" s="1033"/>
      <c r="J210" s="1033"/>
      <c r="K210" s="1033"/>
      <c r="L210" s="90"/>
      <c r="M210" s="51" t="s">
        <v>265</v>
      </c>
      <c r="N210" s="113">
        <f t="shared" si="15"/>
        <v>6723</v>
      </c>
      <c r="O210" s="954">
        <v>0</v>
      </c>
      <c r="P210" s="888"/>
      <c r="Q210" s="51"/>
      <c r="R210" s="604">
        <v>0</v>
      </c>
      <c r="S210" s="891"/>
      <c r="T210" s="51"/>
      <c r="U210" s="960">
        <v>0</v>
      </c>
      <c r="V210" s="888"/>
      <c r="W210" s="51"/>
      <c r="X210" s="1612">
        <v>0</v>
      </c>
      <c r="Y210" s="1614">
        <f>+ROUND(+P210+S210+V210,2)</f>
        <v>0</v>
      </c>
      <c r="Z210" s="43"/>
      <c r="AA210" s="1621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33" t="s">
        <v>12</v>
      </c>
      <c r="C211" s="1033"/>
      <c r="D211" s="1033"/>
      <c r="E211" s="1033"/>
      <c r="F211" s="1033"/>
      <c r="G211" s="1033"/>
      <c r="H211" s="1033"/>
      <c r="I211" s="1033"/>
      <c r="J211" s="1033"/>
      <c r="K211" s="1033"/>
      <c r="L211" s="90"/>
      <c r="M211" s="51" t="s">
        <v>265</v>
      </c>
      <c r="N211" s="113">
        <f t="shared" si="15"/>
        <v>6727</v>
      </c>
      <c r="O211" s="954">
        <v>0</v>
      </c>
      <c r="P211" s="888">
        <v>208967.15</v>
      </c>
      <c r="Q211" s="51"/>
      <c r="R211" s="604">
        <v>0</v>
      </c>
      <c r="S211" s="891"/>
      <c r="T211" s="51"/>
      <c r="U211" s="960">
        <v>0</v>
      </c>
      <c r="V211" s="888"/>
      <c r="W211" s="51"/>
      <c r="X211" s="1612">
        <v>0</v>
      </c>
      <c r="Y211" s="1614">
        <f>+ROUND(+P211+S211+V211,2)</f>
        <v>208967.15</v>
      </c>
      <c r="Z211" s="43"/>
      <c r="AA211" s="1621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78" t="s">
        <v>13</v>
      </c>
      <c r="C212" s="1033"/>
      <c r="D212" s="1033"/>
      <c r="E212" s="1033"/>
      <c r="F212" s="1033"/>
      <c r="G212" s="1033"/>
      <c r="H212" s="1033"/>
      <c r="I212" s="1033"/>
      <c r="J212" s="1033"/>
      <c r="K212" s="1033"/>
      <c r="L212" s="90"/>
      <c r="M212" s="51" t="s">
        <v>265</v>
      </c>
      <c r="N212" s="113">
        <f t="shared" si="15"/>
        <v>6791</v>
      </c>
      <c r="O212" s="120"/>
      <c r="P212" s="890">
        <v>0</v>
      </c>
      <c r="Q212" s="51"/>
      <c r="R212" s="581"/>
      <c r="S212" s="605">
        <v>0</v>
      </c>
      <c r="T212" s="51"/>
      <c r="U212" s="120"/>
      <c r="V212" s="892">
        <v>0</v>
      </c>
      <c r="W212" s="51"/>
      <c r="X212" s="1613">
        <f t="shared" ref="X212:X233" si="19">+ROUND(+O212+R212+U212,2)</f>
        <v>0</v>
      </c>
      <c r="Y212" s="1611">
        <v>0</v>
      </c>
      <c r="Z212" s="43"/>
      <c r="AA212" s="1621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78" t="s">
        <v>14</v>
      </c>
      <c r="C213" s="1033"/>
      <c r="D213" s="1033"/>
      <c r="E213" s="1033"/>
      <c r="F213" s="1033"/>
      <c r="G213" s="1033"/>
      <c r="H213" s="1033"/>
      <c r="I213" s="1033"/>
      <c r="J213" s="1033"/>
      <c r="K213" s="1033"/>
      <c r="L213" s="90"/>
      <c r="M213" s="51" t="s">
        <v>265</v>
      </c>
      <c r="N213" s="113">
        <f t="shared" si="15"/>
        <v>6799</v>
      </c>
      <c r="O213" s="954">
        <v>0</v>
      </c>
      <c r="P213" s="888"/>
      <c r="Q213" s="51"/>
      <c r="R213" s="604">
        <v>0</v>
      </c>
      <c r="S213" s="891"/>
      <c r="T213" s="51"/>
      <c r="U213" s="120"/>
      <c r="V213" s="888"/>
      <c r="W213" s="51"/>
      <c r="X213" s="1613">
        <f t="shared" si="19"/>
        <v>0</v>
      </c>
      <c r="Y213" s="1614">
        <f t="shared" ref="Y213:Y233" si="20">+ROUND(+P213+S213+V213,2)</f>
        <v>0</v>
      </c>
      <c r="Z213" s="43"/>
      <c r="AA213" s="1621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78" t="s">
        <v>15</v>
      </c>
      <c r="C214" s="1033"/>
      <c r="D214" s="1033"/>
      <c r="E214" s="1033"/>
      <c r="F214" s="1033"/>
      <c r="G214" s="1033"/>
      <c r="H214" s="1033"/>
      <c r="I214" s="1033"/>
      <c r="J214" s="1033"/>
      <c r="K214" s="1033"/>
      <c r="L214" s="90"/>
      <c r="M214" s="51" t="s">
        <v>265</v>
      </c>
      <c r="N214" s="113">
        <f t="shared" si="15"/>
        <v>6901</v>
      </c>
      <c r="O214" s="120"/>
      <c r="P214" s="888"/>
      <c r="Q214" s="51"/>
      <c r="R214" s="581"/>
      <c r="S214" s="891"/>
      <c r="T214" s="51"/>
      <c r="U214" s="120"/>
      <c r="V214" s="888"/>
      <c r="W214" s="51"/>
      <c r="X214" s="1613">
        <f t="shared" si="19"/>
        <v>0</v>
      </c>
      <c r="Y214" s="1614">
        <f t="shared" si="20"/>
        <v>0</v>
      </c>
      <c r="Z214" s="43"/>
      <c r="AA214" s="1621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78" t="s">
        <v>16</v>
      </c>
      <c r="C215" s="1033"/>
      <c r="D215" s="1033"/>
      <c r="E215" s="1033"/>
      <c r="F215" s="1033"/>
      <c r="G215" s="1033"/>
      <c r="H215" s="1033"/>
      <c r="I215" s="1033"/>
      <c r="J215" s="1033"/>
      <c r="K215" s="1033"/>
      <c r="L215" s="90"/>
      <c r="M215" s="51" t="s">
        <v>265</v>
      </c>
      <c r="N215" s="113">
        <f t="shared" si="15"/>
        <v>6902</v>
      </c>
      <c r="O215" s="120"/>
      <c r="P215" s="888"/>
      <c r="Q215" s="51"/>
      <c r="R215" s="581"/>
      <c r="S215" s="891"/>
      <c r="T215" s="51"/>
      <c r="U215" s="120"/>
      <c r="V215" s="888"/>
      <c r="W215" s="51"/>
      <c r="X215" s="1613">
        <f t="shared" si="19"/>
        <v>0</v>
      </c>
      <c r="Y215" s="1614">
        <f t="shared" si="20"/>
        <v>0</v>
      </c>
      <c r="Z215" s="43"/>
      <c r="AA215" s="1621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78" t="s">
        <v>17</v>
      </c>
      <c r="C216" s="1033"/>
      <c r="D216" s="1033"/>
      <c r="E216" s="1033"/>
      <c r="F216" s="1033"/>
      <c r="G216" s="1033"/>
      <c r="H216" s="1033"/>
      <c r="I216" s="1033"/>
      <c r="J216" s="1033"/>
      <c r="K216" s="1033"/>
      <c r="L216" s="90"/>
      <c r="M216" s="51" t="s">
        <v>265</v>
      </c>
      <c r="N216" s="113">
        <f t="shared" si="15"/>
        <v>6903</v>
      </c>
      <c r="O216" s="120"/>
      <c r="P216" s="888"/>
      <c r="Q216" s="51"/>
      <c r="R216" s="581"/>
      <c r="S216" s="891"/>
      <c r="T216" s="51"/>
      <c r="U216" s="120"/>
      <c r="V216" s="888"/>
      <c r="W216" s="51"/>
      <c r="X216" s="1613">
        <f t="shared" si="19"/>
        <v>0</v>
      </c>
      <c r="Y216" s="1614">
        <f t="shared" si="20"/>
        <v>0</v>
      </c>
      <c r="Z216" s="43"/>
      <c r="AA216" s="1621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78" t="s">
        <v>18</v>
      </c>
      <c r="C217" s="1033"/>
      <c r="D217" s="1033"/>
      <c r="E217" s="1033"/>
      <c r="F217" s="1033"/>
      <c r="G217" s="1033"/>
      <c r="H217" s="1033"/>
      <c r="I217" s="1033"/>
      <c r="J217" s="1033"/>
      <c r="K217" s="1033"/>
      <c r="L217" s="90"/>
      <c r="M217" s="51" t="s">
        <v>265</v>
      </c>
      <c r="N217" s="113">
        <f t="shared" si="15"/>
        <v>6904</v>
      </c>
      <c r="O217" s="120"/>
      <c r="P217" s="888"/>
      <c r="Q217" s="51"/>
      <c r="R217" s="581"/>
      <c r="S217" s="891"/>
      <c r="T217" s="51"/>
      <c r="U217" s="120"/>
      <c r="V217" s="888"/>
      <c r="W217" s="51"/>
      <c r="X217" s="1613">
        <f t="shared" si="19"/>
        <v>0</v>
      </c>
      <c r="Y217" s="1614">
        <f t="shared" si="20"/>
        <v>0</v>
      </c>
      <c r="Z217" s="43"/>
      <c r="AA217" s="1621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78" t="s">
        <v>19</v>
      </c>
      <c r="C218" s="1033"/>
      <c r="D218" s="1033"/>
      <c r="E218" s="1033"/>
      <c r="F218" s="1033"/>
      <c r="G218" s="1033"/>
      <c r="H218" s="1033"/>
      <c r="I218" s="1033"/>
      <c r="J218" s="1033"/>
      <c r="K218" s="1033"/>
      <c r="L218" s="90"/>
      <c r="M218" s="51" t="s">
        <v>265</v>
      </c>
      <c r="N218" s="113">
        <f t="shared" si="15"/>
        <v>6905</v>
      </c>
      <c r="O218" s="120"/>
      <c r="P218" s="888"/>
      <c r="Q218" s="51"/>
      <c r="R218" s="581"/>
      <c r="S218" s="891"/>
      <c r="T218" s="51"/>
      <c r="U218" s="120"/>
      <c r="V218" s="888"/>
      <c r="W218" s="51"/>
      <c r="X218" s="1613">
        <f t="shared" si="19"/>
        <v>0</v>
      </c>
      <c r="Y218" s="1614">
        <f t="shared" si="20"/>
        <v>0</v>
      </c>
      <c r="Z218" s="43"/>
      <c r="AA218" s="1621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78" t="s">
        <v>20</v>
      </c>
      <c r="C219" s="1033"/>
      <c r="D219" s="1033"/>
      <c r="E219" s="1033"/>
      <c r="F219" s="1033"/>
      <c r="G219" s="1033"/>
      <c r="H219" s="1033"/>
      <c r="I219" s="1033"/>
      <c r="J219" s="1033"/>
      <c r="K219" s="1033"/>
      <c r="L219" s="90"/>
      <c r="M219" s="51" t="s">
        <v>265</v>
      </c>
      <c r="N219" s="113">
        <f t="shared" si="15"/>
        <v>6906</v>
      </c>
      <c r="O219" s="120"/>
      <c r="P219" s="888"/>
      <c r="Q219" s="51"/>
      <c r="R219" s="581"/>
      <c r="S219" s="891"/>
      <c r="T219" s="51"/>
      <c r="U219" s="120"/>
      <c r="V219" s="888"/>
      <c r="W219" s="51"/>
      <c r="X219" s="1613">
        <f t="shared" si="19"/>
        <v>0</v>
      </c>
      <c r="Y219" s="1614">
        <f t="shared" si="20"/>
        <v>0</v>
      </c>
      <c r="Z219" s="43"/>
      <c r="AA219" s="1621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78" t="s">
        <v>21</v>
      </c>
      <c r="C220" s="1033"/>
      <c r="D220" s="1033"/>
      <c r="E220" s="1033"/>
      <c r="F220" s="1033"/>
      <c r="G220" s="1033"/>
      <c r="H220" s="1033"/>
      <c r="I220" s="1033"/>
      <c r="J220" s="1033"/>
      <c r="K220" s="1033"/>
      <c r="L220" s="90"/>
      <c r="M220" s="51" t="s">
        <v>265</v>
      </c>
      <c r="N220" s="113">
        <f t="shared" si="15"/>
        <v>6910</v>
      </c>
      <c r="O220" s="120"/>
      <c r="P220" s="888"/>
      <c r="Q220" s="51"/>
      <c r="R220" s="581"/>
      <c r="S220" s="891"/>
      <c r="T220" s="51"/>
      <c r="U220" s="120"/>
      <c r="V220" s="888"/>
      <c r="W220" s="51"/>
      <c r="X220" s="1613">
        <f t="shared" si="19"/>
        <v>0</v>
      </c>
      <c r="Y220" s="1614">
        <f t="shared" si="20"/>
        <v>0</v>
      </c>
      <c r="Z220" s="43"/>
      <c r="AA220" s="1621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33" t="s">
        <v>22</v>
      </c>
      <c r="C221" s="1033"/>
      <c r="D221" s="1033"/>
      <c r="E221" s="1033"/>
      <c r="F221" s="1033"/>
      <c r="G221" s="1033"/>
      <c r="H221" s="1033"/>
      <c r="I221" s="1033"/>
      <c r="J221" s="1033"/>
      <c r="K221" s="1033"/>
      <c r="L221" s="90"/>
      <c r="M221" s="51" t="s">
        <v>265</v>
      </c>
      <c r="N221" s="113">
        <f t="shared" si="15"/>
        <v>6911</v>
      </c>
      <c r="O221" s="120"/>
      <c r="P221" s="888"/>
      <c r="Q221" s="51"/>
      <c r="R221" s="581"/>
      <c r="S221" s="891"/>
      <c r="T221" s="51"/>
      <c r="U221" s="120"/>
      <c r="V221" s="888"/>
      <c r="W221" s="51"/>
      <c r="X221" s="1613">
        <f t="shared" si="19"/>
        <v>0</v>
      </c>
      <c r="Y221" s="1614">
        <f t="shared" si="20"/>
        <v>0</v>
      </c>
      <c r="Z221" s="43"/>
      <c r="AA221" s="1621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33" t="s">
        <v>23</v>
      </c>
      <c r="C222" s="1033"/>
      <c r="D222" s="1033"/>
      <c r="E222" s="1033"/>
      <c r="F222" s="1033"/>
      <c r="G222" s="1033"/>
      <c r="H222" s="1033"/>
      <c r="I222" s="1033"/>
      <c r="J222" s="1033"/>
      <c r="K222" s="1033"/>
      <c r="L222" s="90"/>
      <c r="M222" s="51" t="s">
        <v>265</v>
      </c>
      <c r="N222" s="113">
        <f t="shared" si="15"/>
        <v>6912</v>
      </c>
      <c r="O222" s="120"/>
      <c r="P222" s="888"/>
      <c r="Q222" s="51"/>
      <c r="R222" s="581"/>
      <c r="S222" s="891"/>
      <c r="T222" s="51"/>
      <c r="U222" s="120"/>
      <c r="V222" s="888"/>
      <c r="W222" s="51"/>
      <c r="X222" s="1613">
        <f t="shared" si="19"/>
        <v>0</v>
      </c>
      <c r="Y222" s="1614">
        <f t="shared" si="20"/>
        <v>0</v>
      </c>
      <c r="Z222" s="43"/>
      <c r="AA222" s="1621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33" t="s">
        <v>24</v>
      </c>
      <c r="C223" s="1033"/>
      <c r="D223" s="1033"/>
      <c r="E223" s="1033"/>
      <c r="F223" s="1033"/>
      <c r="G223" s="1033"/>
      <c r="H223" s="1033"/>
      <c r="I223" s="1033"/>
      <c r="J223" s="1033"/>
      <c r="K223" s="1033"/>
      <c r="L223" s="90"/>
      <c r="M223" s="51" t="s">
        <v>265</v>
      </c>
      <c r="N223" s="113">
        <f>+A223</f>
        <v>6915</v>
      </c>
      <c r="O223" s="120"/>
      <c r="P223" s="888"/>
      <c r="Q223" s="51"/>
      <c r="R223" s="581"/>
      <c r="S223" s="891"/>
      <c r="T223" s="51"/>
      <c r="U223" s="120"/>
      <c r="V223" s="888"/>
      <c r="W223" s="51"/>
      <c r="X223" s="1613">
        <f t="shared" si="19"/>
        <v>0</v>
      </c>
      <c r="Y223" s="1614">
        <f t="shared" si="20"/>
        <v>0</v>
      </c>
      <c r="Z223" s="43"/>
      <c r="AA223" s="1621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33" t="s">
        <v>25</v>
      </c>
      <c r="C224" s="1033"/>
      <c r="D224" s="1033"/>
      <c r="E224" s="1033"/>
      <c r="F224" s="1033"/>
      <c r="G224" s="1033"/>
      <c r="H224" s="1033"/>
      <c r="I224" s="1033"/>
      <c r="J224" s="1033"/>
      <c r="K224" s="1033"/>
      <c r="L224" s="90"/>
      <c r="M224" s="51" t="s">
        <v>265</v>
      </c>
      <c r="N224" s="113">
        <f>+A224</f>
        <v>6916</v>
      </c>
      <c r="O224" s="120"/>
      <c r="P224" s="888"/>
      <c r="Q224" s="51"/>
      <c r="R224" s="581"/>
      <c r="S224" s="891"/>
      <c r="T224" s="51"/>
      <c r="U224" s="120"/>
      <c r="V224" s="888"/>
      <c r="W224" s="51"/>
      <c r="X224" s="1613">
        <f t="shared" si="19"/>
        <v>0</v>
      </c>
      <c r="Y224" s="1614">
        <f t="shared" si="20"/>
        <v>0</v>
      </c>
      <c r="Z224" s="43"/>
      <c r="AA224" s="1621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33" t="s">
        <v>26</v>
      </c>
      <c r="C225" s="1033"/>
      <c r="D225" s="1033"/>
      <c r="E225" s="1033"/>
      <c r="F225" s="1033"/>
      <c r="G225" s="1033"/>
      <c r="H225" s="1033"/>
      <c r="I225" s="1033"/>
      <c r="J225" s="1033"/>
      <c r="K225" s="1033"/>
      <c r="L225" s="90"/>
      <c r="M225" s="51" t="s">
        <v>265</v>
      </c>
      <c r="N225" s="113">
        <f t="shared" si="15"/>
        <v>6917</v>
      </c>
      <c r="O225" s="120"/>
      <c r="P225" s="888"/>
      <c r="Q225" s="51"/>
      <c r="R225" s="581"/>
      <c r="S225" s="891"/>
      <c r="T225" s="51"/>
      <c r="U225" s="120"/>
      <c r="V225" s="888"/>
      <c r="W225" s="51"/>
      <c r="X225" s="1613">
        <f t="shared" si="19"/>
        <v>0</v>
      </c>
      <c r="Y225" s="1614">
        <f t="shared" si="20"/>
        <v>0</v>
      </c>
      <c r="Z225" s="43"/>
      <c r="AA225" s="1621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33" t="s">
        <v>27</v>
      </c>
      <c r="C226" s="1033"/>
      <c r="D226" s="1033"/>
      <c r="E226" s="1033"/>
      <c r="F226" s="1033"/>
      <c r="G226" s="1033"/>
      <c r="H226" s="1033"/>
      <c r="I226" s="1033"/>
      <c r="J226" s="1033"/>
      <c r="K226" s="1033"/>
      <c r="L226" s="90"/>
      <c r="M226" s="51" t="s">
        <v>265</v>
      </c>
      <c r="N226" s="113">
        <f t="shared" si="15"/>
        <v>6918</v>
      </c>
      <c r="O226" s="120"/>
      <c r="P226" s="888"/>
      <c r="Q226" s="51"/>
      <c r="R226" s="581"/>
      <c r="S226" s="891"/>
      <c r="T226" s="51"/>
      <c r="U226" s="120"/>
      <c r="V226" s="888"/>
      <c r="W226" s="51"/>
      <c r="X226" s="1613">
        <f t="shared" si="19"/>
        <v>0</v>
      </c>
      <c r="Y226" s="1614">
        <f t="shared" si="20"/>
        <v>0</v>
      </c>
      <c r="Z226" s="43"/>
      <c r="AA226" s="1621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33" t="s">
        <v>28</v>
      </c>
      <c r="C227" s="1033"/>
      <c r="D227" s="1033"/>
      <c r="E227" s="1033"/>
      <c r="F227" s="1033"/>
      <c r="G227" s="1033"/>
      <c r="H227" s="1033"/>
      <c r="I227" s="1033"/>
      <c r="J227" s="1033"/>
      <c r="K227" s="1033"/>
      <c r="L227" s="90"/>
      <c r="M227" s="51" t="s">
        <v>265</v>
      </c>
      <c r="N227" s="113">
        <f t="shared" ref="N227:N233" si="21">+A227</f>
        <v>6992</v>
      </c>
      <c r="O227" s="120">
        <v>8739.9699999999993</v>
      </c>
      <c r="P227" s="888">
        <v>0</v>
      </c>
      <c r="Q227" s="51"/>
      <c r="R227" s="581"/>
      <c r="S227" s="891"/>
      <c r="T227" s="51"/>
      <c r="U227" s="120"/>
      <c r="V227" s="888"/>
      <c r="W227" s="51"/>
      <c r="X227" s="1613">
        <f t="shared" si="19"/>
        <v>8739.9699999999993</v>
      </c>
      <c r="Y227" s="1614">
        <f t="shared" si="20"/>
        <v>0</v>
      </c>
      <c r="Z227" s="43"/>
      <c r="AA227" s="1621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33" t="s">
        <v>29</v>
      </c>
      <c r="C228" s="1033"/>
      <c r="D228" s="1033"/>
      <c r="E228" s="1033"/>
      <c r="F228" s="1033"/>
      <c r="G228" s="1033"/>
      <c r="H228" s="1033"/>
      <c r="I228" s="1033"/>
      <c r="J228" s="1033"/>
      <c r="K228" s="1033"/>
      <c r="L228" s="90"/>
      <c r="M228" s="51" t="s">
        <v>265</v>
      </c>
      <c r="N228" s="113">
        <f t="shared" si="21"/>
        <v>6993</v>
      </c>
      <c r="O228" s="120">
        <v>739.84</v>
      </c>
      <c r="P228" s="888">
        <v>0</v>
      </c>
      <c r="Q228" s="51"/>
      <c r="R228" s="581"/>
      <c r="S228" s="891"/>
      <c r="T228" s="51"/>
      <c r="U228" s="120"/>
      <c r="V228" s="888"/>
      <c r="W228" s="51"/>
      <c r="X228" s="1613">
        <f t="shared" si="19"/>
        <v>739.84</v>
      </c>
      <c r="Y228" s="1614">
        <f t="shared" si="20"/>
        <v>0</v>
      </c>
      <c r="Z228" s="43"/>
      <c r="AA228" s="1621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33" t="s">
        <v>30</v>
      </c>
      <c r="C229" s="1033"/>
      <c r="D229" s="1033"/>
      <c r="E229" s="1033"/>
      <c r="F229" s="1033"/>
      <c r="G229" s="1033"/>
      <c r="H229" s="1033"/>
      <c r="I229" s="1033"/>
      <c r="J229" s="1033"/>
      <c r="K229" s="1033"/>
      <c r="L229" s="90"/>
      <c r="M229" s="51" t="s">
        <v>265</v>
      </c>
      <c r="N229" s="113">
        <f t="shared" si="21"/>
        <v>6994</v>
      </c>
      <c r="O229" s="120"/>
      <c r="P229" s="888"/>
      <c r="Q229" s="51"/>
      <c r="R229" s="581"/>
      <c r="S229" s="891"/>
      <c r="T229" s="51"/>
      <c r="U229" s="120"/>
      <c r="V229" s="888"/>
      <c r="W229" s="51"/>
      <c r="X229" s="1613">
        <f t="shared" si="19"/>
        <v>0</v>
      </c>
      <c r="Y229" s="1614">
        <f t="shared" si="20"/>
        <v>0</v>
      </c>
      <c r="Z229" s="43"/>
      <c r="AA229" s="1621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33" t="s">
        <v>31</v>
      </c>
      <c r="C230" s="1033"/>
      <c r="D230" s="1033"/>
      <c r="E230" s="1033"/>
      <c r="F230" s="1033"/>
      <c r="G230" s="1033"/>
      <c r="H230" s="1033"/>
      <c r="I230" s="1033"/>
      <c r="J230" s="1033"/>
      <c r="K230" s="1033"/>
      <c r="L230" s="90"/>
      <c r="M230" s="51" t="s">
        <v>265</v>
      </c>
      <c r="N230" s="113">
        <f t="shared" si="21"/>
        <v>6995</v>
      </c>
      <c r="O230" s="120"/>
      <c r="P230" s="888"/>
      <c r="Q230" s="51"/>
      <c r="R230" s="581"/>
      <c r="S230" s="891"/>
      <c r="T230" s="51"/>
      <c r="U230" s="120"/>
      <c r="V230" s="888"/>
      <c r="W230" s="51"/>
      <c r="X230" s="1613">
        <f t="shared" si="19"/>
        <v>0</v>
      </c>
      <c r="Y230" s="1614">
        <f t="shared" si="20"/>
        <v>0</v>
      </c>
      <c r="Z230" s="43"/>
      <c r="AA230" s="1621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33" t="s">
        <v>32</v>
      </c>
      <c r="C231" s="1033"/>
      <c r="D231" s="1033"/>
      <c r="E231" s="1033"/>
      <c r="F231" s="1033"/>
      <c r="G231" s="1033"/>
      <c r="H231" s="1033"/>
      <c r="I231" s="1033"/>
      <c r="J231" s="1033"/>
      <c r="K231" s="1033"/>
      <c r="L231" s="90"/>
      <c r="M231" s="51" t="s">
        <v>265</v>
      </c>
      <c r="N231" s="113">
        <f t="shared" si="21"/>
        <v>6996</v>
      </c>
      <c r="O231" s="120"/>
      <c r="P231" s="888"/>
      <c r="Q231" s="51"/>
      <c r="R231" s="581"/>
      <c r="S231" s="891"/>
      <c r="T231" s="51"/>
      <c r="U231" s="120"/>
      <c r="V231" s="888"/>
      <c r="W231" s="51"/>
      <c r="X231" s="1613">
        <f t="shared" si="19"/>
        <v>0</v>
      </c>
      <c r="Y231" s="1614">
        <f t="shared" si="20"/>
        <v>0</v>
      </c>
      <c r="Z231" s="43"/>
      <c r="AA231" s="1621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33" t="s">
        <v>33</v>
      </c>
      <c r="C232" s="1033"/>
      <c r="D232" s="1033"/>
      <c r="E232" s="1033"/>
      <c r="F232" s="1033"/>
      <c r="G232" s="1033"/>
      <c r="H232" s="1033"/>
      <c r="I232" s="1033"/>
      <c r="J232" s="1033"/>
      <c r="K232" s="1033"/>
      <c r="L232" s="90"/>
      <c r="M232" s="51" t="s">
        <v>265</v>
      </c>
      <c r="N232" s="113">
        <f t="shared" si="21"/>
        <v>6997</v>
      </c>
      <c r="O232" s="120"/>
      <c r="P232" s="888"/>
      <c r="Q232" s="51"/>
      <c r="R232" s="581"/>
      <c r="S232" s="891"/>
      <c r="T232" s="51"/>
      <c r="U232" s="120"/>
      <c r="V232" s="888"/>
      <c r="W232" s="51"/>
      <c r="X232" s="1613">
        <f t="shared" si="19"/>
        <v>0</v>
      </c>
      <c r="Y232" s="1614">
        <f t="shared" si="20"/>
        <v>0</v>
      </c>
      <c r="Z232" s="43"/>
      <c r="AA232" s="1621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12">
        <v>6998</v>
      </c>
      <c r="B233" s="1012" t="s">
        <v>34</v>
      </c>
      <c r="C233" s="1012"/>
      <c r="D233" s="1012"/>
      <c r="E233" s="1012"/>
      <c r="F233" s="1012"/>
      <c r="G233" s="1012"/>
      <c r="H233" s="1012"/>
      <c r="I233" s="1012"/>
      <c r="J233" s="1012"/>
      <c r="K233" s="1012"/>
      <c r="L233" s="613"/>
      <c r="M233" s="51" t="s">
        <v>265</v>
      </c>
      <c r="N233" s="113">
        <f t="shared" si="21"/>
        <v>6998</v>
      </c>
      <c r="O233" s="120"/>
      <c r="P233" s="888"/>
      <c r="Q233" s="51"/>
      <c r="R233" s="581"/>
      <c r="S233" s="891"/>
      <c r="T233" s="51"/>
      <c r="U233" s="120"/>
      <c r="V233" s="888"/>
      <c r="W233" s="51"/>
      <c r="X233" s="1613">
        <f t="shared" si="19"/>
        <v>0</v>
      </c>
      <c r="Y233" s="1614">
        <f t="shared" si="20"/>
        <v>0</v>
      </c>
      <c r="Z233" s="43"/>
      <c r="AA233" s="1621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904" t="s">
        <v>1122</v>
      </c>
      <c r="B234" s="901"/>
      <c r="C234" s="899"/>
      <c r="D234" s="899"/>
      <c r="E234" s="899"/>
      <c r="F234" s="899"/>
      <c r="G234" s="899"/>
      <c r="H234" s="899"/>
      <c r="I234" s="899"/>
      <c r="J234" s="899"/>
      <c r="K234" s="899"/>
      <c r="L234" s="900"/>
      <c r="M234" s="51" t="s">
        <v>265</v>
      </c>
      <c r="N234" s="917">
        <v>7</v>
      </c>
      <c r="O234" s="952"/>
      <c r="P234" s="953"/>
      <c r="Q234" s="51"/>
      <c r="R234" s="952"/>
      <c r="S234" s="953"/>
      <c r="T234" s="51"/>
      <c r="U234" s="952"/>
      <c r="V234" s="953"/>
      <c r="W234" s="51"/>
      <c r="X234" s="384"/>
      <c r="Y234" s="387"/>
      <c r="Z234" s="43"/>
      <c r="AA234" s="1623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9" t="s">
        <v>667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23">
        <v>0</v>
      </c>
      <c r="P235" s="372">
        <v>636624.43999999994</v>
      </c>
      <c r="Q235" s="51"/>
      <c r="R235" s="323"/>
      <c r="S235" s="372"/>
      <c r="T235" s="51"/>
      <c r="U235" s="323"/>
      <c r="V235" s="372"/>
      <c r="W235" s="51"/>
      <c r="X235" s="1613">
        <f>+ROUND(+O235+R235+U235,2)</f>
        <v>0</v>
      </c>
      <c r="Y235" s="1614">
        <f>+ROUND(+P235+S235+V235,2)</f>
        <v>636624.43999999994</v>
      </c>
      <c r="Z235" s="43"/>
      <c r="AA235" s="1621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32" t="s">
        <v>668</v>
      </c>
      <c r="C236" s="1033"/>
      <c r="D236" s="1033"/>
      <c r="E236" s="1033"/>
      <c r="F236" s="1033"/>
      <c r="G236" s="1033"/>
      <c r="H236" s="1033"/>
      <c r="I236" s="1033"/>
      <c r="J236" s="1033"/>
      <c r="K236" s="1033"/>
      <c r="L236" s="90"/>
      <c r="M236" s="51" t="s">
        <v>265</v>
      </c>
      <c r="N236" s="113">
        <f t="shared" si="22"/>
        <v>7012</v>
      </c>
      <c r="O236" s="120"/>
      <c r="P236" s="888"/>
      <c r="Q236" s="51"/>
      <c r="R236" s="120"/>
      <c r="S236" s="888"/>
      <c r="T236" s="51"/>
      <c r="U236" s="120"/>
      <c r="V236" s="888"/>
      <c r="W236" s="51"/>
      <c r="X236" s="1613">
        <f>+ROUND(+O236+R236+U236,2)</f>
        <v>0</v>
      </c>
      <c r="Y236" s="1614">
        <f>+ROUND(+P236+S236+V236,2)</f>
        <v>0</v>
      </c>
      <c r="Z236" s="43"/>
      <c r="AA236" s="1621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32" t="s">
        <v>669</v>
      </c>
      <c r="C237" s="1033"/>
      <c r="D237" s="1033"/>
      <c r="E237" s="1033"/>
      <c r="F237" s="1033"/>
      <c r="G237" s="1033"/>
      <c r="H237" s="1033"/>
      <c r="I237" s="1033"/>
      <c r="J237" s="1033"/>
      <c r="K237" s="1033"/>
      <c r="L237" s="90"/>
      <c r="M237" s="51" t="s">
        <v>265</v>
      </c>
      <c r="N237" s="113">
        <f t="shared" si="22"/>
        <v>7013</v>
      </c>
      <c r="O237" s="120"/>
      <c r="P237" s="890">
        <v>0</v>
      </c>
      <c r="Q237" s="51"/>
      <c r="R237" s="120"/>
      <c r="S237" s="605">
        <v>0</v>
      </c>
      <c r="T237" s="51"/>
      <c r="U237" s="120"/>
      <c r="V237" s="892">
        <v>0</v>
      </c>
      <c r="W237" s="51"/>
      <c r="X237" s="1613">
        <f t="shared" ref="X237:X299" si="24">+ROUND(+O237+R237+U237,2)</f>
        <v>0</v>
      </c>
      <c r="Y237" s="1611">
        <v>0</v>
      </c>
      <c r="Z237" s="43"/>
      <c r="AA237" s="1621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32" t="s">
        <v>670</v>
      </c>
      <c r="C238" s="1033"/>
      <c r="D238" s="1033"/>
      <c r="E238" s="1033"/>
      <c r="F238" s="1033"/>
      <c r="G238" s="1033"/>
      <c r="H238" s="1033"/>
      <c r="I238" s="1033"/>
      <c r="J238" s="1033"/>
      <c r="K238" s="1033"/>
      <c r="L238" s="90"/>
      <c r="M238" s="51" t="s">
        <v>265</v>
      </c>
      <c r="N238" s="113">
        <f t="shared" si="22"/>
        <v>7014</v>
      </c>
      <c r="O238" s="120"/>
      <c r="P238" s="888"/>
      <c r="Q238" s="51"/>
      <c r="R238" s="120"/>
      <c r="S238" s="888"/>
      <c r="T238" s="51"/>
      <c r="U238" s="120"/>
      <c r="V238" s="888"/>
      <c r="W238" s="51"/>
      <c r="X238" s="1613">
        <f t="shared" si="24"/>
        <v>0</v>
      </c>
      <c r="Y238" s="1614">
        <f>+ROUND(+P238+S238+V238,2)</f>
        <v>0</v>
      </c>
      <c r="Z238" s="43"/>
      <c r="AA238" s="1621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32" t="s">
        <v>1937</v>
      </c>
      <c r="C239" s="1033"/>
      <c r="D239" s="1033"/>
      <c r="E239" s="1033"/>
      <c r="F239" s="1033"/>
      <c r="G239" s="1033"/>
      <c r="H239" s="1033"/>
      <c r="I239" s="1033"/>
      <c r="J239" s="1033"/>
      <c r="K239" s="1033"/>
      <c r="L239" s="90"/>
      <c r="M239" s="51" t="s">
        <v>265</v>
      </c>
      <c r="N239" s="113">
        <f t="shared" si="22"/>
        <v>7041</v>
      </c>
      <c r="O239" s="120">
        <v>0</v>
      </c>
      <c r="P239" s="888">
        <v>272296.89</v>
      </c>
      <c r="Q239" s="51"/>
      <c r="R239" s="120"/>
      <c r="S239" s="888"/>
      <c r="T239" s="51"/>
      <c r="U239" s="120"/>
      <c r="V239" s="888"/>
      <c r="W239" s="51"/>
      <c r="X239" s="1613">
        <f t="shared" si="24"/>
        <v>0</v>
      </c>
      <c r="Y239" s="1614">
        <f>+ROUND(+P239+S239+V239,2)</f>
        <v>272296.89</v>
      </c>
      <c r="Z239" s="43"/>
      <c r="AA239" s="1621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32" t="s">
        <v>1938</v>
      </c>
      <c r="C240" s="1033"/>
      <c r="D240" s="1033"/>
      <c r="E240" s="1033"/>
      <c r="F240" s="1033"/>
      <c r="G240" s="1033"/>
      <c r="H240" s="1033"/>
      <c r="I240" s="1033"/>
      <c r="J240" s="1033"/>
      <c r="K240" s="1033"/>
      <c r="L240" s="90"/>
      <c r="M240" s="51" t="s">
        <v>265</v>
      </c>
      <c r="N240" s="113">
        <f t="shared" si="22"/>
        <v>7042</v>
      </c>
      <c r="O240" s="120"/>
      <c r="P240" s="888"/>
      <c r="Q240" s="51"/>
      <c r="R240" s="581"/>
      <c r="S240" s="891"/>
      <c r="T240" s="51"/>
      <c r="U240" s="120"/>
      <c r="V240" s="888"/>
      <c r="W240" s="51"/>
      <c r="X240" s="1613">
        <f t="shared" si="24"/>
        <v>0</v>
      </c>
      <c r="Y240" s="1614">
        <f>+ROUND(+P240+S240+V240,2)</f>
        <v>0</v>
      </c>
      <c r="Z240" s="43"/>
      <c r="AA240" s="1621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32" t="s">
        <v>1939</v>
      </c>
      <c r="C241" s="1033"/>
      <c r="D241" s="1033"/>
      <c r="E241" s="1033"/>
      <c r="F241" s="1033"/>
      <c r="G241" s="1033"/>
      <c r="H241" s="1033"/>
      <c r="I241" s="1033"/>
      <c r="J241" s="1033"/>
      <c r="K241" s="1033"/>
      <c r="L241" s="90"/>
      <c r="M241" s="51" t="s">
        <v>265</v>
      </c>
      <c r="N241" s="113">
        <f t="shared" si="22"/>
        <v>7043</v>
      </c>
      <c r="O241" s="120"/>
      <c r="P241" s="890">
        <v>0</v>
      </c>
      <c r="Q241" s="51"/>
      <c r="R241" s="120"/>
      <c r="S241" s="605">
        <v>0</v>
      </c>
      <c r="T241" s="51"/>
      <c r="U241" s="120"/>
      <c r="V241" s="892">
        <v>0</v>
      </c>
      <c r="W241" s="51"/>
      <c r="X241" s="1613">
        <f t="shared" si="24"/>
        <v>0</v>
      </c>
      <c r="Y241" s="1611">
        <v>0</v>
      </c>
      <c r="Z241" s="43"/>
      <c r="AA241" s="1621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32" t="s">
        <v>1940</v>
      </c>
      <c r="C242" s="1033"/>
      <c r="D242" s="1033"/>
      <c r="E242" s="1033"/>
      <c r="F242" s="1033"/>
      <c r="G242" s="1033"/>
      <c r="H242" s="1033"/>
      <c r="I242" s="1033"/>
      <c r="J242" s="1033"/>
      <c r="K242" s="1033"/>
      <c r="L242" s="90"/>
      <c r="M242" s="51" t="s">
        <v>265</v>
      </c>
      <c r="N242" s="113">
        <f t="shared" si="22"/>
        <v>7044</v>
      </c>
      <c r="O242" s="120"/>
      <c r="P242" s="888"/>
      <c r="Q242" s="51"/>
      <c r="R242" s="581"/>
      <c r="S242" s="891"/>
      <c r="T242" s="51"/>
      <c r="U242" s="120"/>
      <c r="V242" s="888"/>
      <c r="W242" s="51"/>
      <c r="X242" s="1613">
        <f t="shared" si="24"/>
        <v>0</v>
      </c>
      <c r="Y242" s="1614">
        <f t="shared" ref="Y242:Y305" si="25">+ROUND(+P242+S242+V242,2)</f>
        <v>0</v>
      </c>
      <c r="Z242" s="43"/>
      <c r="AA242" s="1621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32" t="s">
        <v>671</v>
      </c>
      <c r="C243" s="1033"/>
      <c r="D243" s="1033"/>
      <c r="E243" s="1033"/>
      <c r="F243" s="1033"/>
      <c r="G243" s="1033"/>
      <c r="H243" s="1033"/>
      <c r="I243" s="1033"/>
      <c r="J243" s="1033"/>
      <c r="K243" s="1033"/>
      <c r="L243" s="90"/>
      <c r="M243" s="51" t="s">
        <v>265</v>
      </c>
      <c r="N243" s="113">
        <f t="shared" si="22"/>
        <v>7051</v>
      </c>
      <c r="O243" s="120">
        <v>0</v>
      </c>
      <c r="P243" s="888">
        <v>351671.83</v>
      </c>
      <c r="Q243" s="51"/>
      <c r="R243" s="581"/>
      <c r="S243" s="891"/>
      <c r="T243" s="51"/>
      <c r="U243" s="120"/>
      <c r="V243" s="888"/>
      <c r="W243" s="51"/>
      <c r="X243" s="1613">
        <f t="shared" si="24"/>
        <v>0</v>
      </c>
      <c r="Y243" s="1614">
        <f t="shared" si="25"/>
        <v>351671.83</v>
      </c>
      <c r="Z243" s="43"/>
      <c r="AA243" s="1621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32" t="s">
        <v>672</v>
      </c>
      <c r="C244" s="1033"/>
      <c r="D244" s="1033"/>
      <c r="E244" s="1033"/>
      <c r="F244" s="1033"/>
      <c r="G244" s="1033"/>
      <c r="H244" s="1033"/>
      <c r="I244" s="1033"/>
      <c r="J244" s="1033"/>
      <c r="K244" s="1033"/>
      <c r="L244" s="90"/>
      <c r="M244" s="51" t="s">
        <v>265</v>
      </c>
      <c r="N244" s="113">
        <f t="shared" si="22"/>
        <v>7052</v>
      </c>
      <c r="O244" s="120"/>
      <c r="P244" s="888"/>
      <c r="Q244" s="51"/>
      <c r="R244" s="581"/>
      <c r="S244" s="891"/>
      <c r="T244" s="51"/>
      <c r="U244" s="120"/>
      <c r="V244" s="888"/>
      <c r="W244" s="51"/>
      <c r="X244" s="1613">
        <f t="shared" si="24"/>
        <v>0</v>
      </c>
      <c r="Y244" s="1614">
        <f t="shared" si="25"/>
        <v>0</v>
      </c>
      <c r="Z244" s="43"/>
      <c r="AA244" s="1621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35" t="s">
        <v>673</v>
      </c>
      <c r="C245" s="1033"/>
      <c r="D245" s="1033"/>
      <c r="E245" s="1033"/>
      <c r="F245" s="1033"/>
      <c r="G245" s="1033"/>
      <c r="H245" s="1033"/>
      <c r="I245" s="1033"/>
      <c r="J245" s="1033"/>
      <c r="K245" s="1033"/>
      <c r="L245" s="90"/>
      <c r="M245" s="51" t="s">
        <v>265</v>
      </c>
      <c r="N245" s="113">
        <f t="shared" si="22"/>
        <v>7090</v>
      </c>
      <c r="O245" s="120">
        <v>0</v>
      </c>
      <c r="P245" s="888">
        <v>210984.31</v>
      </c>
      <c r="Q245" s="51"/>
      <c r="R245" s="581"/>
      <c r="S245" s="891"/>
      <c r="T245" s="51"/>
      <c r="U245" s="120"/>
      <c r="V245" s="888"/>
      <c r="W245" s="51"/>
      <c r="X245" s="1613">
        <f t="shared" si="24"/>
        <v>0</v>
      </c>
      <c r="Y245" s="1614">
        <f t="shared" si="25"/>
        <v>210984.31</v>
      </c>
      <c r="Z245" s="43"/>
      <c r="AA245" s="1621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33" t="s">
        <v>674</v>
      </c>
      <c r="C246" s="1033"/>
      <c r="D246" s="1033"/>
      <c r="E246" s="1033"/>
      <c r="F246" s="1033"/>
      <c r="G246" s="1033"/>
      <c r="H246" s="1033"/>
      <c r="I246" s="1033"/>
      <c r="J246" s="1033"/>
      <c r="K246" s="1033"/>
      <c r="L246" s="90"/>
      <c r="M246" s="51" t="s">
        <v>265</v>
      </c>
      <c r="N246" s="113">
        <f t="shared" si="22"/>
        <v>7110</v>
      </c>
      <c r="O246" s="120">
        <v>0</v>
      </c>
      <c r="P246" s="888">
        <v>786.73</v>
      </c>
      <c r="Q246" s="51"/>
      <c r="R246" s="581"/>
      <c r="S246" s="891"/>
      <c r="T246" s="51"/>
      <c r="U246" s="120"/>
      <c r="V246" s="888"/>
      <c r="W246" s="51"/>
      <c r="X246" s="1613">
        <f t="shared" si="24"/>
        <v>0</v>
      </c>
      <c r="Y246" s="1614">
        <f t="shared" si="25"/>
        <v>786.73</v>
      </c>
      <c r="Z246" s="43"/>
      <c r="AA246" s="1621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33" t="s">
        <v>675</v>
      </c>
      <c r="C247" s="1033"/>
      <c r="D247" s="1033"/>
      <c r="E247" s="1033"/>
      <c r="F247" s="1033"/>
      <c r="G247" s="1033"/>
      <c r="H247" s="1033"/>
      <c r="I247" s="1033"/>
      <c r="J247" s="1033"/>
      <c r="K247" s="1033"/>
      <c r="L247" s="90"/>
      <c r="M247" s="51" t="s">
        <v>265</v>
      </c>
      <c r="N247" s="113">
        <f t="shared" si="22"/>
        <v>7111</v>
      </c>
      <c r="O247" s="120"/>
      <c r="P247" s="888"/>
      <c r="Q247" s="51"/>
      <c r="R247" s="581"/>
      <c r="S247" s="891"/>
      <c r="T247" s="51"/>
      <c r="U247" s="120"/>
      <c r="V247" s="888"/>
      <c r="W247" s="51"/>
      <c r="X247" s="1613">
        <f t="shared" si="24"/>
        <v>0</v>
      </c>
      <c r="Y247" s="1614">
        <f t="shared" si="25"/>
        <v>0</v>
      </c>
      <c r="Z247" s="43"/>
      <c r="AA247" s="1621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33" t="s">
        <v>676</v>
      </c>
      <c r="C248" s="1033"/>
      <c r="D248" s="1033"/>
      <c r="E248" s="1033"/>
      <c r="F248" s="1033"/>
      <c r="G248" s="1033"/>
      <c r="H248" s="1033"/>
      <c r="I248" s="1033"/>
      <c r="J248" s="1033"/>
      <c r="K248" s="1033"/>
      <c r="L248" s="90"/>
      <c r="M248" s="51" t="s">
        <v>265</v>
      </c>
      <c r="N248" s="113">
        <f t="shared" si="22"/>
        <v>7112</v>
      </c>
      <c r="O248" s="120">
        <v>0</v>
      </c>
      <c r="P248" s="888">
        <v>14667.96</v>
      </c>
      <c r="Q248" s="51"/>
      <c r="R248" s="581"/>
      <c r="S248" s="891"/>
      <c r="T248" s="51"/>
      <c r="U248" s="120"/>
      <c r="V248" s="888"/>
      <c r="W248" s="51"/>
      <c r="X248" s="1613">
        <f t="shared" si="24"/>
        <v>0</v>
      </c>
      <c r="Y248" s="1614">
        <f t="shared" si="25"/>
        <v>14667.96</v>
      </c>
      <c r="Z248" s="43"/>
      <c r="AA248" s="1621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33" t="s">
        <v>677</v>
      </c>
      <c r="C249" s="1033"/>
      <c r="D249" s="1033"/>
      <c r="E249" s="1033"/>
      <c r="F249" s="1033"/>
      <c r="G249" s="1033"/>
      <c r="H249" s="1033"/>
      <c r="I249" s="1033"/>
      <c r="J249" s="1033"/>
      <c r="K249" s="1033"/>
      <c r="L249" s="90"/>
      <c r="M249" s="51" t="s">
        <v>265</v>
      </c>
      <c r="N249" s="113">
        <f t="shared" si="22"/>
        <v>7113</v>
      </c>
      <c r="O249" s="120">
        <v>0</v>
      </c>
      <c r="P249" s="888">
        <v>7534.66</v>
      </c>
      <c r="Q249" s="51"/>
      <c r="R249" s="581"/>
      <c r="S249" s="891"/>
      <c r="T249" s="51"/>
      <c r="U249" s="120"/>
      <c r="V249" s="888"/>
      <c r="W249" s="51"/>
      <c r="X249" s="1613">
        <f t="shared" si="24"/>
        <v>0</v>
      </c>
      <c r="Y249" s="1614">
        <f t="shared" si="25"/>
        <v>7534.66</v>
      </c>
      <c r="Z249" s="43"/>
      <c r="AA249" s="1621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33" t="s">
        <v>678</v>
      </c>
      <c r="C250" s="1033"/>
      <c r="D250" s="1033"/>
      <c r="E250" s="1033"/>
      <c r="F250" s="1033"/>
      <c r="G250" s="1033"/>
      <c r="H250" s="1033"/>
      <c r="I250" s="1033"/>
      <c r="J250" s="1033"/>
      <c r="K250" s="1033"/>
      <c r="L250" s="90"/>
      <c r="M250" s="51" t="s">
        <v>265</v>
      </c>
      <c r="N250" s="113">
        <f t="shared" si="22"/>
        <v>7114</v>
      </c>
      <c r="O250" s="120"/>
      <c r="P250" s="888"/>
      <c r="Q250" s="51"/>
      <c r="R250" s="581"/>
      <c r="S250" s="891"/>
      <c r="T250" s="51"/>
      <c r="U250" s="120"/>
      <c r="V250" s="888"/>
      <c r="W250" s="51"/>
      <c r="X250" s="1613">
        <f t="shared" si="24"/>
        <v>0</v>
      </c>
      <c r="Y250" s="1614">
        <f t="shared" si="25"/>
        <v>0</v>
      </c>
      <c r="Z250" s="43"/>
      <c r="AA250" s="1621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33" t="s">
        <v>679</v>
      </c>
      <c r="C251" s="1033"/>
      <c r="D251" s="1033"/>
      <c r="E251" s="1033"/>
      <c r="F251" s="1033"/>
      <c r="G251" s="1033"/>
      <c r="H251" s="1033"/>
      <c r="I251" s="1033"/>
      <c r="J251" s="1033"/>
      <c r="K251" s="1033"/>
      <c r="L251" s="90"/>
      <c r="M251" s="51" t="s">
        <v>265</v>
      </c>
      <c r="N251" s="113">
        <f t="shared" si="22"/>
        <v>7115</v>
      </c>
      <c r="O251" s="120"/>
      <c r="P251" s="888"/>
      <c r="Q251" s="51"/>
      <c r="R251" s="581"/>
      <c r="S251" s="891"/>
      <c r="T251" s="51"/>
      <c r="U251" s="120"/>
      <c r="V251" s="888"/>
      <c r="W251" s="51"/>
      <c r="X251" s="1613">
        <f t="shared" si="24"/>
        <v>0</v>
      </c>
      <c r="Y251" s="1614">
        <f t="shared" si="25"/>
        <v>0</v>
      </c>
      <c r="Z251" s="43"/>
      <c r="AA251" s="1621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33" t="s">
        <v>680</v>
      </c>
      <c r="C252" s="1033"/>
      <c r="D252" s="1033"/>
      <c r="E252" s="1033"/>
      <c r="F252" s="1033"/>
      <c r="G252" s="1033"/>
      <c r="H252" s="1033"/>
      <c r="I252" s="1033"/>
      <c r="J252" s="1033"/>
      <c r="K252" s="1033"/>
      <c r="L252" s="90"/>
      <c r="M252" s="51" t="s">
        <v>265</v>
      </c>
      <c r="N252" s="113">
        <f t="shared" si="22"/>
        <v>7121</v>
      </c>
      <c r="O252" s="120">
        <v>0</v>
      </c>
      <c r="P252" s="888">
        <v>52523.92</v>
      </c>
      <c r="Q252" s="51"/>
      <c r="R252" s="581"/>
      <c r="S252" s="891"/>
      <c r="T252" s="51"/>
      <c r="U252" s="120"/>
      <c r="V252" s="888"/>
      <c r="W252" s="51"/>
      <c r="X252" s="1613">
        <f t="shared" si="24"/>
        <v>0</v>
      </c>
      <c r="Y252" s="1614">
        <f t="shared" si="25"/>
        <v>52523.92</v>
      </c>
      <c r="Z252" s="43"/>
      <c r="AA252" s="1621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33" t="s">
        <v>681</v>
      </c>
      <c r="C253" s="1033"/>
      <c r="D253" s="1033"/>
      <c r="E253" s="1033"/>
      <c r="F253" s="1033"/>
      <c r="G253" s="1033"/>
      <c r="H253" s="1033"/>
      <c r="I253" s="1033"/>
      <c r="J253" s="1033"/>
      <c r="K253" s="1033"/>
      <c r="L253" s="90"/>
      <c r="M253" s="51" t="s">
        <v>265</v>
      </c>
      <c r="N253" s="113">
        <f t="shared" si="22"/>
        <v>7122</v>
      </c>
      <c r="O253" s="120"/>
      <c r="P253" s="888"/>
      <c r="Q253" s="51"/>
      <c r="R253" s="581"/>
      <c r="S253" s="891"/>
      <c r="T253" s="51"/>
      <c r="U253" s="120"/>
      <c r="V253" s="888"/>
      <c r="W253" s="51"/>
      <c r="X253" s="1613">
        <f t="shared" si="24"/>
        <v>0</v>
      </c>
      <c r="Y253" s="1614">
        <f t="shared" si="25"/>
        <v>0</v>
      </c>
      <c r="Z253" s="43"/>
      <c r="AA253" s="1621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33" t="s">
        <v>682</v>
      </c>
      <c r="C254" s="1033"/>
      <c r="D254" s="1033"/>
      <c r="E254" s="1033"/>
      <c r="F254" s="1033"/>
      <c r="G254" s="1033"/>
      <c r="H254" s="1033"/>
      <c r="I254" s="1033"/>
      <c r="J254" s="1033"/>
      <c r="K254" s="1033"/>
      <c r="L254" s="90"/>
      <c r="M254" s="51" t="s">
        <v>265</v>
      </c>
      <c r="N254" s="113">
        <f t="shared" si="22"/>
        <v>7123</v>
      </c>
      <c r="O254" s="120">
        <v>0</v>
      </c>
      <c r="P254" s="888">
        <v>661036.86</v>
      </c>
      <c r="Q254" s="51"/>
      <c r="R254" s="581"/>
      <c r="S254" s="891"/>
      <c r="T254" s="51"/>
      <c r="U254" s="120"/>
      <c r="V254" s="888"/>
      <c r="W254" s="51"/>
      <c r="X254" s="1613">
        <f t="shared" si="24"/>
        <v>0</v>
      </c>
      <c r="Y254" s="1614">
        <f t="shared" si="25"/>
        <v>661036.86</v>
      </c>
      <c r="Z254" s="43"/>
      <c r="AA254" s="1621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33" t="s">
        <v>683</v>
      </c>
      <c r="C255" s="1033"/>
      <c r="D255" s="1033"/>
      <c r="E255" s="1033"/>
      <c r="F255" s="1033"/>
      <c r="G255" s="1033"/>
      <c r="H255" s="1033"/>
      <c r="I255" s="1033"/>
      <c r="J255" s="1033"/>
      <c r="K255" s="1033"/>
      <c r="L255" s="90"/>
      <c r="M255" s="51" t="s">
        <v>265</v>
      </c>
      <c r="N255" s="113">
        <f t="shared" si="22"/>
        <v>7124</v>
      </c>
      <c r="O255" s="120"/>
      <c r="P255" s="888"/>
      <c r="Q255" s="51"/>
      <c r="R255" s="581"/>
      <c r="S255" s="891"/>
      <c r="T255" s="51"/>
      <c r="U255" s="120"/>
      <c r="V255" s="888"/>
      <c r="W255" s="51"/>
      <c r="X255" s="1613">
        <f t="shared" si="24"/>
        <v>0</v>
      </c>
      <c r="Y255" s="1614">
        <f t="shared" si="25"/>
        <v>0</v>
      </c>
      <c r="Z255" s="43"/>
      <c r="AA255" s="1621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33" t="s">
        <v>684</v>
      </c>
      <c r="C256" s="1033"/>
      <c r="D256" s="1033"/>
      <c r="E256" s="1033"/>
      <c r="F256" s="1033"/>
      <c r="G256" s="1033"/>
      <c r="H256" s="1033"/>
      <c r="I256" s="1033"/>
      <c r="J256" s="1033"/>
      <c r="K256" s="1033"/>
      <c r="L256" s="90"/>
      <c r="M256" s="51" t="s">
        <v>265</v>
      </c>
      <c r="N256" s="113">
        <f t="shared" si="22"/>
        <v>7131</v>
      </c>
      <c r="O256" s="120">
        <v>0</v>
      </c>
      <c r="P256" s="888">
        <v>311155</v>
      </c>
      <c r="Q256" s="51"/>
      <c r="R256" s="581"/>
      <c r="S256" s="891"/>
      <c r="T256" s="51"/>
      <c r="U256" s="120"/>
      <c r="V256" s="888"/>
      <c r="W256" s="51"/>
      <c r="X256" s="1613">
        <f t="shared" si="24"/>
        <v>0</v>
      </c>
      <c r="Y256" s="1614">
        <f t="shared" si="25"/>
        <v>311155</v>
      </c>
      <c r="Z256" s="43"/>
      <c r="AA256" s="1621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33" t="s">
        <v>685</v>
      </c>
      <c r="C257" s="1033"/>
      <c r="D257" s="1033"/>
      <c r="E257" s="1033"/>
      <c r="F257" s="1033"/>
      <c r="G257" s="1033"/>
      <c r="H257" s="1033"/>
      <c r="I257" s="1033"/>
      <c r="J257" s="1033"/>
      <c r="K257" s="1033"/>
      <c r="L257" s="90"/>
      <c r="M257" s="51" t="s">
        <v>265</v>
      </c>
      <c r="N257" s="113">
        <f t="shared" si="22"/>
        <v>7132</v>
      </c>
      <c r="O257" s="120"/>
      <c r="P257" s="888"/>
      <c r="Q257" s="51"/>
      <c r="R257" s="581"/>
      <c r="S257" s="891"/>
      <c r="T257" s="51"/>
      <c r="U257" s="120"/>
      <c r="V257" s="888"/>
      <c r="W257" s="51"/>
      <c r="X257" s="1613">
        <f t="shared" si="24"/>
        <v>0</v>
      </c>
      <c r="Y257" s="1614">
        <f t="shared" si="25"/>
        <v>0</v>
      </c>
      <c r="Z257" s="43"/>
      <c r="AA257" s="1621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33" t="s">
        <v>686</v>
      </c>
      <c r="C258" s="1033"/>
      <c r="D258" s="1033"/>
      <c r="E258" s="1033"/>
      <c r="F258" s="1033"/>
      <c r="G258" s="1033"/>
      <c r="H258" s="1033"/>
      <c r="I258" s="1033"/>
      <c r="J258" s="1033"/>
      <c r="K258" s="1033"/>
      <c r="L258" s="90"/>
      <c r="M258" s="51" t="s">
        <v>265</v>
      </c>
      <c r="N258" s="113">
        <f t="shared" si="22"/>
        <v>7133</v>
      </c>
      <c r="O258" s="120"/>
      <c r="P258" s="888"/>
      <c r="Q258" s="51"/>
      <c r="R258" s="581"/>
      <c r="S258" s="891"/>
      <c r="T258" s="51"/>
      <c r="U258" s="120"/>
      <c r="V258" s="888"/>
      <c r="W258" s="51"/>
      <c r="X258" s="1613">
        <f t="shared" si="24"/>
        <v>0</v>
      </c>
      <c r="Y258" s="1614">
        <f t="shared" si="25"/>
        <v>0</v>
      </c>
      <c r="Z258" s="43"/>
      <c r="AA258" s="1621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33" t="s">
        <v>687</v>
      </c>
      <c r="C259" s="1033"/>
      <c r="D259" s="1033"/>
      <c r="E259" s="1033"/>
      <c r="F259" s="1033"/>
      <c r="G259" s="1033"/>
      <c r="H259" s="1033"/>
      <c r="I259" s="1033"/>
      <c r="J259" s="1033"/>
      <c r="K259" s="1033"/>
      <c r="L259" s="90"/>
      <c r="M259" s="51" t="s">
        <v>265</v>
      </c>
      <c r="N259" s="113">
        <f t="shared" si="22"/>
        <v>7140</v>
      </c>
      <c r="O259" s="120">
        <v>0</v>
      </c>
      <c r="P259" s="888">
        <v>41133.71</v>
      </c>
      <c r="Q259" s="51"/>
      <c r="R259" s="581"/>
      <c r="S259" s="891"/>
      <c r="T259" s="51"/>
      <c r="U259" s="120"/>
      <c r="V259" s="888"/>
      <c r="W259" s="51"/>
      <c r="X259" s="1613">
        <f t="shared" si="24"/>
        <v>0</v>
      </c>
      <c r="Y259" s="1614">
        <f t="shared" si="25"/>
        <v>41133.71</v>
      </c>
      <c r="Z259" s="43"/>
      <c r="AA259" s="1621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33" t="s">
        <v>688</v>
      </c>
      <c r="C260" s="1033"/>
      <c r="D260" s="1033"/>
      <c r="E260" s="1033"/>
      <c r="F260" s="1033"/>
      <c r="G260" s="1033"/>
      <c r="H260" s="1033"/>
      <c r="I260" s="1033"/>
      <c r="J260" s="1033"/>
      <c r="K260" s="1033"/>
      <c r="L260" s="90"/>
      <c r="M260" s="51" t="s">
        <v>265</v>
      </c>
      <c r="N260" s="113">
        <f t="shared" si="22"/>
        <v>7141</v>
      </c>
      <c r="O260" s="120"/>
      <c r="P260" s="888"/>
      <c r="Q260" s="51"/>
      <c r="R260" s="581"/>
      <c r="S260" s="891"/>
      <c r="T260" s="51"/>
      <c r="U260" s="120"/>
      <c r="V260" s="888"/>
      <c r="W260" s="51"/>
      <c r="X260" s="1613">
        <f t="shared" si="24"/>
        <v>0</v>
      </c>
      <c r="Y260" s="1614">
        <f t="shared" si="25"/>
        <v>0</v>
      </c>
      <c r="Z260" s="43"/>
      <c r="AA260" s="1621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33" t="s">
        <v>689</v>
      </c>
      <c r="C261" s="1033"/>
      <c r="D261" s="1033"/>
      <c r="E261" s="1033"/>
      <c r="F261" s="1033"/>
      <c r="G261" s="1033"/>
      <c r="H261" s="1033"/>
      <c r="I261" s="1033"/>
      <c r="J261" s="1033"/>
      <c r="K261" s="1033"/>
      <c r="L261" s="90"/>
      <c r="M261" s="51" t="s">
        <v>265</v>
      </c>
      <c r="N261" s="113">
        <f t="shared" si="22"/>
        <v>7142</v>
      </c>
      <c r="O261" s="120"/>
      <c r="P261" s="888"/>
      <c r="Q261" s="51"/>
      <c r="R261" s="581"/>
      <c r="S261" s="891"/>
      <c r="T261" s="51"/>
      <c r="U261" s="120"/>
      <c r="V261" s="888"/>
      <c r="W261" s="51"/>
      <c r="X261" s="1613">
        <f t="shared" si="24"/>
        <v>0</v>
      </c>
      <c r="Y261" s="1614">
        <f t="shared" si="25"/>
        <v>0</v>
      </c>
      <c r="Z261" s="43"/>
      <c r="AA261" s="1621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33" t="s">
        <v>690</v>
      </c>
      <c r="C262" s="1033"/>
      <c r="D262" s="1033"/>
      <c r="E262" s="1033"/>
      <c r="F262" s="1033"/>
      <c r="G262" s="1033"/>
      <c r="H262" s="1033"/>
      <c r="I262" s="1033"/>
      <c r="J262" s="1033"/>
      <c r="K262" s="1033"/>
      <c r="L262" s="90"/>
      <c r="M262" s="51" t="s">
        <v>265</v>
      </c>
      <c r="N262" s="113">
        <f t="shared" si="22"/>
        <v>7143</v>
      </c>
      <c r="O262" s="120"/>
      <c r="P262" s="888"/>
      <c r="Q262" s="51"/>
      <c r="R262" s="581"/>
      <c r="S262" s="891"/>
      <c r="T262" s="51"/>
      <c r="U262" s="120"/>
      <c r="V262" s="888"/>
      <c r="W262" s="51"/>
      <c r="X262" s="1613">
        <f t="shared" si="24"/>
        <v>0</v>
      </c>
      <c r="Y262" s="1614">
        <f t="shared" si="25"/>
        <v>0</v>
      </c>
      <c r="Z262" s="43"/>
      <c r="AA262" s="1621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33" t="s">
        <v>615</v>
      </c>
      <c r="C263" s="1033"/>
      <c r="D263" s="1033"/>
      <c r="E263" s="1033"/>
      <c r="F263" s="1033"/>
      <c r="G263" s="1033"/>
      <c r="H263" s="1033"/>
      <c r="I263" s="1033"/>
      <c r="J263" s="1033"/>
      <c r="K263" s="1033"/>
      <c r="L263" s="90"/>
      <c r="M263" s="51" t="s">
        <v>265</v>
      </c>
      <c r="N263" s="113">
        <f t="shared" si="22"/>
        <v>7144</v>
      </c>
      <c r="O263" s="120"/>
      <c r="P263" s="888"/>
      <c r="Q263" s="51"/>
      <c r="R263" s="581"/>
      <c r="S263" s="891"/>
      <c r="T263" s="51"/>
      <c r="U263" s="120"/>
      <c r="V263" s="888"/>
      <c r="W263" s="51"/>
      <c r="X263" s="1613">
        <f t="shared" si="24"/>
        <v>0</v>
      </c>
      <c r="Y263" s="1614">
        <f t="shared" si="25"/>
        <v>0</v>
      </c>
      <c r="Z263" s="43"/>
      <c r="AA263" s="1621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33" t="s">
        <v>616</v>
      </c>
      <c r="C264" s="1033"/>
      <c r="D264" s="1033"/>
      <c r="E264" s="1033"/>
      <c r="F264" s="1033"/>
      <c r="G264" s="1033"/>
      <c r="H264" s="1033"/>
      <c r="I264" s="1033"/>
      <c r="J264" s="1033"/>
      <c r="K264" s="1033"/>
      <c r="L264" s="90"/>
      <c r="M264" s="51" t="s">
        <v>265</v>
      </c>
      <c r="N264" s="113">
        <f t="shared" si="22"/>
        <v>7145</v>
      </c>
      <c r="O264" s="120"/>
      <c r="P264" s="888"/>
      <c r="Q264" s="51"/>
      <c r="R264" s="581"/>
      <c r="S264" s="891"/>
      <c r="T264" s="51"/>
      <c r="U264" s="120"/>
      <c r="V264" s="888"/>
      <c r="W264" s="51"/>
      <c r="X264" s="1613">
        <f t="shared" si="24"/>
        <v>0</v>
      </c>
      <c r="Y264" s="1614">
        <f t="shared" si="25"/>
        <v>0</v>
      </c>
      <c r="Z264" s="43"/>
      <c r="AA264" s="1621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33" t="s">
        <v>617</v>
      </c>
      <c r="C265" s="1033"/>
      <c r="D265" s="1033"/>
      <c r="E265" s="1033"/>
      <c r="F265" s="1033"/>
      <c r="G265" s="1033"/>
      <c r="H265" s="1033"/>
      <c r="I265" s="1033"/>
      <c r="J265" s="1033"/>
      <c r="K265" s="1033"/>
      <c r="L265" s="90"/>
      <c r="M265" s="51" t="s">
        <v>265</v>
      </c>
      <c r="N265" s="113">
        <f t="shared" si="22"/>
        <v>7146</v>
      </c>
      <c r="O265" s="120"/>
      <c r="P265" s="888"/>
      <c r="Q265" s="51"/>
      <c r="R265" s="581"/>
      <c r="S265" s="891"/>
      <c r="T265" s="51"/>
      <c r="U265" s="120"/>
      <c r="V265" s="888"/>
      <c r="W265" s="51"/>
      <c r="X265" s="1613">
        <f t="shared" si="24"/>
        <v>0</v>
      </c>
      <c r="Y265" s="1614">
        <f t="shared" si="25"/>
        <v>0</v>
      </c>
      <c r="Z265" s="43"/>
      <c r="AA265" s="1621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33" t="s">
        <v>618</v>
      </c>
      <c r="C266" s="1033"/>
      <c r="D266" s="1033"/>
      <c r="E266" s="1033"/>
      <c r="F266" s="1033"/>
      <c r="G266" s="1033"/>
      <c r="H266" s="1033"/>
      <c r="I266" s="1033"/>
      <c r="J266" s="1033"/>
      <c r="K266" s="1033"/>
      <c r="L266" s="90"/>
      <c r="M266" s="51" t="s">
        <v>265</v>
      </c>
      <c r="N266" s="113">
        <f t="shared" si="22"/>
        <v>7147</v>
      </c>
      <c r="O266" s="120"/>
      <c r="P266" s="888"/>
      <c r="Q266" s="51"/>
      <c r="R266" s="581"/>
      <c r="S266" s="891"/>
      <c r="T266" s="51"/>
      <c r="U266" s="120"/>
      <c r="V266" s="888"/>
      <c r="W266" s="51"/>
      <c r="X266" s="1613">
        <f t="shared" si="24"/>
        <v>0</v>
      </c>
      <c r="Y266" s="1614">
        <f t="shared" si="25"/>
        <v>0</v>
      </c>
      <c r="Z266" s="43"/>
      <c r="AA266" s="1621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33" t="s">
        <v>619</v>
      </c>
      <c r="C267" s="1033"/>
      <c r="D267" s="1033"/>
      <c r="E267" s="1033"/>
      <c r="F267" s="1033"/>
      <c r="G267" s="1033"/>
      <c r="H267" s="1033"/>
      <c r="I267" s="1033"/>
      <c r="J267" s="1033"/>
      <c r="K267" s="1033"/>
      <c r="L267" s="90"/>
      <c r="M267" s="51" t="s">
        <v>265</v>
      </c>
      <c r="N267" s="113">
        <f t="shared" si="22"/>
        <v>7149</v>
      </c>
      <c r="O267" s="120"/>
      <c r="P267" s="888"/>
      <c r="Q267" s="51"/>
      <c r="R267" s="581"/>
      <c r="S267" s="891"/>
      <c r="T267" s="51"/>
      <c r="U267" s="120"/>
      <c r="V267" s="888"/>
      <c r="W267" s="51"/>
      <c r="X267" s="1613">
        <f t="shared" si="24"/>
        <v>0</v>
      </c>
      <c r="Y267" s="1614">
        <f t="shared" si="25"/>
        <v>0</v>
      </c>
      <c r="Z267" s="43"/>
      <c r="AA267" s="1621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33" t="s">
        <v>620</v>
      </c>
      <c r="C268" s="1033"/>
      <c r="D268" s="1033"/>
      <c r="E268" s="1033"/>
      <c r="F268" s="1033"/>
      <c r="G268" s="1033"/>
      <c r="H268" s="1033"/>
      <c r="I268" s="1033"/>
      <c r="J268" s="1033"/>
      <c r="K268" s="1033"/>
      <c r="L268" s="90"/>
      <c r="M268" s="51" t="s">
        <v>265</v>
      </c>
      <c r="N268" s="113">
        <f t="shared" si="22"/>
        <v>7151</v>
      </c>
      <c r="O268" s="120"/>
      <c r="P268" s="888"/>
      <c r="Q268" s="51"/>
      <c r="R268" s="581"/>
      <c r="S268" s="891"/>
      <c r="T268" s="51"/>
      <c r="U268" s="120"/>
      <c r="V268" s="888"/>
      <c r="W268" s="51"/>
      <c r="X268" s="1613">
        <f t="shared" si="24"/>
        <v>0</v>
      </c>
      <c r="Y268" s="1614">
        <f t="shared" si="25"/>
        <v>0</v>
      </c>
      <c r="Z268" s="43"/>
      <c r="AA268" s="1621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33" t="s">
        <v>621</v>
      </c>
      <c r="C269" s="1033"/>
      <c r="D269" s="1033"/>
      <c r="E269" s="1033"/>
      <c r="F269" s="1033"/>
      <c r="G269" s="1033"/>
      <c r="H269" s="1033"/>
      <c r="I269" s="1033"/>
      <c r="J269" s="1033"/>
      <c r="K269" s="1033"/>
      <c r="L269" s="90"/>
      <c r="M269" s="51" t="s">
        <v>265</v>
      </c>
      <c r="N269" s="113">
        <f t="shared" si="22"/>
        <v>7159</v>
      </c>
      <c r="O269" s="120"/>
      <c r="P269" s="888"/>
      <c r="Q269" s="51"/>
      <c r="R269" s="581"/>
      <c r="S269" s="891"/>
      <c r="T269" s="51"/>
      <c r="U269" s="120"/>
      <c r="V269" s="888"/>
      <c r="W269" s="51"/>
      <c r="X269" s="1613">
        <f t="shared" si="24"/>
        <v>0</v>
      </c>
      <c r="Y269" s="1614">
        <f t="shared" si="25"/>
        <v>0</v>
      </c>
      <c r="Z269" s="43"/>
      <c r="AA269" s="1621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33" t="s">
        <v>622</v>
      </c>
      <c r="C270" s="1033"/>
      <c r="D270" s="1033"/>
      <c r="E270" s="1033"/>
      <c r="F270" s="1033"/>
      <c r="G270" s="1033"/>
      <c r="H270" s="1033"/>
      <c r="I270" s="1033"/>
      <c r="J270" s="1033"/>
      <c r="K270" s="1033"/>
      <c r="L270" s="90"/>
      <c r="M270" s="51" t="s">
        <v>265</v>
      </c>
      <c r="N270" s="113">
        <f t="shared" si="22"/>
        <v>7161</v>
      </c>
      <c r="O270" s="120"/>
      <c r="P270" s="888"/>
      <c r="Q270" s="51"/>
      <c r="R270" s="581"/>
      <c r="S270" s="891"/>
      <c r="T270" s="51"/>
      <c r="U270" s="120"/>
      <c r="V270" s="888"/>
      <c r="W270" s="51"/>
      <c r="X270" s="1613">
        <f t="shared" si="24"/>
        <v>0</v>
      </c>
      <c r="Y270" s="1614">
        <f t="shared" si="25"/>
        <v>0</v>
      </c>
      <c r="Z270" s="43"/>
      <c r="AA270" s="1621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33" t="s">
        <v>623</v>
      </c>
      <c r="C271" s="1033"/>
      <c r="D271" s="1033"/>
      <c r="E271" s="1033"/>
      <c r="F271" s="1033"/>
      <c r="G271" s="1033"/>
      <c r="H271" s="1033"/>
      <c r="I271" s="1033"/>
      <c r="J271" s="1033"/>
      <c r="K271" s="1033"/>
      <c r="L271" s="90"/>
      <c r="M271" s="51" t="s">
        <v>265</v>
      </c>
      <c r="N271" s="113">
        <f t="shared" si="22"/>
        <v>7162</v>
      </c>
      <c r="O271" s="120"/>
      <c r="P271" s="888"/>
      <c r="Q271" s="51"/>
      <c r="R271" s="581"/>
      <c r="S271" s="891"/>
      <c r="T271" s="51"/>
      <c r="U271" s="120"/>
      <c r="V271" s="888"/>
      <c r="W271" s="51"/>
      <c r="X271" s="1613">
        <f t="shared" si="24"/>
        <v>0</v>
      </c>
      <c r="Y271" s="1614">
        <f t="shared" si="25"/>
        <v>0</v>
      </c>
      <c r="Z271" s="43"/>
      <c r="AA271" s="1621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33" t="s">
        <v>624</v>
      </c>
      <c r="C272" s="1033"/>
      <c r="D272" s="1033"/>
      <c r="E272" s="1033"/>
      <c r="F272" s="1033"/>
      <c r="G272" s="1033"/>
      <c r="H272" s="1033"/>
      <c r="I272" s="1033"/>
      <c r="J272" s="1033"/>
      <c r="K272" s="1033"/>
      <c r="L272" s="90"/>
      <c r="M272" s="51" t="s">
        <v>265</v>
      </c>
      <c r="N272" s="113">
        <f t="shared" si="22"/>
        <v>7163</v>
      </c>
      <c r="O272" s="120"/>
      <c r="P272" s="888"/>
      <c r="Q272" s="51"/>
      <c r="R272" s="581"/>
      <c r="S272" s="891"/>
      <c r="T272" s="51"/>
      <c r="U272" s="120"/>
      <c r="V272" s="888"/>
      <c r="W272" s="51"/>
      <c r="X272" s="1613">
        <f t="shared" si="24"/>
        <v>0</v>
      </c>
      <c r="Y272" s="1614">
        <f t="shared" si="25"/>
        <v>0</v>
      </c>
      <c r="Z272" s="43"/>
      <c r="AA272" s="1621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85">
        <v>7170</v>
      </c>
      <c r="B273" s="1187" t="s">
        <v>625</v>
      </c>
      <c r="C273" s="2309"/>
      <c r="D273" s="2309"/>
      <c r="E273" s="2309"/>
      <c r="F273" s="2309"/>
      <c r="G273" s="2309"/>
      <c r="H273" s="2309"/>
      <c r="I273" s="2309"/>
      <c r="J273" s="2309"/>
      <c r="K273" s="2309"/>
      <c r="L273" s="2310"/>
      <c r="M273" s="51" t="s">
        <v>265</v>
      </c>
      <c r="N273" s="611">
        <f t="shared" si="22"/>
        <v>7170</v>
      </c>
      <c r="O273" s="2311"/>
      <c r="P273" s="2287"/>
      <c r="Q273" s="51"/>
      <c r="R273" s="10">
        <v>0</v>
      </c>
      <c r="S273" s="889">
        <v>0</v>
      </c>
      <c r="T273" s="51"/>
      <c r="U273" s="10">
        <v>0</v>
      </c>
      <c r="V273" s="889">
        <v>0</v>
      </c>
      <c r="W273" s="51"/>
      <c r="X273" s="1610">
        <f>+IF($C$8=9900,+ROUND(+O273+R273+U273,2),0)</f>
        <v>0</v>
      </c>
      <c r="Y273" s="828">
        <f>+IF($C$8=9900,+ROUND(+P273+S273+V273,2),0)</f>
        <v>0</v>
      </c>
      <c r="Z273" s="43"/>
      <c r="AA273" s="1621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33" t="s">
        <v>626</v>
      </c>
      <c r="C274" s="1033"/>
      <c r="D274" s="1033"/>
      <c r="E274" s="1033"/>
      <c r="F274" s="1033"/>
      <c r="G274" s="1033"/>
      <c r="H274" s="1033"/>
      <c r="I274" s="1033"/>
      <c r="J274" s="1033"/>
      <c r="K274" s="1033"/>
      <c r="L274" s="90"/>
      <c r="M274" s="51" t="s">
        <v>265</v>
      </c>
      <c r="N274" s="113">
        <f t="shared" si="22"/>
        <v>7171</v>
      </c>
      <c r="O274" s="120">
        <v>0</v>
      </c>
      <c r="P274" s="888">
        <v>105529.04</v>
      </c>
      <c r="Q274" s="51"/>
      <c r="R274" s="581"/>
      <c r="S274" s="891"/>
      <c r="T274" s="51"/>
      <c r="U274" s="120"/>
      <c r="V274" s="888"/>
      <c r="W274" s="51"/>
      <c r="X274" s="1613">
        <f t="shared" si="24"/>
        <v>0</v>
      </c>
      <c r="Y274" s="1614">
        <f t="shared" si="25"/>
        <v>105529.04</v>
      </c>
      <c r="Z274" s="43"/>
      <c r="AA274" s="1621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33" t="s">
        <v>627</v>
      </c>
      <c r="C275" s="1033"/>
      <c r="D275" s="1033"/>
      <c r="E275" s="1033"/>
      <c r="F275" s="1033"/>
      <c r="G275" s="1033"/>
      <c r="H275" s="1033"/>
      <c r="I275" s="1033"/>
      <c r="J275" s="1033"/>
      <c r="K275" s="1033"/>
      <c r="L275" s="90"/>
      <c r="M275" s="51" t="s">
        <v>265</v>
      </c>
      <c r="N275" s="113">
        <f t="shared" si="22"/>
        <v>7172</v>
      </c>
      <c r="O275" s="120"/>
      <c r="P275" s="888"/>
      <c r="Q275" s="51"/>
      <c r="R275" s="581"/>
      <c r="S275" s="891"/>
      <c r="T275" s="51"/>
      <c r="U275" s="120"/>
      <c r="V275" s="888"/>
      <c r="W275" s="51"/>
      <c r="X275" s="1613">
        <f t="shared" si="24"/>
        <v>0</v>
      </c>
      <c r="Y275" s="1614">
        <f t="shared" si="25"/>
        <v>0</v>
      </c>
      <c r="Z275" s="43"/>
      <c r="AA275" s="1621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35" t="s">
        <v>1169</v>
      </c>
      <c r="C276" s="1033"/>
      <c r="D276" s="1033"/>
      <c r="E276" s="1033"/>
      <c r="F276" s="1033"/>
      <c r="G276" s="1033"/>
      <c r="H276" s="1033"/>
      <c r="I276" s="1033"/>
      <c r="J276" s="1033"/>
      <c r="K276" s="1033"/>
      <c r="L276" s="90"/>
      <c r="M276" s="51" t="s">
        <v>265</v>
      </c>
      <c r="N276" s="113">
        <f t="shared" si="22"/>
        <v>7173</v>
      </c>
      <c r="O276" s="120"/>
      <c r="P276" s="888"/>
      <c r="Q276" s="51"/>
      <c r="R276" s="581"/>
      <c r="S276" s="891"/>
      <c r="T276" s="51"/>
      <c r="U276" s="120"/>
      <c r="V276" s="888"/>
      <c r="W276" s="51"/>
      <c r="X276" s="1613">
        <f t="shared" si="24"/>
        <v>0</v>
      </c>
      <c r="Y276" s="1614">
        <f t="shared" si="25"/>
        <v>0</v>
      </c>
      <c r="Z276" s="43"/>
      <c r="AA276" s="1621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35" t="s">
        <v>1170</v>
      </c>
      <c r="C277" s="1033"/>
      <c r="D277" s="1033"/>
      <c r="E277" s="1033"/>
      <c r="F277" s="1033"/>
      <c r="G277" s="1033"/>
      <c r="H277" s="1033"/>
      <c r="I277" s="1033"/>
      <c r="J277" s="1033"/>
      <c r="K277" s="1033"/>
      <c r="L277" s="90"/>
      <c r="M277" s="51" t="s">
        <v>265</v>
      </c>
      <c r="N277" s="113">
        <f t="shared" si="22"/>
        <v>7174</v>
      </c>
      <c r="O277" s="120"/>
      <c r="P277" s="888"/>
      <c r="Q277" s="51"/>
      <c r="R277" s="581"/>
      <c r="S277" s="891"/>
      <c r="T277" s="51"/>
      <c r="U277" s="120"/>
      <c r="V277" s="888"/>
      <c r="W277" s="51"/>
      <c r="X277" s="1613">
        <f t="shared" si="24"/>
        <v>0</v>
      </c>
      <c r="Y277" s="1614">
        <f t="shared" si="25"/>
        <v>0</v>
      </c>
      <c r="Z277" s="43"/>
      <c r="AA277" s="1621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35" t="s">
        <v>628</v>
      </c>
      <c r="C278" s="1033"/>
      <c r="D278" s="1033"/>
      <c r="E278" s="1033"/>
      <c r="F278" s="1033"/>
      <c r="G278" s="1033"/>
      <c r="H278" s="1033"/>
      <c r="I278" s="1033"/>
      <c r="J278" s="1033"/>
      <c r="K278" s="1033"/>
      <c r="L278" s="90"/>
      <c r="M278" s="51" t="s">
        <v>265</v>
      </c>
      <c r="N278" s="113">
        <f t="shared" si="22"/>
        <v>7175</v>
      </c>
      <c r="O278" s="120"/>
      <c r="P278" s="888"/>
      <c r="Q278" s="51"/>
      <c r="R278" s="581"/>
      <c r="S278" s="891"/>
      <c r="T278" s="51"/>
      <c r="U278" s="120"/>
      <c r="V278" s="888"/>
      <c r="W278" s="51"/>
      <c r="X278" s="1613">
        <f t="shared" si="24"/>
        <v>0</v>
      </c>
      <c r="Y278" s="1614">
        <f t="shared" si="25"/>
        <v>0</v>
      </c>
      <c r="Z278" s="43"/>
      <c r="AA278" s="1621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35" t="s">
        <v>629</v>
      </c>
      <c r="C279" s="1033"/>
      <c r="D279" s="1033"/>
      <c r="E279" s="1033"/>
      <c r="F279" s="1033"/>
      <c r="G279" s="1033"/>
      <c r="H279" s="1033"/>
      <c r="I279" s="1033"/>
      <c r="J279" s="1033"/>
      <c r="K279" s="1033"/>
      <c r="L279" s="90"/>
      <c r="M279" s="51" t="s">
        <v>265</v>
      </c>
      <c r="N279" s="113">
        <f t="shared" si="22"/>
        <v>7176</v>
      </c>
      <c r="O279" s="120"/>
      <c r="P279" s="888"/>
      <c r="Q279" s="51"/>
      <c r="R279" s="581"/>
      <c r="S279" s="891"/>
      <c r="T279" s="51"/>
      <c r="U279" s="120"/>
      <c r="V279" s="888"/>
      <c r="W279" s="51"/>
      <c r="X279" s="1613">
        <f t="shared" si="24"/>
        <v>0</v>
      </c>
      <c r="Y279" s="1614">
        <f t="shared" si="25"/>
        <v>0</v>
      </c>
      <c r="Z279" s="43"/>
      <c r="AA279" s="1621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35" t="s">
        <v>1171</v>
      </c>
      <c r="C280" s="1033"/>
      <c r="D280" s="1033"/>
      <c r="E280" s="1033"/>
      <c r="F280" s="1033"/>
      <c r="G280" s="1033"/>
      <c r="H280" s="1033"/>
      <c r="I280" s="1033"/>
      <c r="J280" s="1033"/>
      <c r="K280" s="1033"/>
      <c r="L280" s="90"/>
      <c r="M280" s="51" t="s">
        <v>265</v>
      </c>
      <c r="N280" s="113">
        <f t="shared" si="22"/>
        <v>7177</v>
      </c>
      <c r="O280" s="120"/>
      <c r="P280" s="888"/>
      <c r="Q280" s="51"/>
      <c r="R280" s="581"/>
      <c r="S280" s="891"/>
      <c r="T280" s="51"/>
      <c r="U280" s="120"/>
      <c r="V280" s="888"/>
      <c r="W280" s="51"/>
      <c r="X280" s="1613">
        <f t="shared" si="24"/>
        <v>0</v>
      </c>
      <c r="Y280" s="1614">
        <f t="shared" si="25"/>
        <v>0</v>
      </c>
      <c r="Z280" s="43"/>
      <c r="AA280" s="1621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35" t="s">
        <v>1172</v>
      </c>
      <c r="C281" s="1033"/>
      <c r="D281" s="1033"/>
      <c r="E281" s="1033"/>
      <c r="F281" s="1033"/>
      <c r="G281" s="1033"/>
      <c r="H281" s="1033"/>
      <c r="I281" s="1033"/>
      <c r="J281" s="1033"/>
      <c r="K281" s="1033"/>
      <c r="L281" s="90"/>
      <c r="M281" s="51" t="s">
        <v>265</v>
      </c>
      <c r="N281" s="113">
        <f t="shared" si="22"/>
        <v>7178</v>
      </c>
      <c r="O281" s="120"/>
      <c r="P281" s="888"/>
      <c r="Q281" s="51"/>
      <c r="R281" s="581"/>
      <c r="S281" s="891"/>
      <c r="T281" s="51"/>
      <c r="U281" s="120"/>
      <c r="V281" s="888"/>
      <c r="W281" s="51"/>
      <c r="X281" s="1613">
        <f t="shared" si="24"/>
        <v>0</v>
      </c>
      <c r="Y281" s="1614">
        <f t="shared" si="25"/>
        <v>0</v>
      </c>
      <c r="Z281" s="43"/>
      <c r="AA281" s="1621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630</v>
      </c>
      <c r="C282" s="1033"/>
      <c r="D282" s="1033"/>
      <c r="E282" s="1033"/>
      <c r="F282" s="1033"/>
      <c r="G282" s="1033"/>
      <c r="H282" s="1033"/>
      <c r="I282" s="1033"/>
      <c r="J282" s="1033"/>
      <c r="K282" s="1033"/>
      <c r="L282" s="90"/>
      <c r="M282" s="51" t="s">
        <v>265</v>
      </c>
      <c r="N282" s="113">
        <f t="shared" si="22"/>
        <v>7179</v>
      </c>
      <c r="O282" s="120"/>
      <c r="P282" s="888"/>
      <c r="Q282" s="51"/>
      <c r="R282" s="581"/>
      <c r="S282" s="891"/>
      <c r="T282" s="51"/>
      <c r="U282" s="120"/>
      <c r="V282" s="888"/>
      <c r="W282" s="51"/>
      <c r="X282" s="1613">
        <f t="shared" si="24"/>
        <v>0</v>
      </c>
      <c r="Y282" s="1614">
        <f t="shared" si="25"/>
        <v>0</v>
      </c>
      <c r="Z282" s="43"/>
      <c r="AA282" s="1621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631</v>
      </c>
      <c r="C283" s="1033"/>
      <c r="D283" s="1033"/>
      <c r="E283" s="1033"/>
      <c r="F283" s="1033"/>
      <c r="G283" s="1033"/>
      <c r="H283" s="1033"/>
      <c r="I283" s="1033"/>
      <c r="J283" s="1033"/>
      <c r="K283" s="1033"/>
      <c r="L283" s="90"/>
      <c r="M283" s="51" t="s">
        <v>265</v>
      </c>
      <c r="N283" s="113">
        <f>+A283</f>
        <v>7180</v>
      </c>
      <c r="O283" s="120"/>
      <c r="P283" s="888"/>
      <c r="Q283" s="51"/>
      <c r="R283" s="581"/>
      <c r="S283" s="891"/>
      <c r="T283" s="51"/>
      <c r="U283" s="120"/>
      <c r="V283" s="888"/>
      <c r="W283" s="51"/>
      <c r="X283" s="1613">
        <f t="shared" si="24"/>
        <v>0</v>
      </c>
      <c r="Y283" s="1614">
        <f t="shared" si="25"/>
        <v>0</v>
      </c>
      <c r="Z283" s="43"/>
      <c r="AA283" s="1621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33" t="s">
        <v>632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90"/>
      <c r="M284" s="51" t="s">
        <v>265</v>
      </c>
      <c r="N284" s="113">
        <f t="shared" si="22"/>
        <v>7181</v>
      </c>
      <c r="O284" s="120">
        <v>0</v>
      </c>
      <c r="P284" s="888">
        <v>14380.86</v>
      </c>
      <c r="Q284" s="51"/>
      <c r="R284" s="581"/>
      <c r="S284" s="891"/>
      <c r="T284" s="51"/>
      <c r="U284" s="120"/>
      <c r="V284" s="888"/>
      <c r="W284" s="51"/>
      <c r="X284" s="1613">
        <f t="shared" si="24"/>
        <v>0</v>
      </c>
      <c r="Y284" s="1614">
        <f t="shared" si="25"/>
        <v>14380.86</v>
      </c>
      <c r="Z284" s="43"/>
      <c r="AA284" s="1621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78" t="s">
        <v>633</v>
      </c>
      <c r="C285" s="1033"/>
      <c r="D285" s="1033"/>
      <c r="E285" s="1033"/>
      <c r="F285" s="1033"/>
      <c r="G285" s="1033"/>
      <c r="H285" s="1033"/>
      <c r="I285" s="1033"/>
      <c r="J285" s="1033"/>
      <c r="K285" s="1033"/>
      <c r="L285" s="90"/>
      <c r="M285" s="51" t="s">
        <v>265</v>
      </c>
      <c r="N285" s="113">
        <f t="shared" si="22"/>
        <v>7182</v>
      </c>
      <c r="O285" s="120"/>
      <c r="P285" s="888"/>
      <c r="Q285" s="51"/>
      <c r="R285" s="581"/>
      <c r="S285" s="891"/>
      <c r="T285" s="51"/>
      <c r="U285" s="120"/>
      <c r="V285" s="888"/>
      <c r="W285" s="51"/>
      <c r="X285" s="1613">
        <f t="shared" si="24"/>
        <v>0</v>
      </c>
      <c r="Y285" s="1614">
        <f t="shared" si="25"/>
        <v>0</v>
      </c>
      <c r="Z285" s="43"/>
      <c r="AA285" s="1621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33" t="s">
        <v>634</v>
      </c>
      <c r="C286" s="1033"/>
      <c r="D286" s="1033"/>
      <c r="E286" s="1033"/>
      <c r="F286" s="1033"/>
      <c r="G286" s="1033"/>
      <c r="H286" s="1033"/>
      <c r="I286" s="1033"/>
      <c r="J286" s="1033"/>
      <c r="K286" s="1033"/>
      <c r="L286" s="90"/>
      <c r="M286" s="51" t="s">
        <v>265</v>
      </c>
      <c r="N286" s="113">
        <f t="shared" si="22"/>
        <v>7189</v>
      </c>
      <c r="O286" s="120"/>
      <c r="P286" s="888"/>
      <c r="Q286" s="51"/>
      <c r="R286" s="581"/>
      <c r="S286" s="891"/>
      <c r="T286" s="51"/>
      <c r="U286" s="120"/>
      <c r="V286" s="888"/>
      <c r="W286" s="51"/>
      <c r="X286" s="1613">
        <f t="shared" si="24"/>
        <v>0</v>
      </c>
      <c r="Y286" s="1614">
        <f t="shared" si="25"/>
        <v>0</v>
      </c>
      <c r="Z286" s="43"/>
      <c r="AA286" s="1621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32" t="s">
        <v>635</v>
      </c>
      <c r="C287" s="1033"/>
      <c r="D287" s="1033"/>
      <c r="E287" s="1033"/>
      <c r="F287" s="1033"/>
      <c r="G287" s="1033"/>
      <c r="H287" s="1033"/>
      <c r="I287" s="1033"/>
      <c r="J287" s="1033"/>
      <c r="K287" s="1033"/>
      <c r="L287" s="90"/>
      <c r="M287" s="51" t="s">
        <v>265</v>
      </c>
      <c r="N287" s="113">
        <f>+A287</f>
        <v>7190</v>
      </c>
      <c r="O287" s="120">
        <v>211.99</v>
      </c>
      <c r="P287" s="888">
        <v>0</v>
      </c>
      <c r="Q287" s="51"/>
      <c r="R287" s="581"/>
      <c r="S287" s="891"/>
      <c r="T287" s="51"/>
      <c r="U287" s="120"/>
      <c r="V287" s="888"/>
      <c r="W287" s="51"/>
      <c r="X287" s="1613">
        <f t="shared" si="24"/>
        <v>211.99</v>
      </c>
      <c r="Y287" s="1614">
        <f t="shared" si="25"/>
        <v>0</v>
      </c>
      <c r="Z287" s="43"/>
      <c r="AA287" s="1621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32" t="s">
        <v>636</v>
      </c>
      <c r="C288" s="1033"/>
      <c r="D288" s="1033"/>
      <c r="E288" s="1033"/>
      <c r="F288" s="1033"/>
      <c r="G288" s="1033"/>
      <c r="H288" s="1033"/>
      <c r="I288" s="1033"/>
      <c r="J288" s="1033"/>
      <c r="K288" s="1033"/>
      <c r="L288" s="90"/>
      <c r="M288" s="51" t="s">
        <v>265</v>
      </c>
      <c r="N288" s="113">
        <f t="shared" si="22"/>
        <v>7191</v>
      </c>
      <c r="O288" s="120"/>
      <c r="P288" s="888"/>
      <c r="Q288" s="51"/>
      <c r="R288" s="581"/>
      <c r="S288" s="891"/>
      <c r="T288" s="51"/>
      <c r="U288" s="120"/>
      <c r="V288" s="888"/>
      <c r="W288" s="51"/>
      <c r="X288" s="1613">
        <f t="shared" si="24"/>
        <v>0</v>
      </c>
      <c r="Y288" s="1614">
        <f t="shared" si="25"/>
        <v>0</v>
      </c>
      <c r="Z288" s="43"/>
      <c r="AA288" s="1621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32" t="s">
        <v>637</v>
      </c>
      <c r="C289" s="1033"/>
      <c r="D289" s="1033"/>
      <c r="E289" s="1033"/>
      <c r="F289" s="1033"/>
      <c r="G289" s="1033"/>
      <c r="H289" s="1033"/>
      <c r="I289" s="1033"/>
      <c r="J289" s="1033"/>
      <c r="K289" s="1033"/>
      <c r="L289" s="90"/>
      <c r="M289" s="51" t="s">
        <v>265</v>
      </c>
      <c r="N289" s="113">
        <f t="shared" si="22"/>
        <v>7192</v>
      </c>
      <c r="O289" s="120"/>
      <c r="P289" s="888"/>
      <c r="Q289" s="51"/>
      <c r="R289" s="581"/>
      <c r="S289" s="891"/>
      <c r="T289" s="51"/>
      <c r="U289" s="120"/>
      <c r="V289" s="888"/>
      <c r="W289" s="51"/>
      <c r="X289" s="1613">
        <f t="shared" si="24"/>
        <v>0</v>
      </c>
      <c r="Y289" s="1614">
        <f t="shared" si="25"/>
        <v>0</v>
      </c>
      <c r="Z289" s="43"/>
      <c r="AA289" s="1621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32" t="s">
        <v>638</v>
      </c>
      <c r="C290" s="1033"/>
      <c r="D290" s="1033"/>
      <c r="E290" s="1033"/>
      <c r="F290" s="1033"/>
      <c r="G290" s="1033"/>
      <c r="H290" s="1033"/>
      <c r="I290" s="1033"/>
      <c r="J290" s="1033"/>
      <c r="K290" s="1033"/>
      <c r="L290" s="90"/>
      <c r="M290" s="51" t="s">
        <v>265</v>
      </c>
      <c r="N290" s="113">
        <f>+A290</f>
        <v>7198</v>
      </c>
      <c r="O290" s="120"/>
      <c r="P290" s="888"/>
      <c r="Q290" s="51"/>
      <c r="R290" s="581"/>
      <c r="S290" s="891"/>
      <c r="T290" s="51"/>
      <c r="U290" s="120"/>
      <c r="V290" s="888"/>
      <c r="W290" s="51"/>
      <c r="X290" s="1613">
        <f t="shared" si="24"/>
        <v>0</v>
      </c>
      <c r="Y290" s="1614">
        <f t="shared" si="25"/>
        <v>0</v>
      </c>
      <c r="Z290" s="43"/>
      <c r="AA290" s="1621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32" t="s">
        <v>639</v>
      </c>
      <c r="C291" s="1033"/>
      <c r="D291" s="1033"/>
      <c r="E291" s="1033"/>
      <c r="F291" s="1033"/>
      <c r="G291" s="1033"/>
      <c r="H291" s="1033"/>
      <c r="I291" s="1033"/>
      <c r="J291" s="1033"/>
      <c r="K291" s="1033"/>
      <c r="L291" s="90"/>
      <c r="M291" s="51" t="s">
        <v>265</v>
      </c>
      <c r="N291" s="113">
        <f t="shared" si="22"/>
        <v>7199</v>
      </c>
      <c r="O291" s="120">
        <v>0</v>
      </c>
      <c r="P291" s="888">
        <v>177704.95</v>
      </c>
      <c r="Q291" s="51"/>
      <c r="R291" s="581"/>
      <c r="S291" s="891"/>
      <c r="T291" s="51"/>
      <c r="U291" s="120"/>
      <c r="V291" s="888"/>
      <c r="W291" s="51"/>
      <c r="X291" s="1613">
        <f t="shared" si="24"/>
        <v>0</v>
      </c>
      <c r="Y291" s="1614">
        <f t="shared" si="25"/>
        <v>177704.95</v>
      </c>
      <c r="Z291" s="43"/>
      <c r="AA291" s="1621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33" t="s">
        <v>692</v>
      </c>
      <c r="C292" s="1033"/>
      <c r="D292" s="1033"/>
      <c r="E292" s="1033"/>
      <c r="F292" s="1033"/>
      <c r="G292" s="1033"/>
      <c r="H292" s="1033"/>
      <c r="I292" s="1033"/>
      <c r="J292" s="1033"/>
      <c r="K292" s="1033"/>
      <c r="L292" s="90"/>
      <c r="M292" s="51" t="s">
        <v>265</v>
      </c>
      <c r="N292" s="113">
        <f t="shared" si="22"/>
        <v>7200</v>
      </c>
      <c r="O292" s="120"/>
      <c r="P292" s="888"/>
      <c r="Q292" s="51"/>
      <c r="R292" s="581"/>
      <c r="S292" s="891"/>
      <c r="T292" s="51"/>
      <c r="U292" s="120"/>
      <c r="V292" s="888"/>
      <c r="W292" s="51"/>
      <c r="X292" s="1613">
        <f t="shared" si="24"/>
        <v>0</v>
      </c>
      <c r="Y292" s="1614">
        <f t="shared" si="25"/>
        <v>0</v>
      </c>
      <c r="Z292" s="43"/>
      <c r="AA292" s="1621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32" t="s">
        <v>640</v>
      </c>
      <c r="C293" s="1033"/>
      <c r="D293" s="1033"/>
      <c r="E293" s="1033"/>
      <c r="F293" s="1033"/>
      <c r="G293" s="1033"/>
      <c r="H293" s="1033"/>
      <c r="I293" s="1033"/>
      <c r="J293" s="1033"/>
      <c r="K293" s="1033"/>
      <c r="L293" s="90"/>
      <c r="M293" s="51" t="s">
        <v>265</v>
      </c>
      <c r="N293" s="113">
        <f t="shared" si="22"/>
        <v>7211</v>
      </c>
      <c r="O293" s="120"/>
      <c r="P293" s="888"/>
      <c r="Q293" s="51"/>
      <c r="R293" s="581"/>
      <c r="S293" s="891"/>
      <c r="T293" s="51"/>
      <c r="U293" s="120"/>
      <c r="V293" s="888"/>
      <c r="W293" s="51"/>
      <c r="X293" s="1613">
        <f t="shared" si="24"/>
        <v>0</v>
      </c>
      <c r="Y293" s="1614">
        <f t="shared" si="25"/>
        <v>0</v>
      </c>
      <c r="Z293" s="43"/>
      <c r="AA293" s="1621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32" t="s">
        <v>641</v>
      </c>
      <c r="C294" s="1033"/>
      <c r="D294" s="1033"/>
      <c r="E294" s="1033"/>
      <c r="F294" s="1033"/>
      <c r="G294" s="1033"/>
      <c r="H294" s="1033"/>
      <c r="I294" s="1033"/>
      <c r="J294" s="1033"/>
      <c r="K294" s="1033"/>
      <c r="L294" s="90"/>
      <c r="M294" s="51" t="s">
        <v>265</v>
      </c>
      <c r="N294" s="113">
        <f t="shared" si="22"/>
        <v>7212</v>
      </c>
      <c r="O294" s="120"/>
      <c r="P294" s="888"/>
      <c r="Q294" s="51"/>
      <c r="R294" s="581"/>
      <c r="S294" s="891"/>
      <c r="T294" s="51"/>
      <c r="U294" s="120"/>
      <c r="V294" s="888"/>
      <c r="W294" s="51"/>
      <c r="X294" s="1613">
        <f t="shared" si="24"/>
        <v>0</v>
      </c>
      <c r="Y294" s="1614">
        <f t="shared" si="25"/>
        <v>0</v>
      </c>
      <c r="Z294" s="43"/>
      <c r="AA294" s="1621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32" t="s">
        <v>642</v>
      </c>
      <c r="C295" s="1033"/>
      <c r="D295" s="1033"/>
      <c r="E295" s="1033"/>
      <c r="F295" s="1033"/>
      <c r="G295" s="1033"/>
      <c r="H295" s="1033"/>
      <c r="I295" s="1033"/>
      <c r="J295" s="1033"/>
      <c r="K295" s="1033"/>
      <c r="L295" s="90"/>
      <c r="M295" s="51" t="s">
        <v>265</v>
      </c>
      <c r="N295" s="113">
        <f t="shared" si="22"/>
        <v>7215</v>
      </c>
      <c r="O295" s="120"/>
      <c r="P295" s="888"/>
      <c r="Q295" s="51"/>
      <c r="R295" s="581"/>
      <c r="S295" s="891"/>
      <c r="T295" s="51"/>
      <c r="U295" s="120"/>
      <c r="V295" s="888"/>
      <c r="W295" s="51"/>
      <c r="X295" s="1613">
        <f t="shared" si="24"/>
        <v>0</v>
      </c>
      <c r="Y295" s="1614">
        <f t="shared" si="25"/>
        <v>0</v>
      </c>
      <c r="Z295" s="43"/>
      <c r="AA295" s="1621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32" t="s">
        <v>643</v>
      </c>
      <c r="C296" s="1033"/>
      <c r="D296" s="1033"/>
      <c r="E296" s="1033"/>
      <c r="F296" s="1033"/>
      <c r="G296" s="1033"/>
      <c r="H296" s="1033"/>
      <c r="I296" s="1033"/>
      <c r="J296" s="1033"/>
      <c r="K296" s="1033"/>
      <c r="L296" s="90"/>
      <c r="M296" s="51" t="s">
        <v>265</v>
      </c>
      <c r="N296" s="113">
        <f t="shared" si="22"/>
        <v>7216</v>
      </c>
      <c r="O296" s="120"/>
      <c r="P296" s="888"/>
      <c r="Q296" s="51"/>
      <c r="R296" s="581"/>
      <c r="S296" s="891"/>
      <c r="T296" s="51"/>
      <c r="U296" s="120"/>
      <c r="V296" s="888"/>
      <c r="W296" s="51"/>
      <c r="X296" s="1613">
        <f t="shared" si="24"/>
        <v>0</v>
      </c>
      <c r="Y296" s="1614">
        <f t="shared" si="25"/>
        <v>0</v>
      </c>
      <c r="Z296" s="43"/>
      <c r="AA296" s="1621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32" t="s">
        <v>644</v>
      </c>
      <c r="C297" s="1033"/>
      <c r="D297" s="1033"/>
      <c r="E297" s="1033"/>
      <c r="F297" s="1033"/>
      <c r="G297" s="1033"/>
      <c r="H297" s="1033"/>
      <c r="I297" s="1033"/>
      <c r="J297" s="1033"/>
      <c r="K297" s="1033"/>
      <c r="L297" s="90"/>
      <c r="M297" s="51" t="s">
        <v>265</v>
      </c>
      <c r="N297" s="113">
        <f t="shared" si="22"/>
        <v>7217</v>
      </c>
      <c r="O297" s="120"/>
      <c r="P297" s="888"/>
      <c r="Q297" s="51"/>
      <c r="R297" s="581"/>
      <c r="S297" s="891"/>
      <c r="T297" s="51"/>
      <c r="U297" s="120"/>
      <c r="V297" s="888"/>
      <c r="W297" s="51"/>
      <c r="X297" s="1613">
        <f t="shared" si="24"/>
        <v>0</v>
      </c>
      <c r="Y297" s="1614">
        <f t="shared" si="25"/>
        <v>0</v>
      </c>
      <c r="Z297" s="43"/>
      <c r="AA297" s="1621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32" t="s">
        <v>645</v>
      </c>
      <c r="C298" s="1033"/>
      <c r="D298" s="1033"/>
      <c r="E298" s="1033"/>
      <c r="F298" s="1033"/>
      <c r="G298" s="1033"/>
      <c r="H298" s="1033"/>
      <c r="I298" s="1033"/>
      <c r="J298" s="1033"/>
      <c r="K298" s="1033"/>
      <c r="L298" s="90"/>
      <c r="M298" s="51" t="s">
        <v>265</v>
      </c>
      <c r="N298" s="113">
        <f t="shared" si="22"/>
        <v>7218</v>
      </c>
      <c r="O298" s="120"/>
      <c r="P298" s="888"/>
      <c r="Q298" s="51"/>
      <c r="R298" s="581"/>
      <c r="S298" s="891"/>
      <c r="T298" s="51"/>
      <c r="U298" s="120"/>
      <c r="V298" s="888"/>
      <c r="W298" s="51"/>
      <c r="X298" s="1613">
        <f t="shared" si="24"/>
        <v>0</v>
      </c>
      <c r="Y298" s="1614">
        <f t="shared" si="25"/>
        <v>0</v>
      </c>
      <c r="Z298" s="43"/>
      <c r="AA298" s="1621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32" t="s">
        <v>646</v>
      </c>
      <c r="C299" s="1033"/>
      <c r="D299" s="1033"/>
      <c r="E299" s="1033"/>
      <c r="F299" s="1033"/>
      <c r="G299" s="1033"/>
      <c r="H299" s="1033"/>
      <c r="I299" s="1033"/>
      <c r="J299" s="1033"/>
      <c r="K299" s="1033"/>
      <c r="L299" s="90"/>
      <c r="M299" s="51" t="s">
        <v>265</v>
      </c>
      <c r="N299" s="113">
        <f t="shared" si="22"/>
        <v>7219</v>
      </c>
      <c r="O299" s="120"/>
      <c r="P299" s="888"/>
      <c r="Q299" s="51"/>
      <c r="R299" s="581"/>
      <c r="S299" s="891"/>
      <c r="T299" s="51"/>
      <c r="U299" s="120"/>
      <c r="V299" s="888"/>
      <c r="W299" s="51"/>
      <c r="X299" s="1613">
        <f t="shared" si="24"/>
        <v>0</v>
      </c>
      <c r="Y299" s="1614">
        <f t="shared" si="25"/>
        <v>0</v>
      </c>
      <c r="Z299" s="43"/>
      <c r="AA299" s="1621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85">
        <v>7220</v>
      </c>
      <c r="B300" s="2309" t="s">
        <v>647</v>
      </c>
      <c r="C300" s="2309"/>
      <c r="D300" s="2309"/>
      <c r="E300" s="2309"/>
      <c r="F300" s="2309"/>
      <c r="G300" s="2309"/>
      <c r="H300" s="2309"/>
      <c r="I300" s="2309"/>
      <c r="J300" s="2309"/>
      <c r="K300" s="2309"/>
      <c r="L300" s="2310"/>
      <c r="M300" s="51" t="s">
        <v>265</v>
      </c>
      <c r="N300" s="611">
        <f t="shared" si="22"/>
        <v>7220</v>
      </c>
      <c r="O300" s="2311"/>
      <c r="P300" s="2287"/>
      <c r="Q300" s="51"/>
      <c r="R300" s="10">
        <v>0</v>
      </c>
      <c r="S300" s="889">
        <v>0</v>
      </c>
      <c r="T300" s="51"/>
      <c r="U300" s="10">
        <v>0</v>
      </c>
      <c r="V300" s="889">
        <v>0</v>
      </c>
      <c r="W300" s="51"/>
      <c r="X300" s="1610">
        <f>+IF($C$8=9900,+ROUND(+O300+R300+U300,2),0)</f>
        <v>0</v>
      </c>
      <c r="Y300" s="828">
        <f>+IF($C$8=9900,+ROUND(+P300+S300+V300,2),0)</f>
        <v>0</v>
      </c>
      <c r="Z300" s="43"/>
      <c r="AA300" s="1621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33" t="s">
        <v>648</v>
      </c>
      <c r="C301" s="1033"/>
      <c r="D301" s="1033"/>
      <c r="E301" s="1033"/>
      <c r="F301" s="1033"/>
      <c r="G301" s="1033"/>
      <c r="H301" s="1033"/>
      <c r="I301" s="1033"/>
      <c r="J301" s="1033"/>
      <c r="K301" s="1033"/>
      <c r="L301" s="90"/>
      <c r="M301" s="51" t="s">
        <v>265</v>
      </c>
      <c r="N301" s="113">
        <f t="shared" si="22"/>
        <v>7221</v>
      </c>
      <c r="O301" s="120"/>
      <c r="P301" s="888"/>
      <c r="Q301" s="51"/>
      <c r="R301" s="120"/>
      <c r="S301" s="888"/>
      <c r="T301" s="51"/>
      <c r="U301" s="120"/>
      <c r="V301" s="888"/>
      <c r="W301" s="51"/>
      <c r="X301" s="1613">
        <f t="shared" ref="X301:X364" si="27">+ROUND(+O301+R301+U301,2)</f>
        <v>0</v>
      </c>
      <c r="Y301" s="1614">
        <f t="shared" si="25"/>
        <v>0</v>
      </c>
      <c r="Z301" s="43"/>
      <c r="AA301" s="1621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33" t="s">
        <v>649</v>
      </c>
      <c r="C302" s="1033"/>
      <c r="D302" s="1033"/>
      <c r="E302" s="1033"/>
      <c r="F302" s="1033"/>
      <c r="G302" s="1033"/>
      <c r="H302" s="1033"/>
      <c r="I302" s="1033"/>
      <c r="J302" s="1033"/>
      <c r="K302" s="1033"/>
      <c r="L302" s="90"/>
      <c r="M302" s="51" t="s">
        <v>265</v>
      </c>
      <c r="N302" s="113">
        <f t="shared" si="22"/>
        <v>7222</v>
      </c>
      <c r="O302" s="120"/>
      <c r="P302" s="888"/>
      <c r="Q302" s="51"/>
      <c r="R302" s="120"/>
      <c r="S302" s="888"/>
      <c r="T302" s="51"/>
      <c r="U302" s="120"/>
      <c r="V302" s="888"/>
      <c r="W302" s="51"/>
      <c r="X302" s="1613">
        <f t="shared" si="27"/>
        <v>0</v>
      </c>
      <c r="Y302" s="1614">
        <f t="shared" si="25"/>
        <v>0</v>
      </c>
      <c r="Z302" s="43"/>
      <c r="AA302" s="1621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33" t="s">
        <v>650</v>
      </c>
      <c r="C303" s="1033"/>
      <c r="D303" s="1033"/>
      <c r="E303" s="1033"/>
      <c r="F303" s="1033"/>
      <c r="G303" s="1033"/>
      <c r="H303" s="1033"/>
      <c r="I303" s="1033"/>
      <c r="J303" s="1033"/>
      <c r="K303" s="1033"/>
      <c r="L303" s="90"/>
      <c r="M303" s="51" t="s">
        <v>265</v>
      </c>
      <c r="N303" s="113">
        <f t="shared" si="22"/>
        <v>7223</v>
      </c>
      <c r="O303" s="120"/>
      <c r="P303" s="888"/>
      <c r="Q303" s="51"/>
      <c r="R303" s="120"/>
      <c r="S303" s="888"/>
      <c r="T303" s="51"/>
      <c r="U303" s="120"/>
      <c r="V303" s="888"/>
      <c r="W303" s="51"/>
      <c r="X303" s="1613">
        <f t="shared" si="27"/>
        <v>0</v>
      </c>
      <c r="Y303" s="1614">
        <f t="shared" si="25"/>
        <v>0</v>
      </c>
      <c r="Z303" s="43"/>
      <c r="AA303" s="1621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33" t="s">
        <v>651</v>
      </c>
      <c r="C304" s="1033"/>
      <c r="D304" s="1033"/>
      <c r="E304" s="1033"/>
      <c r="F304" s="1033"/>
      <c r="G304" s="1033"/>
      <c r="H304" s="1033"/>
      <c r="I304" s="1033"/>
      <c r="J304" s="1033"/>
      <c r="K304" s="1033"/>
      <c r="L304" s="90"/>
      <c r="M304" s="51" t="s">
        <v>265</v>
      </c>
      <c r="N304" s="113">
        <f t="shared" ref="N304:N402" si="28">+A304</f>
        <v>7224</v>
      </c>
      <c r="O304" s="120"/>
      <c r="P304" s="888"/>
      <c r="Q304" s="51"/>
      <c r="R304" s="120"/>
      <c r="S304" s="888"/>
      <c r="T304" s="51"/>
      <c r="U304" s="120"/>
      <c r="V304" s="888"/>
      <c r="W304" s="51"/>
      <c r="X304" s="1613">
        <f t="shared" si="27"/>
        <v>0</v>
      </c>
      <c r="Y304" s="1614">
        <f t="shared" si="25"/>
        <v>0</v>
      </c>
      <c r="Z304" s="43"/>
      <c r="AA304" s="1621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33" t="s">
        <v>652</v>
      </c>
      <c r="C305" s="1033"/>
      <c r="D305" s="1033"/>
      <c r="E305" s="1033"/>
      <c r="F305" s="1033"/>
      <c r="G305" s="1033"/>
      <c r="H305" s="1033"/>
      <c r="I305" s="1033"/>
      <c r="J305" s="1033"/>
      <c r="K305" s="1033"/>
      <c r="L305" s="90"/>
      <c r="M305" s="51" t="s">
        <v>265</v>
      </c>
      <c r="N305" s="113">
        <f>+A305</f>
        <v>7226</v>
      </c>
      <c r="O305" s="120"/>
      <c r="P305" s="888"/>
      <c r="Q305" s="51"/>
      <c r="R305" s="120"/>
      <c r="S305" s="888"/>
      <c r="T305" s="51"/>
      <c r="U305" s="120"/>
      <c r="V305" s="888"/>
      <c r="W305" s="51"/>
      <c r="X305" s="1613">
        <f t="shared" si="27"/>
        <v>0</v>
      </c>
      <c r="Y305" s="1614">
        <f t="shared" si="25"/>
        <v>0</v>
      </c>
      <c r="Z305" s="43"/>
      <c r="AA305" s="1621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33" t="s">
        <v>653</v>
      </c>
      <c r="C306" s="1033"/>
      <c r="D306" s="1033"/>
      <c r="E306" s="1033"/>
      <c r="F306" s="1033"/>
      <c r="G306" s="1033"/>
      <c r="H306" s="1033"/>
      <c r="I306" s="1033"/>
      <c r="J306" s="1033"/>
      <c r="K306" s="1033"/>
      <c r="L306" s="90"/>
      <c r="M306" s="51" t="s">
        <v>265</v>
      </c>
      <c r="N306" s="113">
        <f>+A306</f>
        <v>7229</v>
      </c>
      <c r="O306" s="120"/>
      <c r="P306" s="888"/>
      <c r="Q306" s="51"/>
      <c r="R306" s="120"/>
      <c r="S306" s="888"/>
      <c r="T306" s="51"/>
      <c r="U306" s="120"/>
      <c r="V306" s="888"/>
      <c r="W306" s="51"/>
      <c r="X306" s="1613">
        <f t="shared" si="27"/>
        <v>0</v>
      </c>
      <c r="Y306" s="1614">
        <f t="shared" ref="Y306:Y369" si="29">+ROUND(+P306+S306+V306,2)</f>
        <v>0</v>
      </c>
      <c r="Z306" s="43"/>
      <c r="AA306" s="1621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33" t="s">
        <v>654</v>
      </c>
      <c r="C307" s="1033"/>
      <c r="D307" s="1033"/>
      <c r="E307" s="1033"/>
      <c r="F307" s="1033"/>
      <c r="G307" s="1033"/>
      <c r="H307" s="1033"/>
      <c r="I307" s="1033"/>
      <c r="J307" s="1033"/>
      <c r="K307" s="1033"/>
      <c r="L307" s="90"/>
      <c r="M307" s="51" t="s">
        <v>265</v>
      </c>
      <c r="N307" s="113">
        <f t="shared" si="28"/>
        <v>7231</v>
      </c>
      <c r="O307" s="120"/>
      <c r="P307" s="888"/>
      <c r="Q307" s="51"/>
      <c r="R307" s="120"/>
      <c r="S307" s="888"/>
      <c r="T307" s="51"/>
      <c r="U307" s="120"/>
      <c r="V307" s="888"/>
      <c r="W307" s="51"/>
      <c r="X307" s="1613">
        <f t="shared" si="27"/>
        <v>0</v>
      </c>
      <c r="Y307" s="1614">
        <f t="shared" si="29"/>
        <v>0</v>
      </c>
      <c r="Z307" s="43"/>
      <c r="AA307" s="1621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33" t="s">
        <v>0</v>
      </c>
      <c r="C308" s="1033"/>
      <c r="D308" s="1033"/>
      <c r="E308" s="1033"/>
      <c r="F308" s="1033"/>
      <c r="G308" s="1033"/>
      <c r="H308" s="1033"/>
      <c r="I308" s="1033"/>
      <c r="J308" s="1033"/>
      <c r="K308" s="1033"/>
      <c r="L308" s="90"/>
      <c r="M308" s="51" t="s">
        <v>265</v>
      </c>
      <c r="N308" s="113">
        <f t="shared" si="28"/>
        <v>7232</v>
      </c>
      <c r="O308" s="120"/>
      <c r="P308" s="888"/>
      <c r="Q308" s="51"/>
      <c r="R308" s="120"/>
      <c r="S308" s="888"/>
      <c r="T308" s="51"/>
      <c r="U308" s="120"/>
      <c r="V308" s="888"/>
      <c r="W308" s="51"/>
      <c r="X308" s="1613">
        <f t="shared" si="27"/>
        <v>0</v>
      </c>
      <c r="Y308" s="1614">
        <f t="shared" si="29"/>
        <v>0</v>
      </c>
      <c r="Z308" s="43"/>
      <c r="AA308" s="1621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33" t="s">
        <v>1</v>
      </c>
      <c r="C309" s="1033"/>
      <c r="D309" s="1033"/>
      <c r="E309" s="1033"/>
      <c r="F309" s="1033"/>
      <c r="G309" s="1033"/>
      <c r="H309" s="1033"/>
      <c r="I309" s="1033"/>
      <c r="J309" s="1033"/>
      <c r="K309" s="1033"/>
      <c r="L309" s="90"/>
      <c r="M309" s="51" t="s">
        <v>265</v>
      </c>
      <c r="N309" s="113">
        <f t="shared" si="28"/>
        <v>7241</v>
      </c>
      <c r="O309" s="120"/>
      <c r="P309" s="888"/>
      <c r="Q309" s="51"/>
      <c r="R309" s="120"/>
      <c r="S309" s="888"/>
      <c r="T309" s="51"/>
      <c r="U309" s="120"/>
      <c r="V309" s="888"/>
      <c r="W309" s="51"/>
      <c r="X309" s="1613">
        <f t="shared" si="27"/>
        <v>0</v>
      </c>
      <c r="Y309" s="1614">
        <f t="shared" si="29"/>
        <v>0</v>
      </c>
      <c r="Z309" s="43"/>
      <c r="AA309" s="1621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33" t="s">
        <v>2</v>
      </c>
      <c r="C310" s="1033"/>
      <c r="D310" s="1033"/>
      <c r="E310" s="1033"/>
      <c r="F310" s="1033"/>
      <c r="G310" s="1033"/>
      <c r="H310" s="1033"/>
      <c r="I310" s="1033"/>
      <c r="J310" s="1033"/>
      <c r="K310" s="1033"/>
      <c r="L310" s="90"/>
      <c r="M310" s="51" t="s">
        <v>265</v>
      </c>
      <c r="N310" s="113">
        <f t="shared" si="28"/>
        <v>7242</v>
      </c>
      <c r="O310" s="120"/>
      <c r="P310" s="888"/>
      <c r="Q310" s="51"/>
      <c r="R310" s="120"/>
      <c r="S310" s="888"/>
      <c r="T310" s="51"/>
      <c r="U310" s="120"/>
      <c r="V310" s="888"/>
      <c r="W310" s="51"/>
      <c r="X310" s="1613">
        <f t="shared" si="27"/>
        <v>0</v>
      </c>
      <c r="Y310" s="1614">
        <f t="shared" si="29"/>
        <v>0</v>
      </c>
      <c r="Z310" s="43"/>
      <c r="AA310" s="1621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78" t="s">
        <v>3</v>
      </c>
      <c r="C311" s="1033"/>
      <c r="D311" s="1033"/>
      <c r="E311" s="1033"/>
      <c r="F311" s="1033"/>
      <c r="G311" s="1033"/>
      <c r="H311" s="1033"/>
      <c r="I311" s="1033"/>
      <c r="J311" s="1033"/>
      <c r="K311" s="1033"/>
      <c r="L311" s="90"/>
      <c r="M311" s="51" t="s">
        <v>265</v>
      </c>
      <c r="N311" s="113">
        <f t="shared" si="28"/>
        <v>7250</v>
      </c>
      <c r="O311" s="120"/>
      <c r="P311" s="888"/>
      <c r="Q311" s="51"/>
      <c r="R311" s="120"/>
      <c r="S311" s="888"/>
      <c r="T311" s="51"/>
      <c r="U311" s="120"/>
      <c r="V311" s="888"/>
      <c r="W311" s="51"/>
      <c r="X311" s="1613">
        <f t="shared" si="27"/>
        <v>0</v>
      </c>
      <c r="Y311" s="1614">
        <f t="shared" si="29"/>
        <v>0</v>
      </c>
      <c r="Z311" s="43"/>
      <c r="AA311" s="1621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33" t="s">
        <v>4</v>
      </c>
      <c r="C312" s="1033"/>
      <c r="D312" s="1033"/>
      <c r="E312" s="1033"/>
      <c r="F312" s="1033"/>
      <c r="G312" s="1033"/>
      <c r="H312" s="1033"/>
      <c r="I312" s="1033"/>
      <c r="J312" s="1033"/>
      <c r="K312" s="1033"/>
      <c r="L312" s="90"/>
      <c r="M312" s="51" t="s">
        <v>265</v>
      </c>
      <c r="N312" s="113">
        <f t="shared" si="28"/>
        <v>7251</v>
      </c>
      <c r="O312" s="120">
        <v>0</v>
      </c>
      <c r="P312" s="888">
        <v>181.52</v>
      </c>
      <c r="Q312" s="51"/>
      <c r="R312" s="120">
        <v>0</v>
      </c>
      <c r="S312" s="888">
        <v>21.94</v>
      </c>
      <c r="T312" s="51"/>
      <c r="U312" s="120"/>
      <c r="V312" s="888"/>
      <c r="W312" s="51"/>
      <c r="X312" s="1613">
        <f t="shared" si="27"/>
        <v>0</v>
      </c>
      <c r="Y312" s="1614">
        <f t="shared" si="29"/>
        <v>203.46</v>
      </c>
      <c r="Z312" s="43"/>
      <c r="AA312" s="1621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33" t="s">
        <v>5</v>
      </c>
      <c r="C313" s="1033"/>
      <c r="D313" s="1033"/>
      <c r="E313" s="1033"/>
      <c r="F313" s="1033"/>
      <c r="G313" s="1033"/>
      <c r="H313" s="1033"/>
      <c r="I313" s="1033"/>
      <c r="J313" s="1033"/>
      <c r="K313" s="1033"/>
      <c r="L313" s="90"/>
      <c r="M313" s="51" t="s">
        <v>265</v>
      </c>
      <c r="N313" s="113">
        <f t="shared" si="28"/>
        <v>7252</v>
      </c>
      <c r="O313" s="120"/>
      <c r="P313" s="888"/>
      <c r="Q313" s="51"/>
      <c r="R313" s="120"/>
      <c r="S313" s="888"/>
      <c r="T313" s="51"/>
      <c r="U313" s="120"/>
      <c r="V313" s="888"/>
      <c r="W313" s="51"/>
      <c r="X313" s="1613">
        <f t="shared" si="27"/>
        <v>0</v>
      </c>
      <c r="Y313" s="1614">
        <f t="shared" si="29"/>
        <v>0</v>
      </c>
      <c r="Z313" s="43"/>
      <c r="AA313" s="1621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33" t="s">
        <v>6</v>
      </c>
      <c r="C314" s="1033"/>
      <c r="D314" s="1033"/>
      <c r="E314" s="1033"/>
      <c r="F314" s="1033"/>
      <c r="G314" s="1033"/>
      <c r="H314" s="1033"/>
      <c r="I314" s="1033"/>
      <c r="J314" s="1033"/>
      <c r="K314" s="1033"/>
      <c r="L314" s="90"/>
      <c r="M314" s="51" t="s">
        <v>265</v>
      </c>
      <c r="N314" s="113">
        <f t="shared" si="28"/>
        <v>7258</v>
      </c>
      <c r="O314" s="120"/>
      <c r="P314" s="888"/>
      <c r="Q314" s="51"/>
      <c r="R314" s="120"/>
      <c r="S314" s="888"/>
      <c r="T314" s="51"/>
      <c r="U314" s="120"/>
      <c r="V314" s="888"/>
      <c r="W314" s="51"/>
      <c r="X314" s="1613">
        <f t="shared" si="27"/>
        <v>0</v>
      </c>
      <c r="Y314" s="1614">
        <f t="shared" si="29"/>
        <v>0</v>
      </c>
      <c r="Z314" s="43"/>
      <c r="AA314" s="1621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78" t="s">
        <v>7</v>
      </c>
      <c r="C315" s="1033"/>
      <c r="D315" s="1033"/>
      <c r="E315" s="1033"/>
      <c r="F315" s="1033"/>
      <c r="G315" s="1033"/>
      <c r="H315" s="1033"/>
      <c r="I315" s="1033"/>
      <c r="J315" s="1033"/>
      <c r="K315" s="1033"/>
      <c r="L315" s="90"/>
      <c r="M315" s="51" t="s">
        <v>265</v>
      </c>
      <c r="N315" s="113">
        <f>+A315</f>
        <v>7270</v>
      </c>
      <c r="O315" s="120"/>
      <c r="P315" s="888"/>
      <c r="Q315" s="51"/>
      <c r="R315" s="120"/>
      <c r="S315" s="888"/>
      <c r="T315" s="51"/>
      <c r="U315" s="120"/>
      <c r="V315" s="888"/>
      <c r="W315" s="51"/>
      <c r="X315" s="1613">
        <f t="shared" si="27"/>
        <v>0</v>
      </c>
      <c r="Y315" s="1614">
        <f t="shared" si="29"/>
        <v>0</v>
      </c>
      <c r="Z315" s="43"/>
      <c r="AA315" s="1621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33" t="s">
        <v>8</v>
      </c>
      <c r="C316" s="1033"/>
      <c r="D316" s="1033"/>
      <c r="E316" s="1033"/>
      <c r="F316" s="1033"/>
      <c r="G316" s="1033"/>
      <c r="H316" s="1033"/>
      <c r="I316" s="1033"/>
      <c r="J316" s="1033"/>
      <c r="K316" s="1033"/>
      <c r="L316" s="90"/>
      <c r="M316" s="51" t="s">
        <v>265</v>
      </c>
      <c r="N316" s="113">
        <f t="shared" si="28"/>
        <v>7271</v>
      </c>
      <c r="O316" s="120">
        <v>0</v>
      </c>
      <c r="P316" s="888">
        <v>35539.07</v>
      </c>
      <c r="Q316" s="51"/>
      <c r="R316" s="120"/>
      <c r="S316" s="888"/>
      <c r="T316" s="51"/>
      <c r="U316" s="120"/>
      <c r="V316" s="888"/>
      <c r="W316" s="51"/>
      <c r="X316" s="1613">
        <f t="shared" si="27"/>
        <v>0</v>
      </c>
      <c r="Y316" s="1614">
        <f t="shared" si="29"/>
        <v>35539.07</v>
      </c>
      <c r="Z316" s="43"/>
      <c r="AA316" s="1621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78" t="s">
        <v>725</v>
      </c>
      <c r="C317" s="1033"/>
      <c r="D317" s="1033"/>
      <c r="E317" s="1033"/>
      <c r="F317" s="1033"/>
      <c r="G317" s="1033"/>
      <c r="H317" s="1033"/>
      <c r="I317" s="1033"/>
      <c r="J317" s="1033"/>
      <c r="K317" s="1033"/>
      <c r="L317" s="90"/>
      <c r="M317" s="51" t="s">
        <v>265</v>
      </c>
      <c r="N317" s="113">
        <f t="shared" si="28"/>
        <v>7274</v>
      </c>
      <c r="O317" s="120"/>
      <c r="P317" s="888"/>
      <c r="Q317" s="51"/>
      <c r="R317" s="120"/>
      <c r="S317" s="888"/>
      <c r="T317" s="51"/>
      <c r="U317" s="120"/>
      <c r="V317" s="888"/>
      <c r="W317" s="51"/>
      <c r="X317" s="1613">
        <f t="shared" si="27"/>
        <v>0</v>
      </c>
      <c r="Y317" s="1614">
        <f t="shared" si="29"/>
        <v>0</v>
      </c>
      <c r="Z317" s="43"/>
      <c r="AA317" s="1621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78" t="s">
        <v>726</v>
      </c>
      <c r="C318" s="1033"/>
      <c r="D318" s="1033"/>
      <c r="E318" s="1033"/>
      <c r="F318" s="1033"/>
      <c r="G318" s="1033"/>
      <c r="H318" s="1033"/>
      <c r="I318" s="1033"/>
      <c r="J318" s="1033"/>
      <c r="K318" s="1033"/>
      <c r="L318" s="90"/>
      <c r="M318" s="51" t="s">
        <v>265</v>
      </c>
      <c r="N318" s="113">
        <f>+A318</f>
        <v>7275</v>
      </c>
      <c r="O318" s="120"/>
      <c r="P318" s="888"/>
      <c r="Q318" s="51"/>
      <c r="R318" s="120"/>
      <c r="S318" s="888"/>
      <c r="T318" s="51"/>
      <c r="U318" s="120"/>
      <c r="V318" s="888"/>
      <c r="W318" s="51"/>
      <c r="X318" s="1613">
        <f t="shared" si="27"/>
        <v>0</v>
      </c>
      <c r="Y318" s="1614">
        <f t="shared" si="29"/>
        <v>0</v>
      </c>
      <c r="Z318" s="43"/>
      <c r="AA318" s="1621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33" t="s">
        <v>727</v>
      </c>
      <c r="C319" s="1033"/>
      <c r="D319" s="1033"/>
      <c r="E319" s="1033"/>
      <c r="F319" s="1033"/>
      <c r="G319" s="1033"/>
      <c r="H319" s="1033"/>
      <c r="I319" s="1033"/>
      <c r="J319" s="1033"/>
      <c r="K319" s="1033"/>
      <c r="L319" s="90"/>
      <c r="M319" s="51" t="s">
        <v>265</v>
      </c>
      <c r="N319" s="113">
        <f t="shared" si="28"/>
        <v>7277</v>
      </c>
      <c r="O319" s="120">
        <v>0</v>
      </c>
      <c r="P319" s="888">
        <v>175.2</v>
      </c>
      <c r="Q319" s="51"/>
      <c r="R319" s="120"/>
      <c r="S319" s="888"/>
      <c r="T319" s="51"/>
      <c r="U319" s="120"/>
      <c r="V319" s="888"/>
      <c r="W319" s="51"/>
      <c r="X319" s="1613">
        <f t="shared" si="27"/>
        <v>0</v>
      </c>
      <c r="Y319" s="1614">
        <f t="shared" si="29"/>
        <v>175.2</v>
      </c>
      <c r="Z319" s="43"/>
      <c r="AA319" s="1621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33" t="s">
        <v>728</v>
      </c>
      <c r="C320" s="1033"/>
      <c r="D320" s="1033"/>
      <c r="E320" s="1033"/>
      <c r="F320" s="1033"/>
      <c r="G320" s="1033"/>
      <c r="H320" s="1033"/>
      <c r="I320" s="1033"/>
      <c r="J320" s="1033"/>
      <c r="K320" s="1033"/>
      <c r="L320" s="90"/>
      <c r="M320" s="51" t="s">
        <v>265</v>
      </c>
      <c r="N320" s="113">
        <f t="shared" si="28"/>
        <v>7278</v>
      </c>
      <c r="O320" s="120"/>
      <c r="P320" s="888"/>
      <c r="Q320" s="51"/>
      <c r="R320" s="120"/>
      <c r="S320" s="888"/>
      <c r="T320" s="51"/>
      <c r="U320" s="120"/>
      <c r="V320" s="888"/>
      <c r="W320" s="51"/>
      <c r="X320" s="1613">
        <f t="shared" si="27"/>
        <v>0</v>
      </c>
      <c r="Y320" s="1614">
        <f t="shared" si="29"/>
        <v>0</v>
      </c>
      <c r="Z320" s="43"/>
      <c r="AA320" s="1621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33" t="s">
        <v>729</v>
      </c>
      <c r="C321" s="1033"/>
      <c r="D321" s="1033"/>
      <c r="E321" s="1033"/>
      <c r="F321" s="1033"/>
      <c r="G321" s="1033"/>
      <c r="H321" s="1033"/>
      <c r="I321" s="1033"/>
      <c r="J321" s="1033"/>
      <c r="K321" s="1033"/>
      <c r="L321" s="90"/>
      <c r="M321" s="51" t="s">
        <v>265</v>
      </c>
      <c r="N321" s="113">
        <f t="shared" si="28"/>
        <v>7282</v>
      </c>
      <c r="O321" s="120"/>
      <c r="P321" s="888"/>
      <c r="Q321" s="51"/>
      <c r="R321" s="120"/>
      <c r="S321" s="888"/>
      <c r="T321" s="51"/>
      <c r="U321" s="120"/>
      <c r="V321" s="888"/>
      <c r="W321" s="51"/>
      <c r="X321" s="1613">
        <f t="shared" si="27"/>
        <v>0</v>
      </c>
      <c r="Y321" s="1614">
        <f t="shared" si="29"/>
        <v>0</v>
      </c>
      <c r="Z321" s="43"/>
      <c r="AA321" s="1621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33" t="s">
        <v>730</v>
      </c>
      <c r="C322" s="1033"/>
      <c r="D322" s="1033"/>
      <c r="E322" s="1033"/>
      <c r="F322" s="1033"/>
      <c r="G322" s="1033"/>
      <c r="H322" s="1033"/>
      <c r="I322" s="1033"/>
      <c r="J322" s="1033"/>
      <c r="K322" s="1033"/>
      <c r="L322" s="90"/>
      <c r="M322" s="51" t="s">
        <v>265</v>
      </c>
      <c r="N322" s="113">
        <f t="shared" si="28"/>
        <v>7289</v>
      </c>
      <c r="O322" s="120"/>
      <c r="P322" s="888"/>
      <c r="Q322" s="51"/>
      <c r="R322" s="120"/>
      <c r="S322" s="888"/>
      <c r="T322" s="51"/>
      <c r="U322" s="120"/>
      <c r="V322" s="888"/>
      <c r="W322" s="51"/>
      <c r="X322" s="1613">
        <f t="shared" si="27"/>
        <v>0</v>
      </c>
      <c r="Y322" s="1614">
        <f t="shared" si="29"/>
        <v>0</v>
      </c>
      <c r="Z322" s="43"/>
      <c r="AA322" s="1621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33" t="s">
        <v>731</v>
      </c>
      <c r="C323" s="1033"/>
      <c r="D323" s="1033"/>
      <c r="E323" s="1033"/>
      <c r="F323" s="1033"/>
      <c r="G323" s="1033"/>
      <c r="H323" s="1033"/>
      <c r="I323" s="1033"/>
      <c r="J323" s="1033"/>
      <c r="K323" s="1033"/>
      <c r="L323" s="90"/>
      <c r="M323" s="51" t="s">
        <v>265</v>
      </c>
      <c r="N323" s="113">
        <f t="shared" si="28"/>
        <v>7291</v>
      </c>
      <c r="O323" s="120"/>
      <c r="P323" s="888"/>
      <c r="Q323" s="51"/>
      <c r="R323" s="120"/>
      <c r="S323" s="888"/>
      <c r="T323" s="51"/>
      <c r="U323" s="120"/>
      <c r="V323" s="888"/>
      <c r="W323" s="51"/>
      <c r="X323" s="1613">
        <f t="shared" si="27"/>
        <v>0</v>
      </c>
      <c r="Y323" s="1614">
        <f t="shared" si="29"/>
        <v>0</v>
      </c>
      <c r="Z323" s="43"/>
      <c r="AA323" s="1621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33" t="s">
        <v>732</v>
      </c>
      <c r="C324" s="1033"/>
      <c r="D324" s="1033"/>
      <c r="E324" s="1033"/>
      <c r="F324" s="1033"/>
      <c r="G324" s="1033"/>
      <c r="H324" s="1033"/>
      <c r="I324" s="1033"/>
      <c r="J324" s="1033"/>
      <c r="K324" s="1033"/>
      <c r="L324" s="90"/>
      <c r="M324" s="51" t="s">
        <v>265</v>
      </c>
      <c r="N324" s="113">
        <f t="shared" si="28"/>
        <v>7292</v>
      </c>
      <c r="O324" s="120"/>
      <c r="P324" s="888"/>
      <c r="Q324" s="51"/>
      <c r="R324" s="120"/>
      <c r="S324" s="888"/>
      <c r="T324" s="51"/>
      <c r="U324" s="120"/>
      <c r="V324" s="888"/>
      <c r="W324" s="51"/>
      <c r="X324" s="1613">
        <f t="shared" si="27"/>
        <v>0</v>
      </c>
      <c r="Y324" s="1614">
        <f t="shared" si="29"/>
        <v>0</v>
      </c>
      <c r="Z324" s="43"/>
      <c r="AA324" s="1621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33" t="s">
        <v>733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90"/>
      <c r="M325" s="51" t="s">
        <v>265</v>
      </c>
      <c r="N325" s="113">
        <f t="shared" si="28"/>
        <v>7298</v>
      </c>
      <c r="O325" s="120"/>
      <c r="P325" s="888"/>
      <c r="Q325" s="51"/>
      <c r="R325" s="120"/>
      <c r="S325" s="888"/>
      <c r="T325" s="51"/>
      <c r="U325" s="120"/>
      <c r="V325" s="888"/>
      <c r="W325" s="51"/>
      <c r="X325" s="1613">
        <f t="shared" si="27"/>
        <v>0</v>
      </c>
      <c r="Y325" s="1614">
        <f t="shared" si="29"/>
        <v>0</v>
      </c>
      <c r="Z325" s="43"/>
      <c r="AA325" s="1621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35" t="s">
        <v>1173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90"/>
      <c r="M326" s="51" t="s">
        <v>265</v>
      </c>
      <c r="N326" s="113">
        <f t="shared" si="28"/>
        <v>7311</v>
      </c>
      <c r="O326" s="120"/>
      <c r="P326" s="888"/>
      <c r="Q326" s="51"/>
      <c r="R326" s="120"/>
      <c r="S326" s="888"/>
      <c r="T326" s="51"/>
      <c r="U326" s="120"/>
      <c r="V326" s="888"/>
      <c r="W326" s="51"/>
      <c r="X326" s="1613">
        <f t="shared" si="27"/>
        <v>0</v>
      </c>
      <c r="Y326" s="1614">
        <f t="shared" si="29"/>
        <v>0</v>
      </c>
      <c r="Z326" s="43"/>
      <c r="AA326" s="1621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35" t="s">
        <v>1174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90"/>
      <c r="M327" s="51" t="s">
        <v>265</v>
      </c>
      <c r="N327" s="113">
        <f>+A327</f>
        <v>7313</v>
      </c>
      <c r="O327" s="120"/>
      <c r="P327" s="888"/>
      <c r="Q327" s="51"/>
      <c r="R327" s="120"/>
      <c r="S327" s="888"/>
      <c r="T327" s="51"/>
      <c r="U327" s="120"/>
      <c r="V327" s="888"/>
      <c r="W327" s="51"/>
      <c r="X327" s="1613">
        <f t="shared" si="27"/>
        <v>0</v>
      </c>
      <c r="Y327" s="1614">
        <f t="shared" si="29"/>
        <v>0</v>
      </c>
      <c r="Z327" s="43"/>
      <c r="AA327" s="1621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35" t="s">
        <v>1175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90"/>
      <c r="M328" s="51" t="s">
        <v>265</v>
      </c>
      <c r="N328" s="113">
        <f t="shared" si="28"/>
        <v>7319</v>
      </c>
      <c r="O328" s="120"/>
      <c r="P328" s="888"/>
      <c r="Q328" s="51"/>
      <c r="R328" s="120"/>
      <c r="S328" s="888"/>
      <c r="T328" s="51"/>
      <c r="U328" s="120"/>
      <c r="V328" s="888"/>
      <c r="W328" s="51"/>
      <c r="X328" s="1613">
        <f t="shared" si="27"/>
        <v>0</v>
      </c>
      <c r="Y328" s="1614">
        <f t="shared" si="29"/>
        <v>0</v>
      </c>
      <c r="Z328" s="43"/>
      <c r="AA328" s="1621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33" t="s">
        <v>734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90"/>
      <c r="M329" s="51" t="s">
        <v>265</v>
      </c>
      <c r="N329" s="113">
        <f t="shared" si="28"/>
        <v>7381</v>
      </c>
      <c r="O329" s="120"/>
      <c r="P329" s="888"/>
      <c r="Q329" s="51"/>
      <c r="R329" s="120"/>
      <c r="S329" s="888"/>
      <c r="T329" s="51"/>
      <c r="U329" s="120"/>
      <c r="V329" s="888"/>
      <c r="W329" s="51"/>
      <c r="X329" s="1613">
        <f t="shared" si="27"/>
        <v>0</v>
      </c>
      <c r="Y329" s="1614">
        <f t="shared" si="29"/>
        <v>0</v>
      </c>
      <c r="Z329" s="43"/>
      <c r="AA329" s="1621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33" t="s">
        <v>735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90"/>
      <c r="M330" s="51" t="s">
        <v>265</v>
      </c>
      <c r="N330" s="113">
        <f t="shared" si="28"/>
        <v>7382</v>
      </c>
      <c r="O330" s="120"/>
      <c r="P330" s="888"/>
      <c r="Q330" s="51"/>
      <c r="R330" s="120"/>
      <c r="S330" s="888"/>
      <c r="T330" s="51"/>
      <c r="U330" s="120"/>
      <c r="V330" s="888"/>
      <c r="W330" s="51"/>
      <c r="X330" s="1613">
        <f t="shared" si="27"/>
        <v>0</v>
      </c>
      <c r="Y330" s="1614">
        <f t="shared" si="29"/>
        <v>0</v>
      </c>
      <c r="Z330" s="43"/>
      <c r="AA330" s="1621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33" t="s">
        <v>736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90"/>
      <c r="M331" s="51" t="s">
        <v>265</v>
      </c>
      <c r="N331" s="113">
        <f t="shared" si="28"/>
        <v>7383</v>
      </c>
      <c r="O331" s="120"/>
      <c r="P331" s="888"/>
      <c r="Q331" s="51"/>
      <c r="R331" s="120"/>
      <c r="S331" s="888"/>
      <c r="T331" s="51"/>
      <c r="U331" s="120"/>
      <c r="V331" s="888"/>
      <c r="W331" s="51"/>
      <c r="X331" s="1613">
        <f t="shared" si="27"/>
        <v>0</v>
      </c>
      <c r="Y331" s="1614">
        <f t="shared" si="29"/>
        <v>0</v>
      </c>
      <c r="Z331" s="43"/>
      <c r="AA331" s="1621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33" t="s">
        <v>737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90"/>
      <c r="M332" s="51" t="s">
        <v>265</v>
      </c>
      <c r="N332" s="113">
        <f>+A332</f>
        <v>7384</v>
      </c>
      <c r="O332" s="120"/>
      <c r="P332" s="888"/>
      <c r="Q332" s="51"/>
      <c r="R332" s="120"/>
      <c r="S332" s="888"/>
      <c r="T332" s="51"/>
      <c r="U332" s="120"/>
      <c r="V332" s="888"/>
      <c r="W332" s="51"/>
      <c r="X332" s="1613">
        <f t="shared" si="27"/>
        <v>0</v>
      </c>
      <c r="Y332" s="1614">
        <f t="shared" si="29"/>
        <v>0</v>
      </c>
      <c r="Z332" s="43"/>
      <c r="AA332" s="1621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33" t="s">
        <v>738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90"/>
      <c r="M333" s="51" t="s">
        <v>265</v>
      </c>
      <c r="N333" s="113">
        <f>+A333</f>
        <v>7385</v>
      </c>
      <c r="O333" s="120"/>
      <c r="P333" s="888"/>
      <c r="Q333" s="51"/>
      <c r="R333" s="120"/>
      <c r="S333" s="888"/>
      <c r="T333" s="51"/>
      <c r="U333" s="120"/>
      <c r="V333" s="888"/>
      <c r="W333" s="51"/>
      <c r="X333" s="1613">
        <f t="shared" si="27"/>
        <v>0</v>
      </c>
      <c r="Y333" s="1614">
        <f t="shared" si="29"/>
        <v>0</v>
      </c>
      <c r="Z333" s="43"/>
      <c r="AA333" s="1621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33" t="s">
        <v>739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90"/>
      <c r="M334" s="51" t="s">
        <v>265</v>
      </c>
      <c r="N334" s="113">
        <f>+A334</f>
        <v>7386</v>
      </c>
      <c r="O334" s="120"/>
      <c r="P334" s="888"/>
      <c r="Q334" s="51"/>
      <c r="R334" s="120"/>
      <c r="S334" s="888"/>
      <c r="T334" s="51"/>
      <c r="U334" s="120"/>
      <c r="V334" s="888"/>
      <c r="W334" s="51"/>
      <c r="X334" s="1613">
        <f t="shared" si="27"/>
        <v>0</v>
      </c>
      <c r="Y334" s="1614">
        <f t="shared" si="29"/>
        <v>0</v>
      </c>
      <c r="Z334" s="43"/>
      <c r="AA334" s="1621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33" t="s">
        <v>740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90"/>
      <c r="M335" s="51" t="s">
        <v>265</v>
      </c>
      <c r="N335" s="113">
        <f>+A335</f>
        <v>7387</v>
      </c>
      <c r="O335" s="120"/>
      <c r="P335" s="888"/>
      <c r="Q335" s="51"/>
      <c r="R335" s="120"/>
      <c r="S335" s="888"/>
      <c r="T335" s="51"/>
      <c r="U335" s="120"/>
      <c r="V335" s="888"/>
      <c r="W335" s="51"/>
      <c r="X335" s="1613">
        <f t="shared" si="27"/>
        <v>0</v>
      </c>
      <c r="Y335" s="1614">
        <f t="shared" si="29"/>
        <v>0</v>
      </c>
      <c r="Z335" s="43"/>
      <c r="AA335" s="1621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33" t="s">
        <v>741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90"/>
      <c r="M336" s="51" t="s">
        <v>265</v>
      </c>
      <c r="N336" s="113">
        <f>+A336</f>
        <v>7388</v>
      </c>
      <c r="O336" s="120"/>
      <c r="P336" s="888"/>
      <c r="Q336" s="51"/>
      <c r="R336" s="120"/>
      <c r="S336" s="888"/>
      <c r="T336" s="51"/>
      <c r="U336" s="120"/>
      <c r="V336" s="888"/>
      <c r="W336" s="51"/>
      <c r="X336" s="1613">
        <f t="shared" si="27"/>
        <v>0</v>
      </c>
      <c r="Y336" s="1614">
        <f t="shared" si="29"/>
        <v>0</v>
      </c>
      <c r="Z336" s="43"/>
      <c r="AA336" s="1621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35" t="s">
        <v>1176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90"/>
      <c r="M337" s="51" t="s">
        <v>265</v>
      </c>
      <c r="N337" s="113">
        <f t="shared" si="28"/>
        <v>7391</v>
      </c>
      <c r="O337" s="120"/>
      <c r="P337" s="888"/>
      <c r="Q337" s="51"/>
      <c r="R337" s="120"/>
      <c r="S337" s="888"/>
      <c r="T337" s="51"/>
      <c r="U337" s="120"/>
      <c r="V337" s="888"/>
      <c r="W337" s="51"/>
      <c r="X337" s="1613">
        <f t="shared" si="27"/>
        <v>0</v>
      </c>
      <c r="Y337" s="1614">
        <f t="shared" si="29"/>
        <v>0</v>
      </c>
      <c r="Z337" s="43"/>
      <c r="AA337" s="1621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35" t="s">
        <v>1177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90"/>
      <c r="M338" s="51" t="s">
        <v>265</v>
      </c>
      <c r="N338" s="113">
        <f t="shared" si="28"/>
        <v>7392</v>
      </c>
      <c r="O338" s="120"/>
      <c r="P338" s="888"/>
      <c r="Q338" s="51"/>
      <c r="R338" s="120"/>
      <c r="S338" s="888"/>
      <c r="T338" s="51"/>
      <c r="U338" s="120"/>
      <c r="V338" s="888"/>
      <c r="W338" s="51"/>
      <c r="X338" s="1613">
        <f t="shared" si="27"/>
        <v>0</v>
      </c>
      <c r="Y338" s="1614">
        <f t="shared" si="29"/>
        <v>0</v>
      </c>
      <c r="Z338" s="43"/>
      <c r="AA338" s="1621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33" t="s">
        <v>742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90"/>
      <c r="M339" s="51" t="s">
        <v>265</v>
      </c>
      <c r="N339" s="113">
        <f t="shared" si="28"/>
        <v>7400</v>
      </c>
      <c r="O339" s="120">
        <v>8485</v>
      </c>
      <c r="P339" s="888">
        <v>0</v>
      </c>
      <c r="Q339" s="51"/>
      <c r="R339" s="120"/>
      <c r="S339" s="888"/>
      <c r="T339" s="51"/>
      <c r="U339" s="120"/>
      <c r="V339" s="888"/>
      <c r="W339" s="51"/>
      <c r="X339" s="1613">
        <f t="shared" si="27"/>
        <v>8485</v>
      </c>
      <c r="Y339" s="1614">
        <f t="shared" si="29"/>
        <v>0</v>
      </c>
      <c r="Z339" s="43"/>
      <c r="AA339" s="1621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33" t="s">
        <v>743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90"/>
      <c r="M340" s="51" t="s">
        <v>265</v>
      </c>
      <c r="N340" s="113">
        <f t="shared" si="28"/>
        <v>7401</v>
      </c>
      <c r="O340" s="120"/>
      <c r="P340" s="888"/>
      <c r="Q340" s="51"/>
      <c r="R340" s="120"/>
      <c r="S340" s="888"/>
      <c r="T340" s="51"/>
      <c r="U340" s="120"/>
      <c r="V340" s="888"/>
      <c r="W340" s="51"/>
      <c r="X340" s="1613">
        <f t="shared" si="27"/>
        <v>0</v>
      </c>
      <c r="Y340" s="1614">
        <f t="shared" si="29"/>
        <v>0</v>
      </c>
      <c r="Z340" s="43"/>
      <c r="AA340" s="1621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33" t="s">
        <v>744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90"/>
      <c r="M341" s="51" t="s">
        <v>265</v>
      </c>
      <c r="N341" s="113">
        <f t="shared" si="28"/>
        <v>7402</v>
      </c>
      <c r="O341" s="120"/>
      <c r="P341" s="888"/>
      <c r="Q341" s="51"/>
      <c r="R341" s="120"/>
      <c r="S341" s="888"/>
      <c r="T341" s="51"/>
      <c r="U341" s="120"/>
      <c r="V341" s="888"/>
      <c r="W341" s="51"/>
      <c r="X341" s="1613">
        <f t="shared" si="27"/>
        <v>0</v>
      </c>
      <c r="Y341" s="1614">
        <f t="shared" si="29"/>
        <v>0</v>
      </c>
      <c r="Z341" s="43"/>
      <c r="AA341" s="1621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33" t="s">
        <v>745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90"/>
      <c r="M342" s="51" t="s">
        <v>265</v>
      </c>
      <c r="N342" s="113">
        <f t="shared" si="28"/>
        <v>7403</v>
      </c>
      <c r="O342" s="120"/>
      <c r="P342" s="888"/>
      <c r="Q342" s="51"/>
      <c r="R342" s="120"/>
      <c r="S342" s="888"/>
      <c r="T342" s="51"/>
      <c r="U342" s="120"/>
      <c r="V342" s="888"/>
      <c r="W342" s="51"/>
      <c r="X342" s="1613">
        <f t="shared" si="27"/>
        <v>0</v>
      </c>
      <c r="Y342" s="1614">
        <f t="shared" si="29"/>
        <v>0</v>
      </c>
      <c r="Z342" s="43"/>
      <c r="AA342" s="1621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33" t="s">
        <v>746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90"/>
      <c r="M343" s="51" t="s">
        <v>265</v>
      </c>
      <c r="N343" s="113">
        <f t="shared" si="28"/>
        <v>7404</v>
      </c>
      <c r="O343" s="120"/>
      <c r="P343" s="888"/>
      <c r="Q343" s="51"/>
      <c r="R343" s="120"/>
      <c r="S343" s="888"/>
      <c r="T343" s="51"/>
      <c r="U343" s="120"/>
      <c r="V343" s="888"/>
      <c r="W343" s="51"/>
      <c r="X343" s="1613">
        <f t="shared" si="27"/>
        <v>0</v>
      </c>
      <c r="Y343" s="1614">
        <f t="shared" si="29"/>
        <v>0</v>
      </c>
      <c r="Z343" s="43"/>
      <c r="AA343" s="1621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33" t="s">
        <v>747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90"/>
      <c r="M344" s="51" t="s">
        <v>265</v>
      </c>
      <c r="N344" s="113">
        <f t="shared" si="28"/>
        <v>7405</v>
      </c>
      <c r="O344" s="120"/>
      <c r="P344" s="888"/>
      <c r="Q344" s="51"/>
      <c r="R344" s="120"/>
      <c r="S344" s="888"/>
      <c r="T344" s="51"/>
      <c r="U344" s="120"/>
      <c r="V344" s="888"/>
      <c r="W344" s="51"/>
      <c r="X344" s="1613">
        <f t="shared" si="27"/>
        <v>0</v>
      </c>
      <c r="Y344" s="1614">
        <f t="shared" si="29"/>
        <v>0</v>
      </c>
      <c r="Z344" s="43"/>
      <c r="AA344" s="1621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33" t="s">
        <v>748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90"/>
      <c r="M345" s="51" t="s">
        <v>265</v>
      </c>
      <c r="N345" s="113">
        <f t="shared" si="28"/>
        <v>7406</v>
      </c>
      <c r="O345" s="120"/>
      <c r="P345" s="888"/>
      <c r="Q345" s="51"/>
      <c r="R345" s="120"/>
      <c r="S345" s="888"/>
      <c r="T345" s="51"/>
      <c r="U345" s="120"/>
      <c r="V345" s="888"/>
      <c r="W345" s="51"/>
      <c r="X345" s="1613">
        <f t="shared" si="27"/>
        <v>0</v>
      </c>
      <c r="Y345" s="1614">
        <f t="shared" si="29"/>
        <v>0</v>
      </c>
      <c r="Z345" s="43"/>
      <c r="AA345" s="1621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33" t="s">
        <v>749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90"/>
      <c r="M346" s="51" t="s">
        <v>265</v>
      </c>
      <c r="N346" s="113">
        <f t="shared" si="28"/>
        <v>7407</v>
      </c>
      <c r="O346" s="120"/>
      <c r="P346" s="888"/>
      <c r="Q346" s="51"/>
      <c r="R346" s="120"/>
      <c r="S346" s="888"/>
      <c r="T346" s="51"/>
      <c r="U346" s="120"/>
      <c r="V346" s="888"/>
      <c r="W346" s="51"/>
      <c r="X346" s="1613">
        <f t="shared" si="27"/>
        <v>0</v>
      </c>
      <c r="Y346" s="1614">
        <f t="shared" si="29"/>
        <v>0</v>
      </c>
      <c r="Z346" s="43"/>
      <c r="AA346" s="1621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33" t="s">
        <v>750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90"/>
      <c r="M347" s="51" t="s">
        <v>265</v>
      </c>
      <c r="N347" s="113">
        <f t="shared" si="28"/>
        <v>7408</v>
      </c>
      <c r="O347" s="120"/>
      <c r="P347" s="888"/>
      <c r="Q347" s="51"/>
      <c r="R347" s="120"/>
      <c r="S347" s="888"/>
      <c r="T347" s="51"/>
      <c r="U347" s="120"/>
      <c r="V347" s="888"/>
      <c r="W347" s="51"/>
      <c r="X347" s="1613">
        <f t="shared" si="27"/>
        <v>0</v>
      </c>
      <c r="Y347" s="1614">
        <f t="shared" si="29"/>
        <v>0</v>
      </c>
      <c r="Z347" s="43"/>
      <c r="AA347" s="1621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33" t="s">
        <v>751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90"/>
      <c r="M348" s="51" t="s">
        <v>265</v>
      </c>
      <c r="N348" s="113">
        <f t="shared" si="28"/>
        <v>7409</v>
      </c>
      <c r="O348" s="120"/>
      <c r="P348" s="888"/>
      <c r="Q348" s="51"/>
      <c r="R348" s="120"/>
      <c r="S348" s="888"/>
      <c r="T348" s="51"/>
      <c r="U348" s="120"/>
      <c r="V348" s="888"/>
      <c r="W348" s="51"/>
      <c r="X348" s="1613">
        <f t="shared" si="27"/>
        <v>0</v>
      </c>
      <c r="Y348" s="1614">
        <f t="shared" si="29"/>
        <v>0</v>
      </c>
      <c r="Z348" s="43"/>
      <c r="AA348" s="1621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32" t="s">
        <v>752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90"/>
      <c r="M349" s="51" t="s">
        <v>265</v>
      </c>
      <c r="N349" s="113">
        <f t="shared" si="28"/>
        <v>7411</v>
      </c>
      <c r="O349" s="120">
        <v>0</v>
      </c>
      <c r="P349" s="888">
        <v>14147.5</v>
      </c>
      <c r="Q349" s="51"/>
      <c r="R349" s="120"/>
      <c r="S349" s="888"/>
      <c r="T349" s="51"/>
      <c r="U349" s="120"/>
      <c r="V349" s="888"/>
      <c r="W349" s="51"/>
      <c r="X349" s="1613">
        <f t="shared" si="27"/>
        <v>0</v>
      </c>
      <c r="Y349" s="1614">
        <f t="shared" si="29"/>
        <v>14147.5</v>
      </c>
      <c r="Z349" s="43"/>
      <c r="AA349" s="1621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32" t="s">
        <v>753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90"/>
      <c r="M350" s="51" t="s">
        <v>265</v>
      </c>
      <c r="N350" s="113">
        <f t="shared" si="28"/>
        <v>7412</v>
      </c>
      <c r="O350" s="120"/>
      <c r="P350" s="888"/>
      <c r="Q350" s="51"/>
      <c r="R350" s="120"/>
      <c r="S350" s="888"/>
      <c r="T350" s="51"/>
      <c r="U350" s="120"/>
      <c r="V350" s="888"/>
      <c r="W350" s="51"/>
      <c r="X350" s="1613">
        <f t="shared" si="27"/>
        <v>0</v>
      </c>
      <c r="Y350" s="1614">
        <f t="shared" si="29"/>
        <v>0</v>
      </c>
      <c r="Z350" s="43"/>
      <c r="AA350" s="1621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32" t="s">
        <v>754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90"/>
      <c r="M351" s="51" t="s">
        <v>265</v>
      </c>
      <c r="N351" s="113">
        <f t="shared" si="28"/>
        <v>7413</v>
      </c>
      <c r="O351" s="120">
        <v>0</v>
      </c>
      <c r="P351" s="888">
        <v>16233.76</v>
      </c>
      <c r="Q351" s="51"/>
      <c r="R351" s="120"/>
      <c r="S351" s="888"/>
      <c r="T351" s="51"/>
      <c r="U351" s="120"/>
      <c r="V351" s="888"/>
      <c r="W351" s="51"/>
      <c r="X351" s="1613">
        <f t="shared" si="27"/>
        <v>0</v>
      </c>
      <c r="Y351" s="1614">
        <f t="shared" si="29"/>
        <v>16233.76</v>
      </c>
      <c r="Z351" s="43"/>
      <c r="AA351" s="1621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32" t="s">
        <v>755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90"/>
      <c r="M352" s="51" t="s">
        <v>265</v>
      </c>
      <c r="N352" s="113">
        <f t="shared" si="28"/>
        <v>7414</v>
      </c>
      <c r="O352" s="120"/>
      <c r="P352" s="888"/>
      <c r="Q352" s="51"/>
      <c r="R352" s="120"/>
      <c r="S352" s="888"/>
      <c r="T352" s="51"/>
      <c r="U352" s="120"/>
      <c r="V352" s="888"/>
      <c r="W352" s="51"/>
      <c r="X352" s="1613">
        <f t="shared" si="27"/>
        <v>0</v>
      </c>
      <c r="Y352" s="1614">
        <f t="shared" si="29"/>
        <v>0</v>
      </c>
      <c r="Z352" s="43"/>
      <c r="AA352" s="1621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32" t="s">
        <v>756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90"/>
      <c r="M353" s="51" t="s">
        <v>265</v>
      </c>
      <c r="N353" s="113">
        <f t="shared" si="28"/>
        <v>7419</v>
      </c>
      <c r="O353" s="120"/>
      <c r="P353" s="888"/>
      <c r="Q353" s="51"/>
      <c r="R353" s="120"/>
      <c r="S353" s="888"/>
      <c r="T353" s="51"/>
      <c r="U353" s="120"/>
      <c r="V353" s="888"/>
      <c r="W353" s="51"/>
      <c r="X353" s="1613">
        <f t="shared" si="27"/>
        <v>0</v>
      </c>
      <c r="Y353" s="1614">
        <f t="shared" si="29"/>
        <v>0</v>
      </c>
      <c r="Z353" s="43"/>
      <c r="AA353" s="1621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81" t="s">
        <v>2090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90"/>
      <c r="M354" s="51" t="s">
        <v>265</v>
      </c>
      <c r="N354" s="113">
        <f t="shared" si="28"/>
        <v>7450</v>
      </c>
      <c r="O354" s="120"/>
      <c r="P354" s="888"/>
      <c r="Q354" s="51"/>
      <c r="R354" s="120"/>
      <c r="S354" s="888"/>
      <c r="T354" s="51"/>
      <c r="U354" s="120"/>
      <c r="V354" s="888"/>
      <c r="W354" s="51"/>
      <c r="X354" s="1613">
        <f t="shared" si="27"/>
        <v>0</v>
      </c>
      <c r="Y354" s="1614">
        <f t="shared" si="29"/>
        <v>0</v>
      </c>
      <c r="Z354" s="43"/>
      <c r="AA354" s="1621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33" t="s">
        <v>757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90"/>
      <c r="M355" s="51" t="s">
        <v>265</v>
      </c>
      <c r="N355" s="113">
        <f t="shared" si="28"/>
        <v>7471</v>
      </c>
      <c r="O355" s="120"/>
      <c r="P355" s="888"/>
      <c r="Q355" s="51"/>
      <c r="R355" s="120"/>
      <c r="S355" s="888"/>
      <c r="T355" s="51"/>
      <c r="U355" s="120"/>
      <c r="V355" s="888"/>
      <c r="W355" s="51"/>
      <c r="X355" s="1613">
        <f t="shared" si="27"/>
        <v>0</v>
      </c>
      <c r="Y355" s="1614">
        <f t="shared" si="29"/>
        <v>0</v>
      </c>
      <c r="Z355" s="43"/>
      <c r="AA355" s="1621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33" t="s">
        <v>758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90"/>
      <c r="M356" s="51" t="s">
        <v>265</v>
      </c>
      <c r="N356" s="113">
        <f t="shared" si="28"/>
        <v>7472</v>
      </c>
      <c r="O356" s="120"/>
      <c r="P356" s="888"/>
      <c r="Q356" s="51"/>
      <c r="R356" s="120"/>
      <c r="S356" s="888"/>
      <c r="T356" s="51"/>
      <c r="U356" s="120"/>
      <c r="V356" s="888"/>
      <c r="W356" s="51"/>
      <c r="X356" s="1613">
        <f t="shared" si="27"/>
        <v>0</v>
      </c>
      <c r="Y356" s="1614">
        <f t="shared" si="29"/>
        <v>0</v>
      </c>
      <c r="Z356" s="43"/>
      <c r="AA356" s="1621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33" t="s">
        <v>759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90"/>
      <c r="M357" s="51" t="s">
        <v>265</v>
      </c>
      <c r="N357" s="113">
        <f t="shared" si="28"/>
        <v>7473</v>
      </c>
      <c r="O357" s="120"/>
      <c r="P357" s="888"/>
      <c r="Q357" s="51"/>
      <c r="R357" s="120"/>
      <c r="S357" s="888"/>
      <c r="T357" s="51"/>
      <c r="U357" s="120"/>
      <c r="V357" s="888"/>
      <c r="W357" s="51"/>
      <c r="X357" s="1613">
        <f t="shared" si="27"/>
        <v>0</v>
      </c>
      <c r="Y357" s="1614">
        <f t="shared" si="29"/>
        <v>0</v>
      </c>
      <c r="Z357" s="43"/>
      <c r="AA357" s="1621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33" t="s">
        <v>760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90"/>
      <c r="M358" s="51" t="s">
        <v>265</v>
      </c>
      <c r="N358" s="113">
        <f t="shared" si="28"/>
        <v>7474</v>
      </c>
      <c r="O358" s="120"/>
      <c r="P358" s="888"/>
      <c r="Q358" s="51"/>
      <c r="R358" s="120"/>
      <c r="S358" s="888"/>
      <c r="T358" s="51"/>
      <c r="U358" s="120"/>
      <c r="V358" s="888"/>
      <c r="W358" s="51"/>
      <c r="X358" s="1613">
        <f t="shared" si="27"/>
        <v>0</v>
      </c>
      <c r="Y358" s="1614">
        <f t="shared" si="29"/>
        <v>0</v>
      </c>
      <c r="Z358" s="43"/>
      <c r="AA358" s="1621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33" t="s">
        <v>761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90"/>
      <c r="M359" s="51" t="s">
        <v>265</v>
      </c>
      <c r="N359" s="113">
        <f t="shared" si="28"/>
        <v>7481</v>
      </c>
      <c r="O359" s="120"/>
      <c r="P359" s="888"/>
      <c r="Q359" s="51"/>
      <c r="R359" s="120"/>
      <c r="S359" s="888"/>
      <c r="T359" s="51"/>
      <c r="U359" s="120"/>
      <c r="V359" s="888"/>
      <c r="W359" s="51"/>
      <c r="X359" s="1613">
        <f t="shared" si="27"/>
        <v>0</v>
      </c>
      <c r="Y359" s="1614">
        <f t="shared" si="29"/>
        <v>0</v>
      </c>
      <c r="Z359" s="43"/>
      <c r="AA359" s="1621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33" t="s">
        <v>762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90"/>
      <c r="M360" s="51" t="s">
        <v>265</v>
      </c>
      <c r="N360" s="113">
        <f t="shared" si="28"/>
        <v>7482</v>
      </c>
      <c r="O360" s="120"/>
      <c r="P360" s="888"/>
      <c r="Q360" s="51"/>
      <c r="R360" s="120"/>
      <c r="S360" s="888"/>
      <c r="T360" s="51"/>
      <c r="U360" s="120"/>
      <c r="V360" s="888"/>
      <c r="W360" s="51"/>
      <c r="X360" s="1613">
        <f t="shared" si="27"/>
        <v>0</v>
      </c>
      <c r="Y360" s="1614">
        <f t="shared" si="29"/>
        <v>0</v>
      </c>
      <c r="Z360" s="43"/>
      <c r="AA360" s="1621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33" t="s">
        <v>763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90"/>
      <c r="M361" s="51" t="s">
        <v>265</v>
      </c>
      <c r="N361" s="113">
        <f t="shared" si="28"/>
        <v>7483</v>
      </c>
      <c r="O361" s="120"/>
      <c r="P361" s="888"/>
      <c r="Q361" s="51"/>
      <c r="R361" s="120"/>
      <c r="S361" s="888"/>
      <c r="T361" s="51"/>
      <c r="U361" s="120"/>
      <c r="V361" s="888"/>
      <c r="W361" s="51"/>
      <c r="X361" s="1613">
        <f t="shared" si="27"/>
        <v>0</v>
      </c>
      <c r="Y361" s="1614">
        <f t="shared" si="29"/>
        <v>0</v>
      </c>
      <c r="Z361" s="43"/>
      <c r="AA361" s="1621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33" t="s">
        <v>764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90"/>
      <c r="M362" s="51" t="s">
        <v>265</v>
      </c>
      <c r="N362" s="113">
        <f t="shared" si="28"/>
        <v>7484</v>
      </c>
      <c r="O362" s="120"/>
      <c r="P362" s="888"/>
      <c r="Q362" s="51"/>
      <c r="R362" s="120"/>
      <c r="S362" s="888"/>
      <c r="T362" s="51"/>
      <c r="U362" s="120"/>
      <c r="V362" s="888"/>
      <c r="W362" s="51"/>
      <c r="X362" s="1613">
        <f t="shared" si="27"/>
        <v>0</v>
      </c>
      <c r="Y362" s="1614">
        <f t="shared" si="29"/>
        <v>0</v>
      </c>
      <c r="Z362" s="43"/>
      <c r="AA362" s="1621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32" t="s">
        <v>765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90"/>
      <c r="M363" s="51" t="s">
        <v>265</v>
      </c>
      <c r="N363" s="113">
        <f t="shared" si="28"/>
        <v>7485</v>
      </c>
      <c r="O363" s="120"/>
      <c r="P363" s="888"/>
      <c r="Q363" s="51"/>
      <c r="R363" s="120"/>
      <c r="S363" s="888"/>
      <c r="T363" s="51"/>
      <c r="U363" s="120"/>
      <c r="V363" s="888"/>
      <c r="W363" s="51"/>
      <c r="X363" s="1613">
        <f t="shared" si="27"/>
        <v>0</v>
      </c>
      <c r="Y363" s="1614">
        <f t="shared" si="29"/>
        <v>0</v>
      </c>
      <c r="Z363" s="43"/>
      <c r="AA363" s="1621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32" t="s">
        <v>766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90"/>
      <c r="M364" s="51" t="s">
        <v>265</v>
      </c>
      <c r="N364" s="113">
        <f t="shared" si="28"/>
        <v>7486</v>
      </c>
      <c r="O364" s="120"/>
      <c r="P364" s="888"/>
      <c r="Q364" s="51"/>
      <c r="R364" s="120"/>
      <c r="S364" s="888"/>
      <c r="T364" s="51"/>
      <c r="U364" s="120"/>
      <c r="V364" s="888"/>
      <c r="W364" s="51"/>
      <c r="X364" s="1613">
        <f t="shared" si="27"/>
        <v>0</v>
      </c>
      <c r="Y364" s="1614">
        <f t="shared" si="29"/>
        <v>0</v>
      </c>
      <c r="Z364" s="43"/>
      <c r="AA364" s="1621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32" t="s">
        <v>767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90"/>
      <c r="M365" s="51" t="s">
        <v>265</v>
      </c>
      <c r="N365" s="113">
        <f t="shared" si="28"/>
        <v>7487</v>
      </c>
      <c r="O365" s="120"/>
      <c r="P365" s="888"/>
      <c r="Q365" s="51"/>
      <c r="R365" s="120"/>
      <c r="S365" s="888"/>
      <c r="T365" s="51"/>
      <c r="U365" s="120"/>
      <c r="V365" s="888"/>
      <c r="W365" s="51"/>
      <c r="X365" s="1613">
        <f t="shared" ref="X365:X428" si="31">+ROUND(+O365+R365+U365,2)</f>
        <v>0</v>
      </c>
      <c r="Y365" s="1614">
        <f t="shared" si="29"/>
        <v>0</v>
      </c>
      <c r="Z365" s="43"/>
      <c r="AA365" s="1621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32" t="s">
        <v>768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90"/>
      <c r="M366" s="51" t="s">
        <v>265</v>
      </c>
      <c r="N366" s="113">
        <f t="shared" si="28"/>
        <v>7488</v>
      </c>
      <c r="O366" s="120"/>
      <c r="P366" s="888"/>
      <c r="Q366" s="51"/>
      <c r="R366" s="120"/>
      <c r="S366" s="888"/>
      <c r="T366" s="51"/>
      <c r="U366" s="120"/>
      <c r="V366" s="888"/>
      <c r="W366" s="51"/>
      <c r="X366" s="1613">
        <f t="shared" si="31"/>
        <v>0</v>
      </c>
      <c r="Y366" s="1614">
        <f t="shared" si="29"/>
        <v>0</v>
      </c>
      <c r="Z366" s="43"/>
      <c r="AA366" s="1621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33" t="s">
        <v>769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90"/>
      <c r="M367" s="51" t="s">
        <v>265</v>
      </c>
      <c r="N367" s="113">
        <f t="shared" si="28"/>
        <v>7491</v>
      </c>
      <c r="O367" s="120"/>
      <c r="P367" s="888"/>
      <c r="Q367" s="51"/>
      <c r="R367" s="120"/>
      <c r="S367" s="888"/>
      <c r="T367" s="51"/>
      <c r="U367" s="120"/>
      <c r="V367" s="888"/>
      <c r="W367" s="51"/>
      <c r="X367" s="1613">
        <f t="shared" si="31"/>
        <v>0</v>
      </c>
      <c r="Y367" s="1614">
        <f t="shared" si="29"/>
        <v>0</v>
      </c>
      <c r="Z367" s="43"/>
      <c r="AA367" s="1621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33" t="s">
        <v>770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90"/>
      <c r="M368" s="51" t="s">
        <v>265</v>
      </c>
      <c r="N368" s="113">
        <f t="shared" si="28"/>
        <v>7492</v>
      </c>
      <c r="O368" s="120"/>
      <c r="P368" s="888"/>
      <c r="Q368" s="51"/>
      <c r="R368" s="120"/>
      <c r="S368" s="888"/>
      <c r="T368" s="51"/>
      <c r="U368" s="120"/>
      <c r="V368" s="888"/>
      <c r="W368" s="51"/>
      <c r="X368" s="1613">
        <f t="shared" si="31"/>
        <v>0</v>
      </c>
      <c r="Y368" s="1614">
        <f t="shared" si="29"/>
        <v>0</v>
      </c>
      <c r="Z368" s="43"/>
      <c r="AA368" s="1621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33" t="s">
        <v>771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90"/>
      <c r="M369" s="51" t="s">
        <v>265</v>
      </c>
      <c r="N369" s="113">
        <f t="shared" si="28"/>
        <v>7493</v>
      </c>
      <c r="O369" s="120"/>
      <c r="P369" s="888"/>
      <c r="Q369" s="51"/>
      <c r="R369" s="120"/>
      <c r="S369" s="888"/>
      <c r="T369" s="51"/>
      <c r="U369" s="120"/>
      <c r="V369" s="888"/>
      <c r="W369" s="51"/>
      <c r="X369" s="1613">
        <f t="shared" si="31"/>
        <v>0</v>
      </c>
      <c r="Y369" s="1614">
        <f t="shared" si="29"/>
        <v>0</v>
      </c>
      <c r="Z369" s="43"/>
      <c r="AA369" s="1621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33" t="s">
        <v>772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90"/>
      <c r="M370" s="51" t="s">
        <v>265</v>
      </c>
      <c r="N370" s="113">
        <f t="shared" si="28"/>
        <v>7494</v>
      </c>
      <c r="O370" s="120"/>
      <c r="P370" s="888"/>
      <c r="Q370" s="51"/>
      <c r="R370" s="120"/>
      <c r="S370" s="888"/>
      <c r="T370" s="51"/>
      <c r="U370" s="120"/>
      <c r="V370" s="888"/>
      <c r="W370" s="51"/>
      <c r="X370" s="1613">
        <f t="shared" si="31"/>
        <v>0</v>
      </c>
      <c r="Y370" s="1614">
        <f t="shared" ref="Y370:Y433" si="32">+ROUND(+P370+S370+V370,2)</f>
        <v>0</v>
      </c>
      <c r="Z370" s="43"/>
      <c r="AA370" s="1621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33" t="s">
        <v>47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90"/>
      <c r="M371" s="51" t="s">
        <v>265</v>
      </c>
      <c r="N371" s="113">
        <f>+A371</f>
        <v>7499</v>
      </c>
      <c r="O371" s="120"/>
      <c r="P371" s="888"/>
      <c r="Q371" s="51"/>
      <c r="R371" s="120"/>
      <c r="S371" s="888"/>
      <c r="T371" s="51"/>
      <c r="U371" s="120"/>
      <c r="V371" s="888"/>
      <c r="W371" s="51"/>
      <c r="X371" s="1613">
        <f t="shared" si="31"/>
        <v>0</v>
      </c>
      <c r="Y371" s="1614">
        <f t="shared" si="32"/>
        <v>0</v>
      </c>
      <c r="Z371" s="43"/>
      <c r="AA371" s="1621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78" t="s">
        <v>48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90"/>
      <c r="M372" s="51" t="s">
        <v>265</v>
      </c>
      <c r="N372" s="113">
        <f t="shared" si="28"/>
        <v>7500</v>
      </c>
      <c r="O372" s="120"/>
      <c r="P372" s="888"/>
      <c r="Q372" s="51"/>
      <c r="R372" s="120"/>
      <c r="S372" s="888"/>
      <c r="T372" s="51"/>
      <c r="U372" s="120"/>
      <c r="V372" s="888"/>
      <c r="W372" s="51"/>
      <c r="X372" s="1613">
        <f t="shared" si="31"/>
        <v>0</v>
      </c>
      <c r="Y372" s="1614">
        <f t="shared" si="32"/>
        <v>0</v>
      </c>
      <c r="Z372" s="43"/>
      <c r="AA372" s="1621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78" t="s">
        <v>49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90"/>
      <c r="M373" s="51" t="s">
        <v>265</v>
      </c>
      <c r="N373" s="113">
        <f t="shared" si="28"/>
        <v>7501</v>
      </c>
      <c r="O373" s="120">
        <v>0</v>
      </c>
      <c r="P373" s="888">
        <v>0</v>
      </c>
      <c r="Q373" s="51"/>
      <c r="R373" s="120"/>
      <c r="S373" s="888"/>
      <c r="T373" s="51"/>
      <c r="U373" s="120"/>
      <c r="V373" s="888"/>
      <c r="W373" s="51"/>
      <c r="X373" s="1613">
        <f t="shared" si="31"/>
        <v>0</v>
      </c>
      <c r="Y373" s="1614">
        <f t="shared" si="32"/>
        <v>0</v>
      </c>
      <c r="Z373" s="43"/>
      <c r="AA373" s="1621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78" t="s">
        <v>50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90"/>
      <c r="M374" s="51" t="s">
        <v>265</v>
      </c>
      <c r="N374" s="113">
        <f t="shared" si="28"/>
        <v>7502</v>
      </c>
      <c r="O374" s="120"/>
      <c r="P374" s="888"/>
      <c r="Q374" s="51"/>
      <c r="R374" s="120"/>
      <c r="S374" s="888"/>
      <c r="T374" s="51"/>
      <c r="U374" s="120"/>
      <c r="V374" s="888"/>
      <c r="W374" s="51"/>
      <c r="X374" s="1613">
        <f t="shared" si="31"/>
        <v>0</v>
      </c>
      <c r="Y374" s="1614">
        <f t="shared" si="32"/>
        <v>0</v>
      </c>
      <c r="Z374" s="43"/>
      <c r="AA374" s="1621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33" t="s">
        <v>302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90"/>
      <c r="M375" s="51" t="s">
        <v>265</v>
      </c>
      <c r="N375" s="113">
        <f t="shared" si="28"/>
        <v>7511</v>
      </c>
      <c r="O375" s="120">
        <v>0</v>
      </c>
      <c r="P375" s="888">
        <v>8212169</v>
      </c>
      <c r="Q375" s="51"/>
      <c r="R375" s="120"/>
      <c r="S375" s="888"/>
      <c r="T375" s="51"/>
      <c r="U375" s="120"/>
      <c r="V375" s="888"/>
      <c r="W375" s="51"/>
      <c r="X375" s="1613">
        <f t="shared" si="31"/>
        <v>0</v>
      </c>
      <c r="Y375" s="1614">
        <f t="shared" si="32"/>
        <v>8212169</v>
      </c>
      <c r="Z375" s="43"/>
      <c r="AA375" s="1621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33" t="s">
        <v>51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90"/>
      <c r="M376" s="51" t="s">
        <v>265</v>
      </c>
      <c r="N376" s="113">
        <f t="shared" si="28"/>
        <v>7519</v>
      </c>
      <c r="O376" s="120"/>
      <c r="P376" s="888"/>
      <c r="Q376" s="51"/>
      <c r="R376" s="120"/>
      <c r="S376" s="888"/>
      <c r="T376" s="51"/>
      <c r="U376" s="120"/>
      <c r="V376" s="888"/>
      <c r="W376" s="51"/>
      <c r="X376" s="1613">
        <f t="shared" si="31"/>
        <v>0</v>
      </c>
      <c r="Y376" s="1614">
        <f t="shared" si="32"/>
        <v>0</v>
      </c>
      <c r="Z376" s="43"/>
      <c r="AA376" s="1621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33" t="s">
        <v>52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90"/>
      <c r="M377" s="51" t="s">
        <v>265</v>
      </c>
      <c r="N377" s="113">
        <f t="shared" si="28"/>
        <v>7522</v>
      </c>
      <c r="O377" s="120">
        <v>0</v>
      </c>
      <c r="P377" s="888">
        <v>1599758.42</v>
      </c>
      <c r="Q377" s="51"/>
      <c r="R377" s="120"/>
      <c r="S377" s="888"/>
      <c r="T377" s="51"/>
      <c r="U377" s="120"/>
      <c r="V377" s="888"/>
      <c r="W377" s="51"/>
      <c r="X377" s="1613">
        <f t="shared" si="31"/>
        <v>0</v>
      </c>
      <c r="Y377" s="1614">
        <f t="shared" si="32"/>
        <v>1599758.42</v>
      </c>
      <c r="Z377" s="43"/>
      <c r="AA377" s="1621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33" t="s">
        <v>53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90"/>
      <c r="M378" s="51" t="s">
        <v>265</v>
      </c>
      <c r="N378" s="113">
        <f t="shared" si="28"/>
        <v>7524</v>
      </c>
      <c r="O378" s="120">
        <v>0</v>
      </c>
      <c r="P378" s="888">
        <v>73634.039999999994</v>
      </c>
      <c r="Q378" s="51"/>
      <c r="R378" s="120">
        <v>0</v>
      </c>
      <c r="S378" s="888">
        <v>75824.84</v>
      </c>
      <c r="T378" s="51"/>
      <c r="U378" s="120"/>
      <c r="V378" s="888"/>
      <c r="W378" s="51"/>
      <c r="X378" s="1613">
        <f t="shared" si="31"/>
        <v>0</v>
      </c>
      <c r="Y378" s="1614">
        <f t="shared" si="32"/>
        <v>149458.88</v>
      </c>
      <c r="Z378" s="43"/>
      <c r="AA378" s="1621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33" t="s">
        <v>54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90"/>
      <c r="M379" s="51" t="s">
        <v>265</v>
      </c>
      <c r="N379" s="113">
        <f>+A379</f>
        <v>7525</v>
      </c>
      <c r="O379" s="120"/>
      <c r="P379" s="888"/>
      <c r="Q379" s="51"/>
      <c r="R379" s="120"/>
      <c r="S379" s="888"/>
      <c r="T379" s="51"/>
      <c r="U379" s="120"/>
      <c r="V379" s="888"/>
      <c r="W379" s="51"/>
      <c r="X379" s="1613">
        <f t="shared" si="31"/>
        <v>0</v>
      </c>
      <c r="Y379" s="1614">
        <f t="shared" si="32"/>
        <v>0</v>
      </c>
      <c r="Z379" s="43"/>
      <c r="AA379" s="1621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33" t="s">
        <v>55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90"/>
      <c r="M380" s="51" t="s">
        <v>265</v>
      </c>
      <c r="N380" s="113">
        <f>+A380</f>
        <v>7532</v>
      </c>
      <c r="O380" s="120">
        <v>0.24</v>
      </c>
      <c r="P380" s="888">
        <v>0</v>
      </c>
      <c r="Q380" s="51"/>
      <c r="R380" s="120">
        <v>0</v>
      </c>
      <c r="S380" s="888">
        <v>1886127.91</v>
      </c>
      <c r="T380" s="51"/>
      <c r="U380" s="120"/>
      <c r="V380" s="888"/>
      <c r="W380" s="51"/>
      <c r="X380" s="1613">
        <f t="shared" si="31"/>
        <v>0.24</v>
      </c>
      <c r="Y380" s="1614">
        <f t="shared" si="32"/>
        <v>1886127.91</v>
      </c>
      <c r="Z380" s="43"/>
      <c r="AA380" s="1621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33" t="s">
        <v>56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90"/>
      <c r="M381" s="51" t="s">
        <v>265</v>
      </c>
      <c r="N381" s="113">
        <f>+A381</f>
        <v>7534</v>
      </c>
      <c r="O381" s="120">
        <v>75824.84</v>
      </c>
      <c r="P381" s="888">
        <v>0</v>
      </c>
      <c r="Q381" s="51"/>
      <c r="R381" s="120"/>
      <c r="S381" s="888"/>
      <c r="T381" s="51"/>
      <c r="U381" s="120"/>
      <c r="V381" s="888"/>
      <c r="W381" s="51"/>
      <c r="X381" s="1613">
        <f t="shared" si="31"/>
        <v>75824.84</v>
      </c>
      <c r="Y381" s="1614">
        <f t="shared" si="32"/>
        <v>0</v>
      </c>
      <c r="Z381" s="43"/>
      <c r="AA381" s="1621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33" t="s">
        <v>57</v>
      </c>
      <c r="C382" s="1033"/>
      <c r="D382" s="1033"/>
      <c r="E382" s="1033"/>
      <c r="F382" s="1033"/>
      <c r="G382" s="1033"/>
      <c r="H382" s="1033"/>
      <c r="I382" s="1033"/>
      <c r="J382" s="1033"/>
      <c r="K382" s="1033"/>
      <c r="L382" s="90"/>
      <c r="M382" s="51" t="s">
        <v>265</v>
      </c>
      <c r="N382" s="113">
        <f>+A382</f>
        <v>7535</v>
      </c>
      <c r="O382" s="120"/>
      <c r="P382" s="888"/>
      <c r="Q382" s="51"/>
      <c r="R382" s="120"/>
      <c r="S382" s="888"/>
      <c r="T382" s="51"/>
      <c r="U382" s="120"/>
      <c r="V382" s="888"/>
      <c r="W382" s="51"/>
      <c r="X382" s="1613">
        <f t="shared" si="31"/>
        <v>0</v>
      </c>
      <c r="Y382" s="1614">
        <f t="shared" si="32"/>
        <v>0</v>
      </c>
      <c r="Z382" s="43"/>
      <c r="AA382" s="1621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33" t="s">
        <v>58</v>
      </c>
      <c r="C383" s="1033"/>
      <c r="D383" s="1033"/>
      <c r="E383" s="1033"/>
      <c r="F383" s="1033"/>
      <c r="G383" s="1033"/>
      <c r="H383" s="1033"/>
      <c r="I383" s="1033"/>
      <c r="J383" s="1033"/>
      <c r="K383" s="1033"/>
      <c r="L383" s="90"/>
      <c r="M383" s="51" t="s">
        <v>265</v>
      </c>
      <c r="N383" s="113">
        <f t="shared" si="28"/>
        <v>7582</v>
      </c>
      <c r="O383" s="120"/>
      <c r="P383" s="888"/>
      <c r="Q383" s="51"/>
      <c r="R383" s="120"/>
      <c r="S383" s="888"/>
      <c r="T383" s="51"/>
      <c r="U383" s="120"/>
      <c r="V383" s="888"/>
      <c r="W383" s="51"/>
      <c r="X383" s="1613">
        <f t="shared" si="31"/>
        <v>0</v>
      </c>
      <c r="Y383" s="1614">
        <f t="shared" si="32"/>
        <v>0</v>
      </c>
      <c r="Z383" s="43"/>
      <c r="AA383" s="1621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33" t="s">
        <v>59</v>
      </c>
      <c r="C384" s="1033"/>
      <c r="D384" s="1033"/>
      <c r="E384" s="1033"/>
      <c r="F384" s="1033"/>
      <c r="G384" s="1033"/>
      <c r="H384" s="1033"/>
      <c r="I384" s="1033"/>
      <c r="J384" s="1033"/>
      <c r="K384" s="1033"/>
      <c r="L384" s="90"/>
      <c r="M384" s="51" t="s">
        <v>265</v>
      </c>
      <c r="N384" s="113">
        <f t="shared" si="28"/>
        <v>7584</v>
      </c>
      <c r="O384" s="120"/>
      <c r="P384" s="888"/>
      <c r="Q384" s="51"/>
      <c r="R384" s="120"/>
      <c r="S384" s="888"/>
      <c r="T384" s="51"/>
      <c r="U384" s="120"/>
      <c r="V384" s="888"/>
      <c r="W384" s="51"/>
      <c r="X384" s="1613">
        <f t="shared" si="31"/>
        <v>0</v>
      </c>
      <c r="Y384" s="1614">
        <f t="shared" si="32"/>
        <v>0</v>
      </c>
      <c r="Z384" s="43"/>
      <c r="AA384" s="1621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33" t="s">
        <v>60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8"/>
        <v>7585</v>
      </c>
      <c r="O385" s="120"/>
      <c r="P385" s="888"/>
      <c r="Q385" s="51"/>
      <c r="R385" s="120"/>
      <c r="S385" s="888"/>
      <c r="T385" s="51"/>
      <c r="U385" s="120"/>
      <c r="V385" s="888"/>
      <c r="W385" s="51"/>
      <c r="X385" s="1613">
        <f t="shared" si="31"/>
        <v>0</v>
      </c>
      <c r="Y385" s="1614">
        <f t="shared" si="32"/>
        <v>0</v>
      </c>
      <c r="Z385" s="43"/>
      <c r="AA385" s="1621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42" t="s">
        <v>61</v>
      </c>
      <c r="C386" s="1051"/>
      <c r="D386" s="1051"/>
      <c r="E386" s="1051"/>
      <c r="F386" s="1051"/>
      <c r="G386" s="1051"/>
      <c r="H386" s="1051"/>
      <c r="I386" s="1051"/>
      <c r="J386" s="1051"/>
      <c r="K386" s="1051"/>
      <c r="L386" s="90"/>
      <c r="M386" s="51" t="s">
        <v>265</v>
      </c>
      <c r="N386" s="113">
        <f t="shared" si="28"/>
        <v>7591</v>
      </c>
      <c r="O386" s="120"/>
      <c r="P386" s="888"/>
      <c r="Q386" s="51"/>
      <c r="R386" s="120"/>
      <c r="S386" s="888"/>
      <c r="T386" s="51"/>
      <c r="U386" s="120"/>
      <c r="V386" s="888"/>
      <c r="W386" s="51"/>
      <c r="X386" s="1613">
        <f t="shared" si="31"/>
        <v>0</v>
      </c>
      <c r="Y386" s="1614">
        <f t="shared" si="32"/>
        <v>0</v>
      </c>
      <c r="Z386" s="43"/>
      <c r="AA386" s="1621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42" t="s">
        <v>62</v>
      </c>
      <c r="C387" s="1051"/>
      <c r="D387" s="1051"/>
      <c r="E387" s="1051"/>
      <c r="F387" s="1051"/>
      <c r="G387" s="1051"/>
      <c r="H387" s="1051"/>
      <c r="I387" s="1051"/>
      <c r="J387" s="1051"/>
      <c r="K387" s="1051"/>
      <c r="L387" s="90"/>
      <c r="M387" s="51" t="s">
        <v>265</v>
      </c>
      <c r="N387" s="113">
        <f t="shared" si="28"/>
        <v>7595</v>
      </c>
      <c r="O387" s="120"/>
      <c r="P387" s="888"/>
      <c r="Q387" s="51"/>
      <c r="R387" s="120"/>
      <c r="S387" s="888"/>
      <c r="T387" s="51"/>
      <c r="U387" s="120"/>
      <c r="V387" s="888"/>
      <c r="W387" s="51"/>
      <c r="X387" s="1613">
        <f t="shared" si="31"/>
        <v>0</v>
      </c>
      <c r="Y387" s="1614">
        <f t="shared" si="32"/>
        <v>0</v>
      </c>
      <c r="Z387" s="43"/>
      <c r="AA387" s="1621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42" t="s">
        <v>63</v>
      </c>
      <c r="C388" s="1051"/>
      <c r="D388" s="1051"/>
      <c r="E388" s="1051"/>
      <c r="F388" s="1051"/>
      <c r="G388" s="1051"/>
      <c r="H388" s="1051"/>
      <c r="I388" s="1051"/>
      <c r="J388" s="1051"/>
      <c r="K388" s="1051"/>
      <c r="L388" s="90"/>
      <c r="M388" s="51" t="s">
        <v>265</v>
      </c>
      <c r="N388" s="113">
        <f t="shared" si="28"/>
        <v>7596</v>
      </c>
      <c r="O388" s="120"/>
      <c r="P388" s="888"/>
      <c r="Q388" s="51"/>
      <c r="R388" s="120"/>
      <c r="S388" s="888"/>
      <c r="T388" s="51"/>
      <c r="U388" s="120"/>
      <c r="V388" s="888"/>
      <c r="W388" s="51"/>
      <c r="X388" s="1613">
        <f t="shared" si="31"/>
        <v>0</v>
      </c>
      <c r="Y388" s="1614">
        <f t="shared" si="32"/>
        <v>0</v>
      </c>
      <c r="Z388" s="43"/>
      <c r="AA388" s="1621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42" t="s">
        <v>64</v>
      </c>
      <c r="C389" s="1042"/>
      <c r="D389" s="1042"/>
      <c r="E389" s="1042"/>
      <c r="F389" s="1042"/>
      <c r="G389" s="1042"/>
      <c r="H389" s="1042"/>
      <c r="I389" s="1042"/>
      <c r="J389" s="1042"/>
      <c r="K389" s="1042"/>
      <c r="L389" s="90"/>
      <c r="M389" s="51" t="s">
        <v>265</v>
      </c>
      <c r="N389" s="113">
        <f t="shared" si="28"/>
        <v>7597</v>
      </c>
      <c r="O389" s="120"/>
      <c r="P389" s="888"/>
      <c r="Q389" s="51"/>
      <c r="R389" s="120"/>
      <c r="S389" s="888"/>
      <c r="T389" s="51"/>
      <c r="U389" s="120"/>
      <c r="V389" s="888"/>
      <c r="W389" s="51"/>
      <c r="X389" s="1613">
        <f t="shared" si="31"/>
        <v>0</v>
      </c>
      <c r="Y389" s="1614">
        <f t="shared" si="32"/>
        <v>0</v>
      </c>
      <c r="Z389" s="43"/>
      <c r="AA389" s="1621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42" t="s">
        <v>65</v>
      </c>
      <c r="C390" s="1051"/>
      <c r="D390" s="1051"/>
      <c r="E390" s="1051"/>
      <c r="F390" s="1051"/>
      <c r="G390" s="1051"/>
      <c r="H390" s="1051"/>
      <c r="I390" s="1051"/>
      <c r="J390" s="1051"/>
      <c r="K390" s="1051"/>
      <c r="L390" s="90"/>
      <c r="M390" s="51" t="s">
        <v>265</v>
      </c>
      <c r="N390" s="113">
        <f t="shared" si="28"/>
        <v>7598</v>
      </c>
      <c r="O390" s="120"/>
      <c r="P390" s="888"/>
      <c r="Q390" s="51"/>
      <c r="R390" s="120"/>
      <c r="S390" s="888"/>
      <c r="T390" s="51"/>
      <c r="U390" s="120"/>
      <c r="V390" s="888"/>
      <c r="W390" s="51"/>
      <c r="X390" s="1613">
        <f t="shared" si="31"/>
        <v>0</v>
      </c>
      <c r="Y390" s="1614">
        <f t="shared" si="32"/>
        <v>0</v>
      </c>
      <c r="Z390" s="43"/>
      <c r="AA390" s="1621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42" t="s">
        <v>66</v>
      </c>
      <c r="C391" s="1051"/>
      <c r="D391" s="1051"/>
      <c r="E391" s="1051"/>
      <c r="F391" s="1051"/>
      <c r="G391" s="1051"/>
      <c r="H391" s="1051"/>
      <c r="I391" s="1051"/>
      <c r="J391" s="1051"/>
      <c r="K391" s="1051"/>
      <c r="L391" s="90"/>
      <c r="M391" s="51" t="s">
        <v>265</v>
      </c>
      <c r="N391" s="113">
        <f t="shared" si="28"/>
        <v>7599</v>
      </c>
      <c r="O391" s="120"/>
      <c r="P391" s="888"/>
      <c r="Q391" s="51"/>
      <c r="R391" s="120"/>
      <c r="S391" s="888"/>
      <c r="T391" s="51"/>
      <c r="U391" s="120"/>
      <c r="V391" s="888"/>
      <c r="W391" s="51"/>
      <c r="X391" s="1613">
        <f t="shared" si="31"/>
        <v>0</v>
      </c>
      <c r="Y391" s="1614">
        <f t="shared" si="32"/>
        <v>0</v>
      </c>
      <c r="Z391" s="43"/>
      <c r="AA391" s="1621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45" t="s">
        <v>2182</v>
      </c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90"/>
      <c r="M392" s="51" t="s">
        <v>265</v>
      </c>
      <c r="N392" s="113">
        <f t="shared" si="28"/>
        <v>7600</v>
      </c>
      <c r="O392" s="120">
        <v>0</v>
      </c>
      <c r="P392" s="888">
        <v>0</v>
      </c>
      <c r="Q392" s="51"/>
      <c r="R392" s="120">
        <v>0</v>
      </c>
      <c r="S392" s="888">
        <v>0</v>
      </c>
      <c r="T392" s="51"/>
      <c r="U392" s="120"/>
      <c r="V392" s="888"/>
      <c r="W392" s="51"/>
      <c r="X392" s="1613">
        <f t="shared" si="31"/>
        <v>0</v>
      </c>
      <c r="Y392" s="1614">
        <f t="shared" si="32"/>
        <v>0</v>
      </c>
      <c r="Z392" s="43"/>
      <c r="AA392" s="1621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406" t="s">
        <v>2183</v>
      </c>
      <c r="C393" s="2407"/>
      <c r="D393" s="2407"/>
      <c r="E393" s="2407"/>
      <c r="F393" s="2407"/>
      <c r="G393" s="2407"/>
      <c r="H393" s="2407"/>
      <c r="I393" s="2407"/>
      <c r="J393" s="2407"/>
      <c r="K393" s="1035"/>
      <c r="L393" s="90"/>
      <c r="M393" s="51" t="s">
        <v>265</v>
      </c>
      <c r="N393" s="113">
        <f t="shared" si="28"/>
        <v>7601</v>
      </c>
      <c r="O393" s="120">
        <v>0</v>
      </c>
      <c r="P393" s="888">
        <v>55470.03</v>
      </c>
      <c r="Q393" s="51"/>
      <c r="R393" s="120">
        <v>55470.03</v>
      </c>
      <c r="S393" s="888">
        <v>0</v>
      </c>
      <c r="T393" s="51"/>
      <c r="U393" s="120"/>
      <c r="V393" s="888"/>
      <c r="W393" s="51"/>
      <c r="X393" s="1613">
        <f t="shared" si="31"/>
        <v>55470.03</v>
      </c>
      <c r="Y393" s="1614">
        <f t="shared" si="32"/>
        <v>55470.03</v>
      </c>
      <c r="Z393" s="43"/>
      <c r="AA393" s="1621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45" t="s">
        <v>2184</v>
      </c>
      <c r="C394" s="1035"/>
      <c r="D394" s="1035"/>
      <c r="E394" s="1035"/>
      <c r="F394" s="1035"/>
      <c r="G394" s="1035"/>
      <c r="H394" s="1035"/>
      <c r="I394" s="1035"/>
      <c r="J394" s="1035"/>
      <c r="K394" s="1035"/>
      <c r="L394" s="90"/>
      <c r="M394" s="51" t="s">
        <v>265</v>
      </c>
      <c r="N394" s="113">
        <f t="shared" si="28"/>
        <v>7602</v>
      </c>
      <c r="O394" s="120">
        <v>0</v>
      </c>
      <c r="P394" s="888">
        <v>155914.79999999999</v>
      </c>
      <c r="Q394" s="51"/>
      <c r="R394" s="120"/>
      <c r="S394" s="888"/>
      <c r="T394" s="51"/>
      <c r="U394" s="120">
        <v>155914.79999999999</v>
      </c>
      <c r="V394" s="888">
        <v>0</v>
      </c>
      <c r="W394" s="51"/>
      <c r="X394" s="1613">
        <f t="shared" si="31"/>
        <v>155914.79999999999</v>
      </c>
      <c r="Y394" s="1614">
        <f t="shared" si="32"/>
        <v>155914.79999999999</v>
      </c>
      <c r="Z394" s="43"/>
      <c r="AA394" s="1621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406" t="s">
        <v>2185</v>
      </c>
      <c r="C395" s="2408"/>
      <c r="D395" s="2408"/>
      <c r="E395" s="2408"/>
      <c r="F395" s="2408"/>
      <c r="G395" s="2408"/>
      <c r="H395" s="2408"/>
      <c r="I395" s="2408"/>
      <c r="J395" s="2408"/>
      <c r="K395" s="2408"/>
      <c r="L395" s="90"/>
      <c r="M395" s="51" t="s">
        <v>265</v>
      </c>
      <c r="N395" s="113">
        <f>+A395</f>
        <v>7603</v>
      </c>
      <c r="O395" s="120"/>
      <c r="P395" s="888"/>
      <c r="Q395" s="51"/>
      <c r="R395" s="120"/>
      <c r="S395" s="888"/>
      <c r="T395" s="51"/>
      <c r="U395" s="120"/>
      <c r="V395" s="888"/>
      <c r="W395" s="51"/>
      <c r="X395" s="1613">
        <f t="shared" si="31"/>
        <v>0</v>
      </c>
      <c r="Y395" s="1614">
        <f t="shared" si="32"/>
        <v>0</v>
      </c>
      <c r="Z395" s="43"/>
      <c r="AA395" s="1621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42" t="s">
        <v>67</v>
      </c>
      <c r="C396" s="1051"/>
      <c r="D396" s="1051"/>
      <c r="E396" s="1051"/>
      <c r="F396" s="1051"/>
      <c r="G396" s="1051"/>
      <c r="H396" s="1051"/>
      <c r="I396" s="1051"/>
      <c r="J396" s="1051"/>
      <c r="K396" s="1051"/>
      <c r="L396" s="90"/>
      <c r="M396" s="51" t="s">
        <v>265</v>
      </c>
      <c r="N396" s="113">
        <f>+A396</f>
        <v>7609</v>
      </c>
      <c r="O396" s="954">
        <v>0</v>
      </c>
      <c r="P396" s="890">
        <v>0</v>
      </c>
      <c r="Q396" s="51"/>
      <c r="R396" s="604">
        <v>0</v>
      </c>
      <c r="S396" s="605">
        <v>0</v>
      </c>
      <c r="T396" s="51"/>
      <c r="U396" s="120">
        <v>0</v>
      </c>
      <c r="V396" s="888">
        <v>6557085.2800000003</v>
      </c>
      <c r="W396" s="51"/>
      <c r="X396" s="1613">
        <f t="shared" si="31"/>
        <v>0</v>
      </c>
      <c r="Y396" s="1614">
        <f t="shared" si="32"/>
        <v>6557085.2800000003</v>
      </c>
      <c r="Z396" s="43"/>
      <c r="AA396" s="1621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33" t="s">
        <v>68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8"/>
        <v>7612</v>
      </c>
      <c r="O397" s="120">
        <v>0</v>
      </c>
      <c r="P397" s="888">
        <v>15182.4</v>
      </c>
      <c r="Q397" s="51"/>
      <c r="R397" s="581"/>
      <c r="S397" s="891"/>
      <c r="T397" s="51"/>
      <c r="U397" s="120"/>
      <c r="V397" s="888"/>
      <c r="W397" s="51"/>
      <c r="X397" s="1613">
        <f t="shared" si="31"/>
        <v>0</v>
      </c>
      <c r="Y397" s="1614">
        <f t="shared" si="32"/>
        <v>15182.4</v>
      </c>
      <c r="Z397" s="43"/>
      <c r="AA397" s="1621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42" t="s">
        <v>69</v>
      </c>
      <c r="C398" s="1051"/>
      <c r="D398" s="1051"/>
      <c r="E398" s="1051"/>
      <c r="F398" s="1051"/>
      <c r="G398" s="1051"/>
      <c r="H398" s="1051"/>
      <c r="I398" s="1051"/>
      <c r="J398" s="1051"/>
      <c r="K398" s="1051"/>
      <c r="L398" s="90"/>
      <c r="M398" s="51" t="s">
        <v>265</v>
      </c>
      <c r="N398" s="113">
        <f t="shared" si="28"/>
        <v>7613</v>
      </c>
      <c r="O398" s="120"/>
      <c r="P398" s="888"/>
      <c r="Q398" s="51"/>
      <c r="R398" s="581"/>
      <c r="S398" s="891"/>
      <c r="T398" s="51"/>
      <c r="U398" s="120"/>
      <c r="V398" s="888"/>
      <c r="W398" s="51"/>
      <c r="X398" s="1613">
        <f t="shared" si="31"/>
        <v>0</v>
      </c>
      <c r="Y398" s="1614">
        <f t="shared" si="32"/>
        <v>0</v>
      </c>
      <c r="Z398" s="43"/>
      <c r="AA398" s="1621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42" t="s">
        <v>70</v>
      </c>
      <c r="C399" s="1051"/>
      <c r="D399" s="1051"/>
      <c r="E399" s="1051"/>
      <c r="F399" s="1051"/>
      <c r="G399" s="1051"/>
      <c r="H399" s="1051"/>
      <c r="I399" s="1051"/>
      <c r="J399" s="1051"/>
      <c r="K399" s="1051"/>
      <c r="L399" s="90"/>
      <c r="M399" s="51" t="s">
        <v>265</v>
      </c>
      <c r="N399" s="113">
        <f t="shared" si="28"/>
        <v>7614</v>
      </c>
      <c r="O399" s="120"/>
      <c r="P399" s="888"/>
      <c r="Q399" s="51"/>
      <c r="R399" s="581"/>
      <c r="S399" s="891"/>
      <c r="T399" s="51"/>
      <c r="U399" s="120"/>
      <c r="V399" s="888"/>
      <c r="W399" s="51"/>
      <c r="X399" s="1613">
        <f t="shared" si="31"/>
        <v>0</v>
      </c>
      <c r="Y399" s="1614">
        <f t="shared" si="32"/>
        <v>0</v>
      </c>
      <c r="Z399" s="43"/>
      <c r="AA399" s="1621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42" t="s">
        <v>71</v>
      </c>
      <c r="C400" s="1051"/>
      <c r="D400" s="1051"/>
      <c r="E400" s="1051"/>
      <c r="F400" s="1051"/>
      <c r="G400" s="1051"/>
      <c r="H400" s="1051"/>
      <c r="I400" s="1051"/>
      <c r="J400" s="1051"/>
      <c r="K400" s="1051"/>
      <c r="L400" s="90"/>
      <c r="M400" s="51" t="s">
        <v>265</v>
      </c>
      <c r="N400" s="113">
        <f t="shared" si="28"/>
        <v>7615</v>
      </c>
      <c r="O400" s="120"/>
      <c r="P400" s="888"/>
      <c r="Q400" s="51"/>
      <c r="R400" s="581"/>
      <c r="S400" s="891"/>
      <c r="T400" s="51"/>
      <c r="U400" s="120"/>
      <c r="V400" s="888"/>
      <c r="W400" s="51"/>
      <c r="X400" s="1613">
        <f t="shared" si="31"/>
        <v>0</v>
      </c>
      <c r="Y400" s="1614">
        <f t="shared" si="32"/>
        <v>0</v>
      </c>
      <c r="Z400" s="43"/>
      <c r="AA400" s="1621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33" t="s">
        <v>72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8"/>
        <v>7617</v>
      </c>
      <c r="O401" s="120"/>
      <c r="P401" s="888"/>
      <c r="Q401" s="51"/>
      <c r="R401" s="581"/>
      <c r="S401" s="891"/>
      <c r="T401" s="51"/>
      <c r="U401" s="120"/>
      <c r="V401" s="888"/>
      <c r="W401" s="51"/>
      <c r="X401" s="1613">
        <f t="shared" si="31"/>
        <v>0</v>
      </c>
      <c r="Y401" s="1614">
        <f t="shared" si="32"/>
        <v>0</v>
      </c>
      <c r="Z401" s="43"/>
      <c r="AA401" s="1621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33" t="s">
        <v>73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90"/>
      <c r="M402" s="51" t="s">
        <v>265</v>
      </c>
      <c r="N402" s="113">
        <f t="shared" si="28"/>
        <v>7618</v>
      </c>
      <c r="O402" s="120"/>
      <c r="P402" s="888"/>
      <c r="Q402" s="51"/>
      <c r="R402" s="581"/>
      <c r="S402" s="891"/>
      <c r="T402" s="51"/>
      <c r="U402" s="120"/>
      <c r="V402" s="888"/>
      <c r="W402" s="51"/>
      <c r="X402" s="1613">
        <f t="shared" si="31"/>
        <v>0</v>
      </c>
      <c r="Y402" s="1614">
        <f t="shared" si="32"/>
        <v>0</v>
      </c>
      <c r="Z402" s="43"/>
      <c r="AA402" s="1621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33" t="s">
        <v>74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90"/>
      <c r="M403" s="51" t="s">
        <v>265</v>
      </c>
      <c r="N403" s="113">
        <f t="shared" ref="N403:N461" si="33">+A403</f>
        <v>7642</v>
      </c>
      <c r="O403" s="120"/>
      <c r="P403" s="888"/>
      <c r="Q403" s="51"/>
      <c r="R403" s="581">
        <v>0</v>
      </c>
      <c r="S403" s="891">
        <v>7591.2</v>
      </c>
      <c r="T403" s="51"/>
      <c r="U403" s="120"/>
      <c r="V403" s="888"/>
      <c r="W403" s="51"/>
      <c r="X403" s="1613">
        <f t="shared" si="31"/>
        <v>0</v>
      </c>
      <c r="Y403" s="1614">
        <f t="shared" si="32"/>
        <v>7591.2</v>
      </c>
      <c r="Z403" s="43"/>
      <c r="AA403" s="1621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33" t="s">
        <v>75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90"/>
      <c r="M404" s="51" t="s">
        <v>265</v>
      </c>
      <c r="N404" s="113">
        <f t="shared" si="33"/>
        <v>7643</v>
      </c>
      <c r="O404" s="120"/>
      <c r="P404" s="888"/>
      <c r="Q404" s="51"/>
      <c r="R404" s="581"/>
      <c r="S404" s="891"/>
      <c r="T404" s="51"/>
      <c r="U404" s="120"/>
      <c r="V404" s="888"/>
      <c r="W404" s="51"/>
      <c r="X404" s="1613">
        <f t="shared" si="31"/>
        <v>0</v>
      </c>
      <c r="Y404" s="1614">
        <f t="shared" si="32"/>
        <v>0</v>
      </c>
      <c r="Z404" s="43"/>
      <c r="AA404" s="1621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33" t="s">
        <v>76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90"/>
      <c r="M405" s="51" t="s">
        <v>265</v>
      </c>
      <c r="N405" s="113">
        <f t="shared" si="33"/>
        <v>7644</v>
      </c>
      <c r="O405" s="120"/>
      <c r="P405" s="888"/>
      <c r="Q405" s="51"/>
      <c r="R405" s="581"/>
      <c r="S405" s="891"/>
      <c r="T405" s="51"/>
      <c r="U405" s="120"/>
      <c r="V405" s="888"/>
      <c r="W405" s="51"/>
      <c r="X405" s="1613">
        <f t="shared" si="31"/>
        <v>0</v>
      </c>
      <c r="Y405" s="1614">
        <f t="shared" si="32"/>
        <v>0</v>
      </c>
      <c r="Z405" s="43"/>
      <c r="AA405" s="1621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33" t="s">
        <v>77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90"/>
      <c r="M406" s="51" t="s">
        <v>265</v>
      </c>
      <c r="N406" s="113">
        <f t="shared" si="33"/>
        <v>7645</v>
      </c>
      <c r="O406" s="120"/>
      <c r="P406" s="888"/>
      <c r="Q406" s="51"/>
      <c r="R406" s="581"/>
      <c r="S406" s="891"/>
      <c r="T406" s="51"/>
      <c r="U406" s="120"/>
      <c r="V406" s="888"/>
      <c r="W406" s="51"/>
      <c r="X406" s="1613">
        <f t="shared" si="31"/>
        <v>0</v>
      </c>
      <c r="Y406" s="1614">
        <f t="shared" si="32"/>
        <v>0</v>
      </c>
      <c r="Z406" s="43"/>
      <c r="AA406" s="1621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33" t="s">
        <v>78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90"/>
      <c r="M407" s="51" t="s">
        <v>265</v>
      </c>
      <c r="N407" s="113">
        <f t="shared" si="33"/>
        <v>7647</v>
      </c>
      <c r="O407" s="120"/>
      <c r="P407" s="888"/>
      <c r="Q407" s="51"/>
      <c r="R407" s="581"/>
      <c r="S407" s="891"/>
      <c r="T407" s="51"/>
      <c r="U407" s="120"/>
      <c r="V407" s="888"/>
      <c r="W407" s="51"/>
      <c r="X407" s="1613">
        <f t="shared" si="31"/>
        <v>0</v>
      </c>
      <c r="Y407" s="1614">
        <f t="shared" si="32"/>
        <v>0</v>
      </c>
      <c r="Z407" s="43"/>
      <c r="AA407" s="1621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33" t="s">
        <v>79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90"/>
      <c r="M408" s="51" t="s">
        <v>265</v>
      </c>
      <c r="N408" s="113">
        <f t="shared" si="33"/>
        <v>7648</v>
      </c>
      <c r="O408" s="120"/>
      <c r="P408" s="888"/>
      <c r="Q408" s="51"/>
      <c r="R408" s="581"/>
      <c r="S408" s="891"/>
      <c r="T408" s="51"/>
      <c r="U408" s="120"/>
      <c r="V408" s="888"/>
      <c r="W408" s="51"/>
      <c r="X408" s="1613">
        <f t="shared" si="31"/>
        <v>0</v>
      </c>
      <c r="Y408" s="1614">
        <f t="shared" si="32"/>
        <v>0</v>
      </c>
      <c r="Z408" s="43"/>
      <c r="AA408" s="1621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33" t="s">
        <v>80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90"/>
      <c r="M409" s="51" t="s">
        <v>265</v>
      </c>
      <c r="N409" s="113">
        <f t="shared" si="33"/>
        <v>7652</v>
      </c>
      <c r="O409" s="120"/>
      <c r="P409" s="888"/>
      <c r="Q409" s="51"/>
      <c r="R409" s="581"/>
      <c r="S409" s="891"/>
      <c r="T409" s="51"/>
      <c r="U409" s="120"/>
      <c r="V409" s="888"/>
      <c r="W409" s="51"/>
      <c r="X409" s="1613">
        <f t="shared" si="31"/>
        <v>0</v>
      </c>
      <c r="Y409" s="1614">
        <f t="shared" si="32"/>
        <v>0</v>
      </c>
      <c r="Z409" s="43"/>
      <c r="AA409" s="1621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33" t="s">
        <v>81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33"/>
        <v>7653</v>
      </c>
      <c r="O410" s="120"/>
      <c r="P410" s="888"/>
      <c r="Q410" s="51"/>
      <c r="R410" s="581"/>
      <c r="S410" s="891"/>
      <c r="T410" s="51"/>
      <c r="U410" s="120"/>
      <c r="V410" s="888"/>
      <c r="W410" s="51"/>
      <c r="X410" s="1613">
        <f t="shared" si="31"/>
        <v>0</v>
      </c>
      <c r="Y410" s="1614">
        <f t="shared" si="32"/>
        <v>0</v>
      </c>
      <c r="Z410" s="43"/>
      <c r="AA410" s="1621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33" t="s">
        <v>82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33"/>
        <v>7654</v>
      </c>
      <c r="O411" s="120"/>
      <c r="P411" s="888"/>
      <c r="Q411" s="51"/>
      <c r="R411" s="581"/>
      <c r="S411" s="891"/>
      <c r="T411" s="51"/>
      <c r="U411" s="120"/>
      <c r="V411" s="888"/>
      <c r="W411" s="51"/>
      <c r="X411" s="1613">
        <f t="shared" si="31"/>
        <v>0</v>
      </c>
      <c r="Y411" s="1614">
        <f t="shared" si="32"/>
        <v>0</v>
      </c>
      <c r="Z411" s="43"/>
      <c r="AA411" s="1621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33" t="s">
        <v>83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33"/>
        <v>7655</v>
      </c>
      <c r="O412" s="120"/>
      <c r="P412" s="888"/>
      <c r="Q412" s="51"/>
      <c r="R412" s="581"/>
      <c r="S412" s="891"/>
      <c r="T412" s="51"/>
      <c r="U412" s="120"/>
      <c r="V412" s="888"/>
      <c r="W412" s="51"/>
      <c r="X412" s="1613">
        <f t="shared" si="31"/>
        <v>0</v>
      </c>
      <c r="Y412" s="1614">
        <f t="shared" si="32"/>
        <v>0</v>
      </c>
      <c r="Z412" s="43"/>
      <c r="AA412" s="1621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33" t="s">
        <v>84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33"/>
        <v>7657</v>
      </c>
      <c r="O413" s="120"/>
      <c r="P413" s="888"/>
      <c r="Q413" s="51"/>
      <c r="R413" s="581"/>
      <c r="S413" s="891"/>
      <c r="T413" s="51"/>
      <c r="U413" s="120"/>
      <c r="V413" s="888"/>
      <c r="W413" s="51"/>
      <c r="X413" s="1613">
        <f t="shared" si="31"/>
        <v>0</v>
      </c>
      <c r="Y413" s="1614">
        <f t="shared" si="32"/>
        <v>0</v>
      </c>
      <c r="Z413" s="43"/>
      <c r="AA413" s="1621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33" t="s">
        <v>85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33"/>
        <v>7658</v>
      </c>
      <c r="O414" s="120"/>
      <c r="P414" s="888"/>
      <c r="Q414" s="51"/>
      <c r="R414" s="581"/>
      <c r="S414" s="891"/>
      <c r="T414" s="51"/>
      <c r="U414" s="120"/>
      <c r="V414" s="888"/>
      <c r="W414" s="51"/>
      <c r="X414" s="1613">
        <f t="shared" si="31"/>
        <v>0</v>
      </c>
      <c r="Y414" s="1614">
        <f t="shared" si="32"/>
        <v>0</v>
      </c>
      <c r="Z414" s="43"/>
      <c r="AA414" s="1621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33" t="s">
        <v>86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33"/>
        <v>7672</v>
      </c>
      <c r="O415" s="120"/>
      <c r="P415" s="888"/>
      <c r="Q415" s="51"/>
      <c r="R415" s="581"/>
      <c r="S415" s="891"/>
      <c r="T415" s="51"/>
      <c r="U415" s="120"/>
      <c r="V415" s="888"/>
      <c r="W415" s="51"/>
      <c r="X415" s="1613">
        <f t="shared" si="31"/>
        <v>0</v>
      </c>
      <c r="Y415" s="1614">
        <f t="shared" si="32"/>
        <v>0</v>
      </c>
      <c r="Z415" s="43"/>
      <c r="AA415" s="1621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33" t="s">
        <v>813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33"/>
        <v>7673</v>
      </c>
      <c r="O416" s="120"/>
      <c r="P416" s="888"/>
      <c r="Q416" s="51"/>
      <c r="R416" s="581"/>
      <c r="S416" s="891"/>
      <c r="T416" s="51"/>
      <c r="U416" s="120"/>
      <c r="V416" s="888"/>
      <c r="W416" s="51"/>
      <c r="X416" s="1613">
        <f t="shared" si="31"/>
        <v>0</v>
      </c>
      <c r="Y416" s="1614">
        <f t="shared" si="32"/>
        <v>0</v>
      </c>
      <c r="Z416" s="43"/>
      <c r="AA416" s="1621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33" t="s">
        <v>814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 t="shared" si="33"/>
        <v>7674</v>
      </c>
      <c r="O417" s="120"/>
      <c r="P417" s="888"/>
      <c r="Q417" s="51"/>
      <c r="R417" s="581"/>
      <c r="S417" s="891"/>
      <c r="T417" s="51"/>
      <c r="U417" s="120"/>
      <c r="V417" s="888"/>
      <c r="W417" s="51"/>
      <c r="X417" s="1613">
        <f t="shared" si="31"/>
        <v>0</v>
      </c>
      <c r="Y417" s="1614">
        <f t="shared" si="32"/>
        <v>0</v>
      </c>
      <c r="Z417" s="43"/>
      <c r="AA417" s="1621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33" t="s">
        <v>815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>+A418</f>
        <v>7675</v>
      </c>
      <c r="O418" s="120"/>
      <c r="P418" s="888"/>
      <c r="Q418" s="51"/>
      <c r="R418" s="581"/>
      <c r="S418" s="891"/>
      <c r="T418" s="51"/>
      <c r="U418" s="120"/>
      <c r="V418" s="888"/>
      <c r="W418" s="51"/>
      <c r="X418" s="1613">
        <f t="shared" si="31"/>
        <v>0</v>
      </c>
      <c r="Y418" s="1614">
        <f t="shared" si="32"/>
        <v>0</v>
      </c>
      <c r="Z418" s="43"/>
      <c r="AA418" s="1621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33" t="s">
        <v>816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>+A419</f>
        <v>7677</v>
      </c>
      <c r="O419" s="120"/>
      <c r="P419" s="888"/>
      <c r="Q419" s="51"/>
      <c r="R419" s="581"/>
      <c r="S419" s="891"/>
      <c r="T419" s="51"/>
      <c r="U419" s="120"/>
      <c r="V419" s="888"/>
      <c r="W419" s="51"/>
      <c r="X419" s="1613">
        <f t="shared" si="31"/>
        <v>0</v>
      </c>
      <c r="Y419" s="1614">
        <f t="shared" si="32"/>
        <v>0</v>
      </c>
      <c r="Z419" s="43"/>
      <c r="AA419" s="1621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33" t="s">
        <v>817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7678</v>
      </c>
      <c r="O420" s="120"/>
      <c r="P420" s="888"/>
      <c r="Q420" s="51"/>
      <c r="R420" s="581"/>
      <c r="S420" s="891"/>
      <c r="T420" s="51"/>
      <c r="U420" s="120"/>
      <c r="V420" s="888"/>
      <c r="W420" s="51"/>
      <c r="X420" s="1613">
        <f t="shared" si="31"/>
        <v>0</v>
      </c>
      <c r="Y420" s="1614">
        <f t="shared" si="32"/>
        <v>0</v>
      </c>
      <c r="Z420" s="43"/>
      <c r="AA420" s="1621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42" t="s">
        <v>818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33"/>
        <v>7682</v>
      </c>
      <c r="O421" s="120">
        <v>14380.86</v>
      </c>
      <c r="P421" s="888">
        <v>0</v>
      </c>
      <c r="Q421" s="51"/>
      <c r="R421" s="581"/>
      <c r="S421" s="891"/>
      <c r="T421" s="51"/>
      <c r="U421" s="120"/>
      <c r="V421" s="888"/>
      <c r="W421" s="51"/>
      <c r="X421" s="1613">
        <f t="shared" si="31"/>
        <v>14380.86</v>
      </c>
      <c r="Y421" s="1614">
        <f t="shared" si="32"/>
        <v>0</v>
      </c>
      <c r="Z421" s="43"/>
      <c r="AA421" s="1621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42" t="s">
        <v>819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33"/>
        <v>7684</v>
      </c>
      <c r="O422" s="120"/>
      <c r="P422" s="888"/>
      <c r="Q422" s="51"/>
      <c r="R422" s="581"/>
      <c r="S422" s="891"/>
      <c r="T422" s="51"/>
      <c r="U422" s="120"/>
      <c r="V422" s="888"/>
      <c r="W422" s="51"/>
      <c r="X422" s="1613">
        <f t="shared" si="31"/>
        <v>0</v>
      </c>
      <c r="Y422" s="1614">
        <f t="shared" si="32"/>
        <v>0</v>
      </c>
      <c r="Z422" s="43"/>
      <c r="AA422" s="1621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42" t="s">
        <v>820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33"/>
        <v>7685</v>
      </c>
      <c r="O423" s="120"/>
      <c r="P423" s="888"/>
      <c r="Q423" s="51"/>
      <c r="R423" s="581"/>
      <c r="S423" s="891"/>
      <c r="T423" s="51"/>
      <c r="U423" s="120"/>
      <c r="V423" s="888"/>
      <c r="W423" s="51"/>
      <c r="X423" s="1613">
        <f t="shared" si="31"/>
        <v>0</v>
      </c>
      <c r="Y423" s="1614">
        <f t="shared" si="32"/>
        <v>0</v>
      </c>
      <c r="Z423" s="43"/>
      <c r="AA423" s="1621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42" t="s">
        <v>821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33"/>
        <v>7689</v>
      </c>
      <c r="O424" s="120"/>
      <c r="P424" s="888"/>
      <c r="Q424" s="51"/>
      <c r="R424" s="581"/>
      <c r="S424" s="891"/>
      <c r="T424" s="51"/>
      <c r="U424" s="120"/>
      <c r="V424" s="888"/>
      <c r="W424" s="51"/>
      <c r="X424" s="1613">
        <f t="shared" si="31"/>
        <v>0</v>
      </c>
      <c r="Y424" s="1614">
        <f t="shared" si="32"/>
        <v>0</v>
      </c>
      <c r="Z424" s="43"/>
      <c r="AA424" s="1621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78" t="s">
        <v>822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33"/>
        <v>7692</v>
      </c>
      <c r="O425" s="120"/>
      <c r="P425" s="888"/>
      <c r="Q425" s="51"/>
      <c r="R425" s="581"/>
      <c r="S425" s="891"/>
      <c r="T425" s="51"/>
      <c r="U425" s="120"/>
      <c r="V425" s="888"/>
      <c r="W425" s="51"/>
      <c r="X425" s="1613">
        <f t="shared" si="31"/>
        <v>0</v>
      </c>
      <c r="Y425" s="1614">
        <f t="shared" si="32"/>
        <v>0</v>
      </c>
      <c r="Z425" s="43"/>
      <c r="AA425" s="1621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42" t="s">
        <v>823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33"/>
        <v>7693</v>
      </c>
      <c r="O426" s="120"/>
      <c r="P426" s="888"/>
      <c r="Q426" s="51"/>
      <c r="R426" s="581"/>
      <c r="S426" s="891"/>
      <c r="T426" s="51"/>
      <c r="U426" s="120"/>
      <c r="V426" s="888"/>
      <c r="W426" s="51"/>
      <c r="X426" s="1613">
        <f t="shared" si="31"/>
        <v>0</v>
      </c>
      <c r="Y426" s="1614">
        <f t="shared" si="32"/>
        <v>0</v>
      </c>
      <c r="Z426" s="43"/>
      <c r="AA426" s="1621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42" t="s">
        <v>824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33"/>
        <v>7694</v>
      </c>
      <c r="O427" s="120"/>
      <c r="P427" s="888"/>
      <c r="Q427" s="51"/>
      <c r="R427" s="581"/>
      <c r="S427" s="891"/>
      <c r="T427" s="51"/>
      <c r="U427" s="120"/>
      <c r="V427" s="888"/>
      <c r="W427" s="51"/>
      <c r="X427" s="1613">
        <f t="shared" si="31"/>
        <v>0</v>
      </c>
      <c r="Y427" s="1614">
        <f t="shared" si="32"/>
        <v>0</v>
      </c>
      <c r="Z427" s="43"/>
      <c r="AA427" s="1621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42" t="s">
        <v>2110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33"/>
        <v>7695</v>
      </c>
      <c r="O428" s="120"/>
      <c r="P428" s="888"/>
      <c r="Q428" s="51"/>
      <c r="R428" s="581"/>
      <c r="S428" s="891"/>
      <c r="T428" s="51"/>
      <c r="U428" s="120"/>
      <c r="V428" s="888"/>
      <c r="W428" s="51"/>
      <c r="X428" s="1613">
        <f t="shared" si="31"/>
        <v>0</v>
      </c>
      <c r="Y428" s="1614">
        <f t="shared" si="32"/>
        <v>0</v>
      </c>
      <c r="Z428" s="43"/>
      <c r="AA428" s="1621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78" t="s">
        <v>825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33"/>
        <v>7697</v>
      </c>
      <c r="O429" s="120"/>
      <c r="P429" s="888"/>
      <c r="Q429" s="51"/>
      <c r="R429" s="581"/>
      <c r="S429" s="891"/>
      <c r="T429" s="51"/>
      <c r="U429" s="120"/>
      <c r="V429" s="888"/>
      <c r="W429" s="51"/>
      <c r="X429" s="1613">
        <f t="shared" ref="X429:X461" si="35">+ROUND(+O429+R429+U429,2)</f>
        <v>0</v>
      </c>
      <c r="Y429" s="1614">
        <f t="shared" si="32"/>
        <v>0</v>
      </c>
      <c r="Z429" s="43"/>
      <c r="AA429" s="1621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78" t="s">
        <v>826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33"/>
        <v>7698</v>
      </c>
      <c r="O430" s="120"/>
      <c r="P430" s="888"/>
      <c r="Q430" s="51"/>
      <c r="R430" s="581"/>
      <c r="S430" s="891"/>
      <c r="T430" s="51"/>
      <c r="U430" s="120"/>
      <c r="V430" s="888"/>
      <c r="W430" s="51"/>
      <c r="X430" s="1613">
        <f t="shared" si="35"/>
        <v>0</v>
      </c>
      <c r="Y430" s="1614">
        <f t="shared" si="32"/>
        <v>0</v>
      </c>
      <c r="Z430" s="43"/>
      <c r="AA430" s="1621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32" t="s">
        <v>827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>+A431</f>
        <v>7699</v>
      </c>
      <c r="O431" s="120"/>
      <c r="P431" s="888"/>
      <c r="Q431" s="51"/>
      <c r="R431" s="581"/>
      <c r="S431" s="891"/>
      <c r="T431" s="51"/>
      <c r="U431" s="120"/>
      <c r="V431" s="888"/>
      <c r="W431" s="51"/>
      <c r="X431" s="1613">
        <f t="shared" si="35"/>
        <v>0</v>
      </c>
      <c r="Y431" s="1614">
        <f t="shared" si="32"/>
        <v>0</v>
      </c>
      <c r="Z431" s="43"/>
      <c r="AA431" s="1621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78" t="s">
        <v>828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33"/>
        <v>7801</v>
      </c>
      <c r="O432" s="120">
        <v>21610.94</v>
      </c>
      <c r="P432" s="888">
        <v>0</v>
      </c>
      <c r="Q432" s="51"/>
      <c r="R432" s="581"/>
      <c r="S432" s="891"/>
      <c r="T432" s="51"/>
      <c r="U432" s="120"/>
      <c r="V432" s="888"/>
      <c r="W432" s="51"/>
      <c r="X432" s="1613">
        <f t="shared" si="35"/>
        <v>21610.94</v>
      </c>
      <c r="Y432" s="1614">
        <f t="shared" si="32"/>
        <v>0</v>
      </c>
      <c r="Z432" s="43"/>
      <c r="AA432" s="1621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78" t="s">
        <v>829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33"/>
        <v>7802</v>
      </c>
      <c r="O433" s="120"/>
      <c r="P433" s="888"/>
      <c r="Q433" s="51"/>
      <c r="R433" s="581"/>
      <c r="S433" s="891"/>
      <c r="T433" s="51"/>
      <c r="U433" s="120"/>
      <c r="V433" s="888"/>
      <c r="W433" s="51"/>
      <c r="X433" s="1613">
        <f t="shared" si="35"/>
        <v>0</v>
      </c>
      <c r="Y433" s="1614">
        <f t="shared" si="32"/>
        <v>0</v>
      </c>
      <c r="Z433" s="43"/>
      <c r="AA433" s="1621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42" t="s">
        <v>830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>+A434</f>
        <v>7803</v>
      </c>
      <c r="O434" s="120"/>
      <c r="P434" s="888"/>
      <c r="Q434" s="51"/>
      <c r="R434" s="581"/>
      <c r="S434" s="891"/>
      <c r="T434" s="51"/>
      <c r="U434" s="120"/>
      <c r="V434" s="888"/>
      <c r="W434" s="51"/>
      <c r="X434" s="1613">
        <f t="shared" si="35"/>
        <v>0</v>
      </c>
      <c r="Y434" s="1614">
        <f t="shared" ref="Y434:Y461" si="36">+ROUND(+P434+S434+V434,2)</f>
        <v>0</v>
      </c>
      <c r="Z434" s="43"/>
      <c r="AA434" s="1621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42" t="s">
        <v>831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>+A435</f>
        <v>7804</v>
      </c>
      <c r="O435" s="120"/>
      <c r="P435" s="888"/>
      <c r="Q435" s="51"/>
      <c r="R435" s="581"/>
      <c r="S435" s="891"/>
      <c r="T435" s="51"/>
      <c r="U435" s="120"/>
      <c r="V435" s="888"/>
      <c r="W435" s="51"/>
      <c r="X435" s="1613">
        <f t="shared" si="35"/>
        <v>0</v>
      </c>
      <c r="Y435" s="1614">
        <f t="shared" si="36"/>
        <v>0</v>
      </c>
      <c r="Z435" s="43"/>
      <c r="AA435" s="1621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78" t="s">
        <v>832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33"/>
        <v>7807</v>
      </c>
      <c r="O436" s="120"/>
      <c r="P436" s="888"/>
      <c r="Q436" s="51"/>
      <c r="R436" s="581"/>
      <c r="S436" s="891"/>
      <c r="T436" s="51"/>
      <c r="U436" s="120"/>
      <c r="V436" s="888"/>
      <c r="W436" s="51"/>
      <c r="X436" s="1613">
        <f t="shared" si="35"/>
        <v>0</v>
      </c>
      <c r="Y436" s="1614">
        <f t="shared" si="36"/>
        <v>0</v>
      </c>
      <c r="Z436" s="43"/>
      <c r="AA436" s="1621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78" t="s">
        <v>833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33"/>
        <v>7808</v>
      </c>
      <c r="O437" s="120"/>
      <c r="P437" s="888"/>
      <c r="Q437" s="51"/>
      <c r="R437" s="581"/>
      <c r="S437" s="891"/>
      <c r="T437" s="51"/>
      <c r="U437" s="120"/>
      <c r="V437" s="888"/>
      <c r="W437" s="51"/>
      <c r="X437" s="1613">
        <f t="shared" si="35"/>
        <v>0</v>
      </c>
      <c r="Y437" s="1614">
        <f t="shared" si="36"/>
        <v>0</v>
      </c>
      <c r="Z437" s="43"/>
      <c r="AA437" s="1621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42" t="s">
        <v>834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33"/>
        <v>7901</v>
      </c>
      <c r="O438" s="120"/>
      <c r="P438" s="888"/>
      <c r="Q438" s="51"/>
      <c r="R438" s="581"/>
      <c r="S438" s="891"/>
      <c r="T438" s="51"/>
      <c r="U438" s="120"/>
      <c r="V438" s="888"/>
      <c r="W438" s="51"/>
      <c r="X438" s="1613">
        <f t="shared" si="35"/>
        <v>0</v>
      </c>
      <c r="Y438" s="1614">
        <f t="shared" si="36"/>
        <v>0</v>
      </c>
      <c r="Z438" s="43"/>
      <c r="AA438" s="1621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42" t="s">
        <v>835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33"/>
        <v>7902</v>
      </c>
      <c r="O439" s="120"/>
      <c r="P439" s="888"/>
      <c r="Q439" s="51"/>
      <c r="R439" s="581"/>
      <c r="S439" s="891"/>
      <c r="T439" s="51"/>
      <c r="U439" s="120"/>
      <c r="V439" s="888"/>
      <c r="W439" s="51"/>
      <c r="X439" s="1613">
        <f t="shared" si="35"/>
        <v>0</v>
      </c>
      <c r="Y439" s="1614">
        <f t="shared" si="36"/>
        <v>0</v>
      </c>
      <c r="Z439" s="43"/>
      <c r="AA439" s="1621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42" t="s">
        <v>836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33"/>
        <v>7903</v>
      </c>
      <c r="O440" s="120"/>
      <c r="P440" s="888"/>
      <c r="Q440" s="51"/>
      <c r="R440" s="581"/>
      <c r="S440" s="891"/>
      <c r="T440" s="51"/>
      <c r="U440" s="120"/>
      <c r="V440" s="888"/>
      <c r="W440" s="51"/>
      <c r="X440" s="1613">
        <f t="shared" si="35"/>
        <v>0</v>
      </c>
      <c r="Y440" s="1614">
        <f t="shared" si="36"/>
        <v>0</v>
      </c>
      <c r="Z440" s="43"/>
      <c r="AA440" s="1621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42" t="s">
        <v>837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33"/>
        <v>7904</v>
      </c>
      <c r="O441" s="120"/>
      <c r="P441" s="888"/>
      <c r="Q441" s="51"/>
      <c r="R441" s="581"/>
      <c r="S441" s="891"/>
      <c r="T441" s="51"/>
      <c r="U441" s="120"/>
      <c r="V441" s="888"/>
      <c r="W441" s="51"/>
      <c r="X441" s="1613">
        <f t="shared" si="35"/>
        <v>0</v>
      </c>
      <c r="Y441" s="1614">
        <f t="shared" si="36"/>
        <v>0</v>
      </c>
      <c r="Z441" s="43"/>
      <c r="AA441" s="1621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42" t="s">
        <v>838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 t="shared" si="33"/>
        <v>7905</v>
      </c>
      <c r="O442" s="120"/>
      <c r="P442" s="888"/>
      <c r="Q442" s="51"/>
      <c r="R442" s="581"/>
      <c r="S442" s="891"/>
      <c r="T442" s="51"/>
      <c r="U442" s="120"/>
      <c r="V442" s="888"/>
      <c r="W442" s="51"/>
      <c r="X442" s="1613">
        <f t="shared" si="35"/>
        <v>0</v>
      </c>
      <c r="Y442" s="1614">
        <f t="shared" si="36"/>
        <v>0</v>
      </c>
      <c r="Z442" s="43"/>
      <c r="AA442" s="1621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42" t="s">
        <v>839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 t="shared" si="33"/>
        <v>7906</v>
      </c>
      <c r="O443" s="120"/>
      <c r="P443" s="888"/>
      <c r="Q443" s="51"/>
      <c r="R443" s="581"/>
      <c r="S443" s="891"/>
      <c r="T443" s="51"/>
      <c r="U443" s="120"/>
      <c r="V443" s="888"/>
      <c r="W443" s="51"/>
      <c r="X443" s="1613">
        <f t="shared" si="35"/>
        <v>0</v>
      </c>
      <c r="Y443" s="1614">
        <f t="shared" si="36"/>
        <v>0</v>
      </c>
      <c r="Z443" s="43"/>
      <c r="AA443" s="1621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42" t="s">
        <v>840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33"/>
        <v>7911</v>
      </c>
      <c r="O444" s="120"/>
      <c r="P444" s="888"/>
      <c r="Q444" s="51"/>
      <c r="R444" s="581"/>
      <c r="S444" s="891"/>
      <c r="T444" s="51"/>
      <c r="U444" s="120"/>
      <c r="V444" s="888"/>
      <c r="W444" s="51"/>
      <c r="X444" s="1613">
        <f t="shared" si="35"/>
        <v>0</v>
      </c>
      <c r="Y444" s="1614">
        <f t="shared" si="36"/>
        <v>0</v>
      </c>
      <c r="Z444" s="43"/>
      <c r="AA444" s="1621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42" t="s">
        <v>841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33"/>
        <v>7912</v>
      </c>
      <c r="O445" s="120"/>
      <c r="P445" s="888"/>
      <c r="Q445" s="51"/>
      <c r="R445" s="581"/>
      <c r="S445" s="891"/>
      <c r="T445" s="51"/>
      <c r="U445" s="120"/>
      <c r="V445" s="888"/>
      <c r="W445" s="51"/>
      <c r="X445" s="1613">
        <f t="shared" si="35"/>
        <v>0</v>
      </c>
      <c r="Y445" s="1614">
        <f t="shared" si="36"/>
        <v>0</v>
      </c>
      <c r="Z445" s="43"/>
      <c r="AA445" s="1621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42" t="s">
        <v>842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>+A446</f>
        <v>7915</v>
      </c>
      <c r="O446" s="120"/>
      <c r="P446" s="888"/>
      <c r="Q446" s="51"/>
      <c r="R446" s="581"/>
      <c r="S446" s="891"/>
      <c r="T446" s="51"/>
      <c r="U446" s="120"/>
      <c r="V446" s="888"/>
      <c r="W446" s="51"/>
      <c r="X446" s="1613">
        <f t="shared" si="35"/>
        <v>0</v>
      </c>
      <c r="Y446" s="1614">
        <f t="shared" si="36"/>
        <v>0</v>
      </c>
      <c r="Z446" s="43"/>
      <c r="AA446" s="1621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42" t="s">
        <v>843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7916</v>
      </c>
      <c r="O447" s="120"/>
      <c r="P447" s="888"/>
      <c r="Q447" s="51"/>
      <c r="R447" s="581"/>
      <c r="S447" s="891"/>
      <c r="T447" s="51"/>
      <c r="U447" s="120"/>
      <c r="V447" s="888"/>
      <c r="W447" s="51"/>
      <c r="X447" s="1613">
        <f t="shared" si="35"/>
        <v>0</v>
      </c>
      <c r="Y447" s="1614">
        <f t="shared" si="36"/>
        <v>0</v>
      </c>
      <c r="Z447" s="43"/>
      <c r="AA447" s="1621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33" t="s">
        <v>844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33"/>
        <v>7917</v>
      </c>
      <c r="O448" s="120"/>
      <c r="P448" s="888"/>
      <c r="Q448" s="51"/>
      <c r="R448" s="581"/>
      <c r="S448" s="891"/>
      <c r="T448" s="51"/>
      <c r="U448" s="120"/>
      <c r="V448" s="888"/>
      <c r="W448" s="51"/>
      <c r="X448" s="1613">
        <f t="shared" si="35"/>
        <v>0</v>
      </c>
      <c r="Y448" s="1614">
        <f t="shared" si="36"/>
        <v>0</v>
      </c>
      <c r="Z448" s="43"/>
      <c r="AA448" s="1621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33" t="s">
        <v>845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 t="shared" si="33"/>
        <v>7918</v>
      </c>
      <c r="O449" s="120"/>
      <c r="P449" s="888"/>
      <c r="Q449" s="51"/>
      <c r="R449" s="581"/>
      <c r="S449" s="891"/>
      <c r="T449" s="51"/>
      <c r="U449" s="120"/>
      <c r="V449" s="888"/>
      <c r="W449" s="51"/>
      <c r="X449" s="1613">
        <f t="shared" si="35"/>
        <v>0</v>
      </c>
      <c r="Y449" s="1614">
        <f t="shared" si="36"/>
        <v>0</v>
      </c>
      <c r="Z449" s="43"/>
      <c r="AA449" s="1621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33" t="s">
        <v>846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33"/>
        <v>7922</v>
      </c>
      <c r="O450" s="120"/>
      <c r="P450" s="888"/>
      <c r="Q450" s="51"/>
      <c r="R450" s="581"/>
      <c r="S450" s="891"/>
      <c r="T450" s="51"/>
      <c r="U450" s="120"/>
      <c r="V450" s="888"/>
      <c r="W450" s="51"/>
      <c r="X450" s="1613">
        <f t="shared" si="35"/>
        <v>0</v>
      </c>
      <c r="Y450" s="1614">
        <f t="shared" si="36"/>
        <v>0</v>
      </c>
      <c r="Z450" s="43"/>
      <c r="AA450" s="1621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33" t="s">
        <v>847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33"/>
        <v>7923</v>
      </c>
      <c r="O451" s="120"/>
      <c r="P451" s="888"/>
      <c r="Q451" s="51"/>
      <c r="R451" s="581"/>
      <c r="S451" s="891"/>
      <c r="T451" s="51"/>
      <c r="U451" s="120"/>
      <c r="V451" s="888"/>
      <c r="W451" s="51"/>
      <c r="X451" s="1613">
        <f t="shared" si="35"/>
        <v>0</v>
      </c>
      <c r="Y451" s="1614">
        <f t="shared" si="36"/>
        <v>0</v>
      </c>
      <c r="Z451" s="43"/>
      <c r="AA451" s="1621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33" t="s">
        <v>848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33"/>
        <v>7924</v>
      </c>
      <c r="O452" s="120"/>
      <c r="P452" s="888"/>
      <c r="Q452" s="51"/>
      <c r="R452" s="581"/>
      <c r="S452" s="891"/>
      <c r="T452" s="51"/>
      <c r="U452" s="120"/>
      <c r="V452" s="888"/>
      <c r="W452" s="51"/>
      <c r="X452" s="1613">
        <f t="shared" si="35"/>
        <v>0</v>
      </c>
      <c r="Y452" s="1614">
        <f t="shared" si="36"/>
        <v>0</v>
      </c>
      <c r="Z452" s="43"/>
      <c r="AA452" s="1621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33" t="s">
        <v>849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si="33"/>
        <v>7925</v>
      </c>
      <c r="O453" s="120"/>
      <c r="P453" s="888"/>
      <c r="Q453" s="51"/>
      <c r="R453" s="581"/>
      <c r="S453" s="891"/>
      <c r="T453" s="51"/>
      <c r="U453" s="120"/>
      <c r="V453" s="888"/>
      <c r="W453" s="51"/>
      <c r="X453" s="1613">
        <f t="shared" si="35"/>
        <v>0</v>
      </c>
      <c r="Y453" s="1614">
        <f t="shared" si="36"/>
        <v>0</v>
      </c>
      <c r="Z453" s="43"/>
      <c r="AA453" s="1621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33" t="s">
        <v>850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33"/>
        <v>7926</v>
      </c>
      <c r="O454" s="120"/>
      <c r="P454" s="888"/>
      <c r="Q454" s="51"/>
      <c r="R454" s="581"/>
      <c r="S454" s="891"/>
      <c r="T454" s="51"/>
      <c r="U454" s="120"/>
      <c r="V454" s="888"/>
      <c r="W454" s="51"/>
      <c r="X454" s="1613">
        <f t="shared" si="35"/>
        <v>0</v>
      </c>
      <c r="Y454" s="1614">
        <f t="shared" si="36"/>
        <v>0</v>
      </c>
      <c r="Z454" s="43"/>
      <c r="AA454" s="1621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33" t="s">
        <v>851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33"/>
        <v>7992</v>
      </c>
      <c r="O455" s="120">
        <v>0</v>
      </c>
      <c r="P455" s="888">
        <v>829.29</v>
      </c>
      <c r="Q455" s="51"/>
      <c r="R455" s="581"/>
      <c r="S455" s="891"/>
      <c r="T455" s="51"/>
      <c r="U455" s="120">
        <v>0</v>
      </c>
      <c r="V455" s="888">
        <v>100622.9</v>
      </c>
      <c r="W455" s="51"/>
      <c r="X455" s="1613">
        <f t="shared" si="35"/>
        <v>0</v>
      </c>
      <c r="Y455" s="1614">
        <f t="shared" si="36"/>
        <v>101452.19</v>
      </c>
      <c r="Z455" s="43"/>
      <c r="AA455" s="1621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33" t="s">
        <v>852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 t="s">
        <v>265</v>
      </c>
      <c r="N456" s="113">
        <f t="shared" si="33"/>
        <v>7993</v>
      </c>
      <c r="O456" s="120">
        <v>0</v>
      </c>
      <c r="P456" s="888">
        <v>5208</v>
      </c>
      <c r="Q456" s="51"/>
      <c r="R456" s="581"/>
      <c r="S456" s="891"/>
      <c r="T456" s="51"/>
      <c r="U456" s="120"/>
      <c r="V456" s="888"/>
      <c r="W456" s="51"/>
      <c r="X456" s="1613">
        <f t="shared" si="35"/>
        <v>0</v>
      </c>
      <c r="Y456" s="1614">
        <f t="shared" si="36"/>
        <v>5208</v>
      </c>
      <c r="Z456" s="43"/>
      <c r="AA456" s="1621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33" t="s">
        <v>853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33"/>
        <v>7994</v>
      </c>
      <c r="O457" s="120"/>
      <c r="P457" s="888"/>
      <c r="Q457" s="51"/>
      <c r="R457" s="581"/>
      <c r="S457" s="891"/>
      <c r="T457" s="51"/>
      <c r="U457" s="120"/>
      <c r="V457" s="888"/>
      <c r="W457" s="51"/>
      <c r="X457" s="1613">
        <f t="shared" si="35"/>
        <v>0</v>
      </c>
      <c r="Y457" s="1614">
        <f t="shared" si="36"/>
        <v>0</v>
      </c>
      <c r="Z457" s="43"/>
      <c r="AA457" s="1621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33" t="s">
        <v>854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33"/>
        <v>7995</v>
      </c>
      <c r="O458" s="120">
        <v>0</v>
      </c>
      <c r="P458" s="888">
        <v>126284.44</v>
      </c>
      <c r="Q458" s="51"/>
      <c r="R458" s="581"/>
      <c r="S458" s="891"/>
      <c r="T458" s="51"/>
      <c r="U458" s="120"/>
      <c r="V458" s="888"/>
      <c r="W458" s="51"/>
      <c r="X458" s="1613">
        <f t="shared" si="35"/>
        <v>0</v>
      </c>
      <c r="Y458" s="1614">
        <f t="shared" si="36"/>
        <v>126284.44</v>
      </c>
      <c r="Z458" s="43"/>
      <c r="AA458" s="1621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33" t="s">
        <v>142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>+A459</f>
        <v>7996</v>
      </c>
      <c r="O459" s="120"/>
      <c r="P459" s="888"/>
      <c r="Q459" s="51"/>
      <c r="R459" s="581"/>
      <c r="S459" s="891"/>
      <c r="T459" s="51"/>
      <c r="U459" s="120"/>
      <c r="V459" s="888"/>
      <c r="W459" s="51"/>
      <c r="X459" s="1613">
        <f t="shared" si="35"/>
        <v>0</v>
      </c>
      <c r="Y459" s="1614">
        <f t="shared" si="36"/>
        <v>0</v>
      </c>
      <c r="Z459" s="43"/>
      <c r="AA459" s="1621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33" t="s">
        <v>143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33"/>
        <v>7997</v>
      </c>
      <c r="O460" s="120"/>
      <c r="P460" s="888"/>
      <c r="Q460" s="51"/>
      <c r="R460" s="581"/>
      <c r="S460" s="891"/>
      <c r="T460" s="51"/>
      <c r="U460" s="120"/>
      <c r="V460" s="888"/>
      <c r="W460" s="51"/>
      <c r="X460" s="1613">
        <f t="shared" si="35"/>
        <v>0</v>
      </c>
      <c r="Y460" s="1614">
        <f t="shared" si="36"/>
        <v>0</v>
      </c>
      <c r="Z460" s="43"/>
      <c r="AA460" s="1621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12">
        <v>7998</v>
      </c>
      <c r="B461" s="1012" t="s">
        <v>144</v>
      </c>
      <c r="C461" s="1012"/>
      <c r="D461" s="1012"/>
      <c r="E461" s="1012"/>
      <c r="F461" s="1012"/>
      <c r="G461" s="1012"/>
      <c r="H461" s="1012"/>
      <c r="I461" s="1012"/>
      <c r="J461" s="1012"/>
      <c r="K461" s="1012"/>
      <c r="L461" s="613"/>
      <c r="M461" s="51" t="s">
        <v>265</v>
      </c>
      <c r="N461" s="113">
        <f t="shared" si="33"/>
        <v>7998</v>
      </c>
      <c r="O461" s="123"/>
      <c r="P461" s="906"/>
      <c r="Q461" s="51"/>
      <c r="R461" s="838"/>
      <c r="S461" s="907"/>
      <c r="T461" s="51"/>
      <c r="U461" s="123">
        <v>0</v>
      </c>
      <c r="V461" s="906">
        <v>44232.19</v>
      </c>
      <c r="W461" s="51"/>
      <c r="X461" s="1615">
        <f t="shared" si="35"/>
        <v>0</v>
      </c>
      <c r="Y461" s="1616">
        <f t="shared" si="36"/>
        <v>44232.19</v>
      </c>
      <c r="Z461" s="43"/>
      <c r="AA461" s="1622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908" t="s">
        <v>1125</v>
      </c>
      <c r="B462" s="909"/>
      <c r="C462" s="910"/>
      <c r="D462" s="910"/>
      <c r="E462" s="910"/>
      <c r="F462" s="910"/>
      <c r="G462" s="910"/>
      <c r="H462" s="910"/>
      <c r="I462" s="910"/>
      <c r="J462" s="910"/>
      <c r="K462" s="910"/>
      <c r="L462" s="911"/>
      <c r="M462" s="51" t="s">
        <v>265</v>
      </c>
      <c r="N462" s="918" t="s">
        <v>1127</v>
      </c>
      <c r="O462" s="955">
        <f>+ROUND(+SUM(O17:O461),2)</f>
        <v>11592525.98</v>
      </c>
      <c r="P462" s="956">
        <f>+ROUND(+SUM(P17:P461),2)</f>
        <v>13571813.720000001</v>
      </c>
      <c r="Q462" s="51"/>
      <c r="R462" s="957">
        <f>+ROUND(+SUM(R17:R461),2)</f>
        <v>7850616.4400000004</v>
      </c>
      <c r="S462" s="958">
        <f>+ROUND(+SUM(S17:S461),2)</f>
        <v>1969591.29</v>
      </c>
      <c r="T462" s="51"/>
      <c r="U462" s="1802">
        <f>+ROUND(+SUM(U17:U461),2)</f>
        <v>1839648.47</v>
      </c>
      <c r="V462" s="1803">
        <f>+ROUND(+SUM(V17:V461),2)</f>
        <v>6701940.3700000001</v>
      </c>
      <c r="W462" s="51"/>
      <c r="X462" s="1617">
        <f>+ROUND(+SUM(X17:X461),2)</f>
        <v>21282790.890000001</v>
      </c>
      <c r="Y462" s="1618">
        <f>+ROUND(+SUM(Y17:Y461),2)</f>
        <v>22243345.379999999</v>
      </c>
      <c r="Z462" s="43"/>
      <c r="AA462" s="1624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26" t="s">
        <v>1129</v>
      </c>
      <c r="F464" s="914"/>
      <c r="G464" s="915"/>
      <c r="H464" s="915"/>
      <c r="I464" s="915"/>
      <c r="J464" s="915"/>
      <c r="K464" s="2540">
        <f>+I12</f>
        <v>2020</v>
      </c>
      <c r="L464" s="2541"/>
      <c r="M464" s="44"/>
      <c r="N464" s="119"/>
      <c r="O464" s="38"/>
      <c r="P464" s="928">
        <f>+ROUND(+P462-O462,2)</f>
        <v>1979287.74</v>
      </c>
      <c r="Q464" s="916"/>
      <c r="R464" s="919"/>
      <c r="S464" s="927">
        <f>+ROUND(+S462-R462,2)</f>
        <v>-5881025.1500000004</v>
      </c>
      <c r="T464" s="916"/>
      <c r="U464" s="38"/>
      <c r="V464" s="1646">
        <f>+ROUND(+V462-U462,2)</f>
        <v>4862291.9000000004</v>
      </c>
      <c r="W464" s="916"/>
      <c r="X464" s="38"/>
      <c r="Y464" s="1804">
        <f>+ROUND(+Y462-X462,2)</f>
        <v>960554.49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22" t="s">
        <v>1128</v>
      </c>
      <c r="F466" s="923"/>
      <c r="G466" s="924"/>
      <c r="H466" s="924"/>
      <c r="I466" s="924"/>
      <c r="J466" s="924"/>
      <c r="K466" s="924"/>
      <c r="L466" s="925"/>
      <c r="M466" s="44"/>
      <c r="N466" s="119"/>
      <c r="O466" s="921" t="str">
        <f>+IF(+ROUND(P466=0,2),"O K","НЕРАВНЕНИЕ!")</f>
        <v>O K</v>
      </c>
      <c r="P466" s="921">
        <f>+ROUND(+P464-'Income-2021-leva'!E113,2)</f>
        <v>0</v>
      </c>
      <c r="Q466" s="44"/>
      <c r="R466" s="920" t="str">
        <f>+IF(+ROUND(S466=0,2),"O K","НЕРАВНЕНИЕ!")</f>
        <v>O K</v>
      </c>
      <c r="S466" s="920">
        <f>+ROUND(+S464-'Income-2021-leva'!H113,2)</f>
        <v>0</v>
      </c>
      <c r="T466" s="44"/>
      <c r="U466" s="1645" t="str">
        <f>+IF(+ROUND(V466=0,2),"O K","НЕРАВНЕНИЕ!")</f>
        <v>O K</v>
      </c>
      <c r="V466" s="1645">
        <f>+ROUND(+V464-'Income-2021-leva'!K113,2)</f>
        <v>0</v>
      </c>
      <c r="W466" s="44"/>
      <c r="X466" s="1586" t="str">
        <f>+IF(+ROUND(Y466=0,2),"O K","НЕРАВНЕНИЕ!")</f>
        <v>O K</v>
      </c>
      <c r="Y466" s="1586">
        <f>+ROUND(+Y464,2)-(ROUND('Income-2021-leva'!N113,2)-ROUND('Income-2021-leva'!Q113,2))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22" t="s">
        <v>1130</v>
      </c>
      <c r="F468" s="923"/>
      <c r="G468" s="924"/>
      <c r="H468" s="924"/>
      <c r="I468" s="924"/>
      <c r="J468" s="924"/>
      <c r="K468" s="924"/>
      <c r="L468" s="925"/>
      <c r="M468" s="44"/>
      <c r="N468" s="119"/>
      <c r="O468" s="921" t="str">
        <f>+IF(+ROUND(P468=0,2),"O K","НЕРАВНЕНИЕ!")</f>
        <v>O K</v>
      </c>
      <c r="P468" s="921">
        <f>+ROUND(+P464-'BALANCE-SHEET-2021-leva'!E65,2)</f>
        <v>0</v>
      </c>
      <c r="Q468" s="44"/>
      <c r="R468" s="920" t="str">
        <f>+IF(+ROUND(S468=0,2),"O K","НЕРАВНЕНИЕ!")</f>
        <v>O K</v>
      </c>
      <c r="S468" s="920">
        <f>+ROUND(+S464-'BALANCE-SHEET-2021-leva'!H65,2)</f>
        <v>0</v>
      </c>
      <c r="T468" s="44"/>
      <c r="U468" s="1645" t="str">
        <f>+IF(+ROUND(V468=0,2),"O K","НЕРАВНЕНИЕ!")</f>
        <v>O K</v>
      </c>
      <c r="V468" s="1645">
        <f>+ROUND(+V464-'BALANCE-SHEET-2021-leva'!K65,2)</f>
        <v>0</v>
      </c>
      <c r="W468" s="44"/>
      <c r="X468" s="1586" t="str">
        <f>+IF(+ROUND(Y468=0,2),"O K","НЕРАВНЕНИЕ!")</f>
        <v>O K</v>
      </c>
      <c r="Y468" s="1586">
        <f>+ROUND(+Y464,2)-(ROUND('BALANCE-SHEET-2021-leva'!N65,2)-ROUND('BALANCE-SHEET-2021-leva'!Q65,2))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22" t="s">
        <v>1460</v>
      </c>
      <c r="F470" s="923"/>
      <c r="G470" s="924"/>
      <c r="H470" s="924"/>
      <c r="I470" s="924"/>
      <c r="J470" s="924"/>
      <c r="K470" s="924"/>
      <c r="L470" s="925"/>
      <c r="M470" s="44"/>
      <c r="N470" s="119"/>
      <c r="O470" s="921" t="str">
        <f>+IF(+ROUND(P470=0,2),"O K","НЕРАВНЕНИЕ!")</f>
        <v>O K</v>
      </c>
      <c r="P470" s="921">
        <f>+ROUND(+(P14-O14)+(P15-O15)+P464,2)-ROUND(+('TRIAL-BALANCE'!P14-'TRIAL-BALANCE'!O14)+('TRIAL-BALANCE'!P15-'TRIAL-BALANCE'!O15)+('TRIAL-BALANCE'!P16-'TRIAL-BALANCE'!O16),2)</f>
        <v>0</v>
      </c>
      <c r="Q470" s="44"/>
      <c r="R470" s="920" t="str">
        <f>+IF(+ROUND(S470=0,2),"O K","НЕРАВНЕНИЕ!")</f>
        <v>O K</v>
      </c>
      <c r="S470" s="920">
        <f>+ROUND(+(S14-R14)+(S15-R15)+S464,2)-ROUND(+('TRIAL-BALANCE'!W14-'TRIAL-BALANCE'!V14)+('TRIAL-BALANCE'!W15-'TRIAL-BALANCE'!V15)+('TRIAL-BALANCE'!W16-'TRIAL-BALANCE'!V16),2)</f>
        <v>0</v>
      </c>
      <c r="T470" s="44"/>
      <c r="U470" s="1645" t="str">
        <f>+IF(+ROUND(V470=0,2),"O K","НЕРАВНЕНИЕ!")</f>
        <v>O K</v>
      </c>
      <c r="V470" s="1645">
        <f>+ROUND(+(V14-U14)+(V15-U15)+V464,2)-ROUND(+('TRIAL-BALANCE'!AD14-'TRIAL-BALANCE'!AC14)+('TRIAL-BALANCE'!AD15-'TRIAL-BALANCE'!AC15)+('TRIAL-BALANCE'!AD16-'TRIAL-BALANCE'!AC16),2)</f>
        <v>0</v>
      </c>
      <c r="W470" s="44"/>
      <c r="X470" s="1586" t="str">
        <f>+IF(+ROUND(Y470=0,2),"O K","НЕРАВНЕНИЕ!")</f>
        <v>O K</v>
      </c>
      <c r="Y470" s="1586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93"/>
    </row>
    <row r="860" spans="20:20">
      <c r="T860" s="1393"/>
    </row>
    <row r="861" spans="20:20">
      <c r="T861" s="1393"/>
    </row>
    <row r="862" spans="20:20">
      <c r="T862" s="1393"/>
    </row>
    <row r="863" spans="20:20">
      <c r="T863" s="1393"/>
    </row>
    <row r="864" spans="20:20">
      <c r="T864" s="1393"/>
    </row>
    <row r="865" spans="20:20">
      <c r="T865" s="1393"/>
    </row>
    <row r="866" spans="20:20">
      <c r="T866" s="1393"/>
    </row>
    <row r="867" spans="20:20">
      <c r="T867" s="1393"/>
    </row>
    <row r="868" spans="20:20">
      <c r="T868" s="1393"/>
    </row>
    <row r="869" spans="20:20">
      <c r="T869" s="1393"/>
    </row>
    <row r="870" spans="20:20">
      <c r="T870" s="1393"/>
    </row>
    <row r="871" spans="20:20">
      <c r="T871" s="1393"/>
    </row>
    <row r="872" spans="20:20">
      <c r="T872" s="1393"/>
    </row>
    <row r="873" spans="20:20">
      <c r="T873" s="1393"/>
    </row>
    <row r="874" spans="20:20">
      <c r="T874" s="1393"/>
    </row>
    <row r="875" spans="20:20">
      <c r="T875" s="1393"/>
    </row>
    <row r="876" spans="20:20">
      <c r="T876" s="1393"/>
    </row>
    <row r="877" spans="20:20">
      <c r="T877" s="1393"/>
    </row>
    <row r="878" spans="20:20">
      <c r="T878" s="1393"/>
    </row>
    <row r="879" spans="20:20">
      <c r="T879" s="1393"/>
    </row>
    <row r="880" spans="20:20">
      <c r="T880" s="1393"/>
    </row>
    <row r="881" spans="20:20">
      <c r="T881" s="1393"/>
    </row>
    <row r="882" spans="20:20">
      <c r="T882" s="1393"/>
    </row>
    <row r="883" spans="20:20">
      <c r="T883" s="1393"/>
    </row>
    <row r="884" spans="20:20">
      <c r="T884" s="1393"/>
    </row>
    <row r="885" spans="20:20">
      <c r="T885" s="1393"/>
    </row>
    <row r="886" spans="20:20">
      <c r="T886" s="1393"/>
    </row>
    <row r="887" spans="20:20">
      <c r="T887" s="1393"/>
    </row>
    <row r="888" spans="20:20">
      <c r="T888" s="1393"/>
    </row>
    <row r="889" spans="20:20">
      <c r="T889" s="1393"/>
    </row>
    <row r="890" spans="20:20">
      <c r="T890" s="1393"/>
    </row>
    <row r="891" spans="20:20">
      <c r="T891" s="1393"/>
    </row>
    <row r="892" spans="20:20">
      <c r="T892" s="1393"/>
    </row>
    <row r="893" spans="20:20">
      <c r="T893" s="1393"/>
    </row>
    <row r="894" spans="20:20">
      <c r="T894" s="1393"/>
    </row>
    <row r="895" spans="20:20">
      <c r="T895" s="1393"/>
    </row>
    <row r="896" spans="20:20">
      <c r="T896" s="1393"/>
    </row>
    <row r="897" spans="20:20">
      <c r="T897" s="1393"/>
    </row>
    <row r="898" spans="20:20">
      <c r="T898" s="1393"/>
    </row>
    <row r="899" spans="20:20">
      <c r="T899" s="1393"/>
    </row>
    <row r="900" spans="20:20">
      <c r="T900" s="1393"/>
    </row>
    <row r="901" spans="20:20">
      <c r="T901" s="1393"/>
    </row>
    <row r="902" spans="20:20">
      <c r="T902" s="1393"/>
    </row>
    <row r="903" spans="20:20">
      <c r="T903" s="1393"/>
    </row>
    <row r="904" spans="20:20">
      <c r="T904" s="1393"/>
    </row>
    <row r="905" spans="20:20">
      <c r="T905" s="1393"/>
    </row>
    <row r="906" spans="20:20">
      <c r="T906" s="1393"/>
    </row>
    <row r="907" spans="20:20">
      <c r="T907" s="1393"/>
    </row>
    <row r="908" spans="20:20">
      <c r="T908" s="1393"/>
    </row>
    <row r="909" spans="20:20">
      <c r="T909" s="1393"/>
    </row>
    <row r="910" spans="20:20">
      <c r="T910" s="1393"/>
    </row>
    <row r="911" spans="20:20">
      <c r="T911" s="1393"/>
    </row>
    <row r="912" spans="20:20">
      <c r="T912" s="1393"/>
    </row>
    <row r="913" spans="20:20">
      <c r="T913" s="1393"/>
    </row>
    <row r="914" spans="20:20">
      <c r="T914" s="1393"/>
    </row>
    <row r="915" spans="20:20">
      <c r="T915" s="1393"/>
    </row>
    <row r="916" spans="20:20">
      <c r="T916" s="1393"/>
    </row>
    <row r="917" spans="20:20">
      <c r="T917" s="1393"/>
    </row>
    <row r="918" spans="20:20">
      <c r="T918" s="1393"/>
    </row>
    <row r="919" spans="20:20">
      <c r="T919" s="1393"/>
    </row>
    <row r="920" spans="20:20">
      <c r="T920" s="1393"/>
    </row>
    <row r="921" spans="20:20">
      <c r="T921" s="1393"/>
    </row>
    <row r="922" spans="20:20">
      <c r="T922" s="1393"/>
    </row>
    <row r="923" spans="20:20">
      <c r="T923" s="1393"/>
    </row>
    <row r="924" spans="20:20">
      <c r="T924" s="1393"/>
    </row>
    <row r="925" spans="20:20">
      <c r="T925" s="1393"/>
    </row>
    <row r="926" spans="20:20">
      <c r="T926" s="1393"/>
    </row>
    <row r="927" spans="20:20">
      <c r="T927" s="1393"/>
    </row>
    <row r="928" spans="20:20">
      <c r="T928" s="1393"/>
    </row>
    <row r="929" spans="20:20">
      <c r="T929" s="1393"/>
    </row>
    <row r="930" spans="20:20">
      <c r="T930" s="1393"/>
    </row>
    <row r="931" spans="20:20">
      <c r="T931" s="1393"/>
    </row>
    <row r="932" spans="20:20">
      <c r="T932" s="1393"/>
    </row>
    <row r="933" spans="20:20">
      <c r="T933" s="1393"/>
    </row>
    <row r="934" spans="20:20">
      <c r="T934" s="1393"/>
    </row>
    <row r="935" spans="20:20">
      <c r="T935" s="1393"/>
    </row>
    <row r="936" spans="20:20">
      <c r="T936" s="1393"/>
    </row>
    <row r="937" spans="20:20">
      <c r="T937" s="1393"/>
    </row>
    <row r="938" spans="20:20">
      <c r="T938" s="1393"/>
    </row>
    <row r="939" spans="20:20">
      <c r="T939" s="1393"/>
    </row>
    <row r="940" spans="20:20">
      <c r="T940" s="1393"/>
    </row>
    <row r="941" spans="20:20">
      <c r="T941" s="1393"/>
    </row>
    <row r="942" spans="20:20">
      <c r="T942" s="1393"/>
    </row>
    <row r="943" spans="20:20">
      <c r="T943" s="1393"/>
    </row>
    <row r="944" spans="20:20">
      <c r="T944" s="1393"/>
    </row>
    <row r="945" spans="20:20">
      <c r="T945" s="1393"/>
    </row>
    <row r="946" spans="20:20">
      <c r="T946" s="1393"/>
    </row>
    <row r="947" spans="20:20">
      <c r="T947" s="1393"/>
    </row>
    <row r="948" spans="20:20">
      <c r="T948" s="1393"/>
    </row>
    <row r="949" spans="20:20">
      <c r="T949" s="1393"/>
    </row>
    <row r="950" spans="20:20">
      <c r="T950" s="1393"/>
    </row>
    <row r="951" spans="20:20">
      <c r="T951" s="1393"/>
    </row>
    <row r="952" spans="20:20">
      <c r="T952" s="1393"/>
    </row>
    <row r="953" spans="20:20">
      <c r="T953" s="1393"/>
    </row>
    <row r="954" spans="20:20">
      <c r="T954" s="1393"/>
    </row>
    <row r="955" spans="20:20">
      <c r="T955" s="1393"/>
    </row>
    <row r="956" spans="20:20">
      <c r="T956" s="1393"/>
    </row>
    <row r="957" spans="20:20">
      <c r="T957" s="1393"/>
    </row>
    <row r="958" spans="20:20">
      <c r="T958" s="1393"/>
    </row>
    <row r="959" spans="20:20">
      <c r="T959" s="1393"/>
    </row>
    <row r="960" spans="20:20">
      <c r="T960" s="1393"/>
    </row>
    <row r="961" spans="20:20">
      <c r="T961" s="1393"/>
    </row>
    <row r="962" spans="20:20">
      <c r="T962" s="1393"/>
    </row>
    <row r="963" spans="20:20">
      <c r="T963" s="1393"/>
    </row>
    <row r="964" spans="20:20">
      <c r="T964" s="1393"/>
    </row>
    <row r="965" spans="20:20">
      <c r="T965" s="1393"/>
    </row>
    <row r="966" spans="20:20">
      <c r="T966" s="1393"/>
    </row>
    <row r="967" spans="20:20">
      <c r="T967" s="1393"/>
    </row>
    <row r="968" spans="20:20">
      <c r="T968" s="1393"/>
    </row>
    <row r="969" spans="20:20">
      <c r="T969" s="1393"/>
    </row>
    <row r="970" spans="20:20">
      <c r="T970" s="1393"/>
    </row>
    <row r="971" spans="20:20">
      <c r="T971" s="1393"/>
    </row>
    <row r="972" spans="20:20">
      <c r="T972" s="1393"/>
    </row>
    <row r="973" spans="20:20">
      <c r="T973" s="1393"/>
    </row>
    <row r="974" spans="20:20">
      <c r="T974" s="1393"/>
    </row>
    <row r="975" spans="20:20">
      <c r="T975" s="1393"/>
    </row>
    <row r="976" spans="20:20">
      <c r="T976" s="1393"/>
    </row>
    <row r="977" spans="20:20">
      <c r="T977" s="1393"/>
    </row>
    <row r="978" spans="20:20">
      <c r="T978" s="1393"/>
    </row>
    <row r="979" spans="20:20">
      <c r="T979" s="1393"/>
    </row>
    <row r="980" spans="20:20">
      <c r="T980" s="1393"/>
    </row>
    <row r="981" spans="20:20">
      <c r="T981" s="1393"/>
    </row>
    <row r="982" spans="20:20">
      <c r="T982" s="1393"/>
    </row>
    <row r="983" spans="20:20">
      <c r="T983" s="1393"/>
    </row>
    <row r="984" spans="20:20">
      <c r="T984" s="1393"/>
    </row>
    <row r="985" spans="20:20">
      <c r="T985" s="1393"/>
    </row>
    <row r="986" spans="20:20">
      <c r="T986" s="1393"/>
    </row>
    <row r="987" spans="20:20">
      <c r="T987" s="1393"/>
    </row>
    <row r="988" spans="20:20">
      <c r="T988" s="1393"/>
    </row>
    <row r="989" spans="20:20">
      <c r="T989" s="1393"/>
    </row>
    <row r="990" spans="20:20">
      <c r="T990" s="1393"/>
    </row>
    <row r="991" spans="20:20">
      <c r="T991" s="1393"/>
    </row>
    <row r="992" spans="20:20">
      <c r="T992" s="1393"/>
    </row>
    <row r="993" spans="20:20">
      <c r="T993" s="1393"/>
    </row>
    <row r="994" spans="20:20">
      <c r="T994" s="1393"/>
    </row>
    <row r="995" spans="20:20">
      <c r="T995" s="1393"/>
    </row>
    <row r="996" spans="20:20">
      <c r="T996" s="1393"/>
    </row>
    <row r="997" spans="20:20">
      <c r="T997" s="1393"/>
    </row>
    <row r="998" spans="20:20">
      <c r="T998" s="1393"/>
    </row>
    <row r="999" spans="20:20">
      <c r="T999" s="1393"/>
    </row>
    <row r="1000" spans="20:20">
      <c r="T1000" s="1393"/>
    </row>
    <row r="1001" spans="20:20">
      <c r="T1001" s="1393"/>
    </row>
    <row r="1002" spans="20:20">
      <c r="T1002" s="1393"/>
    </row>
    <row r="1003" spans="20:20">
      <c r="T1003" s="1393"/>
    </row>
    <row r="1004" spans="20:20">
      <c r="T1004" s="1393"/>
    </row>
    <row r="1005" spans="20:20">
      <c r="T1005" s="1393"/>
    </row>
    <row r="1006" spans="20:20">
      <c r="T1006" s="1393"/>
    </row>
    <row r="1007" spans="20:20">
      <c r="T1007" s="1393"/>
    </row>
    <row r="1008" spans="20:20">
      <c r="T1008" s="1393"/>
    </row>
    <row r="1009" spans="20:20">
      <c r="T1009" s="1393"/>
    </row>
    <row r="1010" spans="20:20">
      <c r="T1010" s="1393"/>
    </row>
    <row r="1011" spans="20:20">
      <c r="T1011" s="1393"/>
    </row>
    <row r="1012" spans="20:20">
      <c r="T1012" s="1393"/>
    </row>
    <row r="1013" spans="20:20">
      <c r="T1013" s="1393"/>
    </row>
    <row r="1014" spans="20:20">
      <c r="T1014" s="1393"/>
    </row>
    <row r="1015" spans="20:20">
      <c r="T1015" s="1393"/>
    </row>
    <row r="1016" spans="20:20">
      <c r="T1016" s="1393"/>
    </row>
    <row r="1017" spans="20:20">
      <c r="T1017" s="1393"/>
    </row>
    <row r="1018" spans="20:20">
      <c r="T1018" s="1393"/>
    </row>
    <row r="1019" spans="20:20">
      <c r="T1019" s="1393"/>
    </row>
    <row r="1020" spans="20:20">
      <c r="T1020" s="1393"/>
    </row>
    <row r="1021" spans="20:20">
      <c r="T1021" s="1393"/>
    </row>
    <row r="1022" spans="20:20">
      <c r="T1022" s="1393"/>
    </row>
    <row r="1023" spans="20:20">
      <c r="T1023" s="1393"/>
    </row>
    <row r="1024" spans="20:20">
      <c r="T1024" s="1393"/>
    </row>
    <row r="1025" spans="20:20">
      <c r="T1025" s="1393"/>
    </row>
    <row r="1026" spans="20:20">
      <c r="T1026" s="1393"/>
    </row>
    <row r="1027" spans="20:20">
      <c r="T1027" s="1393"/>
    </row>
    <row r="1028" spans="20:20">
      <c r="T1028" s="1393"/>
    </row>
    <row r="1029" spans="20:20">
      <c r="T1029" s="1393"/>
    </row>
    <row r="1030" spans="20:20">
      <c r="T1030" s="1393"/>
    </row>
    <row r="1031" spans="20:20">
      <c r="T1031" s="1393"/>
    </row>
    <row r="1032" spans="20:20">
      <c r="T1032" s="1393"/>
    </row>
    <row r="1033" spans="20:20">
      <c r="T1033" s="1393"/>
    </row>
    <row r="1034" spans="20:20">
      <c r="T1034" s="1393"/>
    </row>
    <row r="1035" spans="20:20">
      <c r="T1035" s="1393"/>
    </row>
    <row r="1036" spans="20:20">
      <c r="T1036" s="1393"/>
    </row>
    <row r="1037" spans="20:20">
      <c r="T1037" s="1393"/>
    </row>
    <row r="1038" spans="20:20">
      <c r="T1038" s="1393"/>
    </row>
    <row r="1039" spans="20:20">
      <c r="T1039" s="1393"/>
    </row>
    <row r="1040" spans="20:20">
      <c r="T1040" s="1393"/>
    </row>
    <row r="1041" spans="20:20">
      <c r="T1041" s="1393"/>
    </row>
    <row r="1042" spans="20:20">
      <c r="T1042" s="1393"/>
    </row>
    <row r="1043" spans="20:20">
      <c r="T1043" s="1393"/>
    </row>
    <row r="1044" spans="20:20">
      <c r="T1044" s="1393"/>
    </row>
    <row r="1045" spans="20:20">
      <c r="T1045" s="1393"/>
    </row>
    <row r="1046" spans="20:20">
      <c r="T1046" s="1393"/>
    </row>
    <row r="1047" spans="20:20">
      <c r="T1047" s="1393"/>
    </row>
    <row r="1048" spans="20:20">
      <c r="T1048" s="1393"/>
    </row>
    <row r="1049" spans="20:20">
      <c r="T1049" s="1393"/>
    </row>
    <row r="1050" spans="20:20">
      <c r="T1050" s="1393"/>
    </row>
    <row r="1051" spans="20:20">
      <c r="T1051" s="1393"/>
    </row>
    <row r="1052" spans="20:20">
      <c r="T1052" s="1393"/>
    </row>
    <row r="1053" spans="20:20">
      <c r="T1053" s="1393"/>
    </row>
    <row r="1054" spans="20:20">
      <c r="T1054" s="1393"/>
    </row>
    <row r="1055" spans="20:20">
      <c r="T1055" s="1393"/>
    </row>
    <row r="1056" spans="20:20">
      <c r="T1056" s="1393"/>
    </row>
    <row r="1057" spans="20:20">
      <c r="T1057" s="1393"/>
    </row>
    <row r="1058" spans="20:20">
      <c r="T1058" s="1393"/>
    </row>
    <row r="1059" spans="20:20">
      <c r="T1059" s="1393"/>
    </row>
    <row r="1060" spans="20:20">
      <c r="T1060" s="1393"/>
    </row>
    <row r="1061" spans="20:20">
      <c r="T1061" s="1393"/>
    </row>
    <row r="1062" spans="20:20">
      <c r="T1062" s="1393"/>
    </row>
    <row r="1063" spans="20:20">
      <c r="T1063" s="1393"/>
    </row>
    <row r="1064" spans="20:20">
      <c r="T1064" s="1393"/>
    </row>
    <row r="1065" spans="20:20">
      <c r="T1065" s="1393"/>
    </row>
    <row r="1066" spans="20:20">
      <c r="T1066" s="1393"/>
    </row>
    <row r="1067" spans="20:20">
      <c r="T1067" s="1393"/>
    </row>
    <row r="1068" spans="20:20">
      <c r="T1068" s="1393"/>
    </row>
    <row r="1069" spans="20:20">
      <c r="T1069" s="1393"/>
    </row>
    <row r="1070" spans="20:20">
      <c r="T1070" s="1393"/>
    </row>
    <row r="1071" spans="20:20">
      <c r="T1071" s="1393"/>
    </row>
    <row r="1072" spans="20:20">
      <c r="T1072" s="1393"/>
    </row>
    <row r="1073" spans="20:20">
      <c r="T1073" s="1393"/>
    </row>
    <row r="1074" spans="20:20">
      <c r="T1074" s="1393"/>
    </row>
    <row r="1075" spans="20:20">
      <c r="T1075" s="1393"/>
    </row>
    <row r="1076" spans="20:20">
      <c r="T1076" s="1393"/>
    </row>
    <row r="1077" spans="20:20">
      <c r="T1077" s="1393"/>
    </row>
    <row r="1078" spans="20:20">
      <c r="T1078" s="1393"/>
    </row>
    <row r="1079" spans="20:20">
      <c r="T1079" s="1393"/>
    </row>
    <row r="1080" spans="20:20">
      <c r="T1080" s="1393"/>
    </row>
    <row r="1081" spans="20:20">
      <c r="T1081" s="1393"/>
    </row>
    <row r="1082" spans="20:20">
      <c r="T1082" s="1393"/>
    </row>
    <row r="1083" spans="20:20">
      <c r="T1083" s="1393"/>
    </row>
    <row r="1084" spans="20:20">
      <c r="T1084" s="1393"/>
    </row>
    <row r="1085" spans="20:20">
      <c r="T1085" s="1393"/>
    </row>
    <row r="1086" spans="20:20">
      <c r="T1086" s="1393"/>
    </row>
    <row r="1087" spans="20:20">
      <c r="T1087" s="1393"/>
    </row>
    <row r="1088" spans="20:20">
      <c r="T1088" s="1393"/>
    </row>
    <row r="1089" spans="20:20">
      <c r="T1089" s="1393"/>
    </row>
    <row r="1090" spans="20:20">
      <c r="T1090" s="1393"/>
    </row>
    <row r="1091" spans="20:20">
      <c r="T1091" s="1393"/>
    </row>
    <row r="1092" spans="20:20">
      <c r="T1092" s="1393"/>
    </row>
    <row r="1093" spans="20:20">
      <c r="T1093" s="1393"/>
    </row>
    <row r="1094" spans="20:20">
      <c r="T1094" s="1393"/>
    </row>
    <row r="1095" spans="20:20">
      <c r="T1095" s="1393"/>
    </row>
    <row r="1096" spans="20:20">
      <c r="T1096" s="1393"/>
    </row>
    <row r="1097" spans="20:20">
      <c r="T1097" s="1393"/>
    </row>
    <row r="1098" spans="20:20">
      <c r="T1098" s="1393"/>
    </row>
    <row r="1099" spans="20:20">
      <c r="T1099" s="1393"/>
    </row>
    <row r="1100" spans="20:20">
      <c r="T1100" s="1393"/>
    </row>
    <row r="1101" spans="20:20">
      <c r="T1101" s="1393"/>
    </row>
    <row r="1102" spans="20:20">
      <c r="T1102" s="1393"/>
    </row>
    <row r="1103" spans="20:20">
      <c r="T1103" s="1393"/>
    </row>
    <row r="1104" spans="20:20">
      <c r="T1104" s="1393"/>
    </row>
    <row r="1105" spans="20:20">
      <c r="T1105" s="1393"/>
    </row>
    <row r="1106" spans="20:20">
      <c r="T1106" s="1393"/>
    </row>
    <row r="1107" spans="20:20">
      <c r="T1107" s="1393"/>
    </row>
    <row r="1108" spans="20:20">
      <c r="T1108" s="1393"/>
    </row>
    <row r="1109" spans="20:20">
      <c r="T1109" s="1393"/>
    </row>
    <row r="1110" spans="20:20">
      <c r="T1110" s="1393"/>
    </row>
    <row r="1111" spans="20:20">
      <c r="T1111" s="1393"/>
    </row>
    <row r="1112" spans="20:20">
      <c r="T1112" s="1393"/>
    </row>
    <row r="1113" spans="20:20">
      <c r="T1113" s="1393"/>
    </row>
    <row r="1114" spans="20:20">
      <c r="T1114" s="1393"/>
    </row>
    <row r="1115" spans="20:20">
      <c r="T1115" s="1393"/>
    </row>
    <row r="1116" spans="20:20">
      <c r="T1116" s="1393"/>
    </row>
    <row r="1117" spans="20:20">
      <c r="T1117" s="1393"/>
    </row>
    <row r="1118" spans="20:20">
      <c r="T1118" s="1393"/>
    </row>
    <row r="1119" spans="20:20">
      <c r="T1119" s="1393"/>
    </row>
    <row r="1120" spans="20:20">
      <c r="T1120" s="1393"/>
    </row>
    <row r="1121" spans="20:20">
      <c r="T1121" s="1393"/>
    </row>
    <row r="1122" spans="20:20">
      <c r="T1122" s="1393"/>
    </row>
    <row r="1123" spans="20:20">
      <c r="T1123" s="1393"/>
    </row>
    <row r="1124" spans="20:20">
      <c r="T1124" s="1393"/>
    </row>
    <row r="1125" spans="20:20">
      <c r="T1125" s="1393"/>
    </row>
    <row r="1126" spans="20:20">
      <c r="T1126" s="1393"/>
    </row>
    <row r="1127" spans="20:20">
      <c r="T1127" s="1393"/>
    </row>
    <row r="1128" spans="20:20">
      <c r="T1128" s="1393"/>
    </row>
    <row r="1129" spans="20:20">
      <c r="T1129" s="1393"/>
    </row>
    <row r="1130" spans="20:20">
      <c r="T1130" s="1393"/>
    </row>
    <row r="1131" spans="20:20">
      <c r="T1131" s="1393"/>
    </row>
    <row r="1132" spans="20:20">
      <c r="T1132" s="1393"/>
    </row>
    <row r="1133" spans="20:20">
      <c r="T1133" s="1393"/>
    </row>
    <row r="1134" spans="20:20">
      <c r="T1134" s="1393"/>
    </row>
    <row r="1135" spans="20:20">
      <c r="T1135" s="1393"/>
    </row>
    <row r="1136" spans="20:20">
      <c r="T1136" s="1393"/>
    </row>
    <row r="1137" spans="20:20">
      <c r="T1137" s="1393"/>
    </row>
    <row r="1138" spans="20:20">
      <c r="T1138" s="1393"/>
    </row>
    <row r="1139" spans="20:20">
      <c r="T1139" s="1393"/>
    </row>
    <row r="1140" spans="20:20">
      <c r="T1140" s="1393"/>
    </row>
    <row r="1141" spans="20:20">
      <c r="T1141" s="1393"/>
    </row>
    <row r="1142" spans="20:20">
      <c r="T1142" s="1393"/>
    </row>
    <row r="1143" spans="20:20">
      <c r="T1143" s="1393"/>
    </row>
    <row r="1144" spans="20:20">
      <c r="T1144" s="1393"/>
    </row>
    <row r="1145" spans="20:20">
      <c r="T1145" s="1393"/>
    </row>
    <row r="1146" spans="20:20">
      <c r="T1146" s="1393"/>
    </row>
    <row r="1147" spans="20:20">
      <c r="T1147" s="1393"/>
    </row>
    <row r="1148" spans="20:20">
      <c r="T1148" s="1393"/>
    </row>
    <row r="1149" spans="20:20">
      <c r="T1149" s="1393"/>
    </row>
    <row r="1150" spans="20:20">
      <c r="T1150" s="1393"/>
    </row>
    <row r="1151" spans="20:20">
      <c r="T1151" s="1393"/>
    </row>
    <row r="1152" spans="20:20">
      <c r="T1152" s="1393"/>
    </row>
    <row r="1153" spans="20:20">
      <c r="T1153" s="1393"/>
    </row>
    <row r="1154" spans="20:20">
      <c r="T1154" s="1393"/>
    </row>
    <row r="1155" spans="20:20">
      <c r="T1155" s="1393"/>
    </row>
    <row r="1156" spans="20:20">
      <c r="T1156" s="1393"/>
    </row>
    <row r="1157" spans="20:20">
      <c r="T1157" s="1393"/>
    </row>
    <row r="1158" spans="20:20">
      <c r="T1158" s="1393"/>
    </row>
    <row r="1159" spans="20:20">
      <c r="T1159" s="1393"/>
    </row>
    <row r="1160" spans="20:20">
      <c r="T1160" s="1393"/>
    </row>
    <row r="1161" spans="20:20">
      <c r="T1161" s="1393"/>
    </row>
    <row r="1162" spans="20:20">
      <c r="T1162" s="1393"/>
    </row>
    <row r="1163" spans="20:20">
      <c r="T1163" s="1393"/>
    </row>
    <row r="1164" spans="20:20">
      <c r="T1164" s="1393"/>
    </row>
    <row r="1165" spans="20:20">
      <c r="T1165" s="1393"/>
    </row>
    <row r="1166" spans="20:20">
      <c r="T1166" s="1393"/>
    </row>
    <row r="1167" spans="20:20">
      <c r="T1167" s="1393"/>
    </row>
    <row r="1168" spans="20:20">
      <c r="T1168" s="1393"/>
    </row>
    <row r="1169" spans="20:20">
      <c r="T1169" s="1393"/>
    </row>
    <row r="1170" spans="20:20">
      <c r="T1170" s="1393"/>
    </row>
    <row r="1171" spans="20:20">
      <c r="T1171" s="1393"/>
    </row>
    <row r="1172" spans="20:20">
      <c r="T1172" s="1393"/>
    </row>
    <row r="1173" spans="20:20">
      <c r="T1173" s="1393"/>
    </row>
    <row r="1174" spans="20:20">
      <c r="T1174" s="1393"/>
    </row>
    <row r="1175" spans="20:20">
      <c r="T1175" s="1393"/>
    </row>
    <row r="1176" spans="20:20">
      <c r="T1176" s="1393"/>
    </row>
  </sheetData>
  <sheetProtection password="889B" sheet="1" objects="1" scenarios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68" priority="213" stopIfTrue="1" operator="lessThan">
      <formula>0</formula>
    </cfRule>
  </conditionalFormatting>
  <conditionalFormatting sqref="R1068:S1068 R1007:S1007 R1066:S1066 O462:V462 X462:Y462 AA462">
    <cfRule type="cellIs" dxfId="1467" priority="215" stopIfTrue="1" operator="lessThan">
      <formula>0</formula>
    </cfRule>
  </conditionalFormatting>
  <conditionalFormatting sqref="E12:F12">
    <cfRule type="cellIs" dxfId="1466" priority="223" stopIfTrue="1" operator="equal">
      <formula>0</formula>
    </cfRule>
  </conditionalFormatting>
  <conditionalFormatting sqref="N10">
    <cfRule type="cellIs" dxfId="1465" priority="224" stopIfTrue="1" operator="equal">
      <formula>0</formula>
    </cfRule>
  </conditionalFormatting>
  <conditionalFormatting sqref="AA10">
    <cfRule type="cellIs" dxfId="1464" priority="228" stopIfTrue="1" operator="equal">
      <formula>"ERROR !"</formula>
    </cfRule>
  </conditionalFormatting>
  <conditionalFormatting sqref="E2:L2 C6:E6 G6:L6 C8 C10 K10:L10 F10">
    <cfRule type="cellIs" dxfId="1463" priority="209" stopIfTrue="1" operator="equal">
      <formula>0</formula>
    </cfRule>
  </conditionalFormatting>
  <conditionalFormatting sqref="R206:S233 R43:S198 R301:S338 R274:S299 R235:S272 R397:S461 R372:S395">
    <cfRule type="cellIs" dxfId="1462" priority="171" stopIfTrue="1" operator="lessThan">
      <formula>0</formula>
    </cfRule>
  </conditionalFormatting>
  <conditionalFormatting sqref="P199:P202">
    <cfRule type="cellIs" dxfId="1461" priority="160" stopIfTrue="1" operator="lessThan">
      <formula>0</formula>
    </cfRule>
  </conditionalFormatting>
  <conditionalFormatting sqref="P213 O212 P209:P211 O206:O208 P204:P205">
    <cfRule type="cellIs" dxfId="1460" priority="159" stopIfTrue="1" operator="lessThan">
      <formula>0</formula>
    </cfRule>
  </conditionalFormatting>
  <conditionalFormatting sqref="O237">
    <cfRule type="cellIs" dxfId="1459" priority="156" stopIfTrue="1" operator="lessThan">
      <formula>0</formula>
    </cfRule>
  </conditionalFormatting>
  <conditionalFormatting sqref="O241">
    <cfRule type="cellIs" dxfId="1458" priority="155" stopIfTrue="1" operator="lessThan">
      <formula>0</formula>
    </cfRule>
  </conditionalFormatting>
  <conditionalFormatting sqref="U301:V338 U372:V461">
    <cfRule type="cellIs" dxfId="1457" priority="139" stopIfTrue="1" operator="lessThan">
      <formula>0</formula>
    </cfRule>
  </conditionalFormatting>
  <conditionalFormatting sqref="R273:S273">
    <cfRule type="cellIs" dxfId="1456" priority="146" stopIfTrue="1" operator="lessThan">
      <formula>0</formula>
    </cfRule>
  </conditionalFormatting>
  <conditionalFormatting sqref="R203:S203 R199:R202 R204:R205">
    <cfRule type="cellIs" dxfId="1455" priority="163" stopIfTrue="1" operator="lessThan">
      <formula>0</formula>
    </cfRule>
  </conditionalFormatting>
  <conditionalFormatting sqref="U50:V69">
    <cfRule type="cellIs" dxfId="1454" priority="143" stopIfTrue="1" operator="lessThan">
      <formula>0</formula>
    </cfRule>
  </conditionalFormatting>
  <conditionalFormatting sqref="O214:P233">
    <cfRule type="cellIs" dxfId="1453" priority="127" stopIfTrue="1" operator="lessThan">
      <formula>0</formula>
    </cfRule>
  </conditionalFormatting>
  <conditionalFormatting sqref="O245:P272">
    <cfRule type="cellIs" dxfId="1452" priority="123" stopIfTrue="1" operator="lessThan">
      <formula>0</formula>
    </cfRule>
  </conditionalFormatting>
  <conditionalFormatting sqref="O274:P299">
    <cfRule type="cellIs" dxfId="1451" priority="122" stopIfTrue="1" operator="lessThan">
      <formula>0</formula>
    </cfRule>
  </conditionalFormatting>
  <conditionalFormatting sqref="O301:P395">
    <cfRule type="cellIs" dxfId="1450" priority="121" stopIfTrue="1" operator="lessThan">
      <formula>0</formula>
    </cfRule>
  </conditionalFormatting>
  <conditionalFormatting sqref="O397:P461">
    <cfRule type="cellIs" dxfId="1449" priority="120" stopIfTrue="1" operator="lessThan">
      <formula>0</formula>
    </cfRule>
  </conditionalFormatting>
  <conditionalFormatting sqref="O235:P236">
    <cfRule type="cellIs" dxfId="1448" priority="126" stopIfTrue="1" operator="lessThan">
      <formula>0</formula>
    </cfRule>
  </conditionalFormatting>
  <conditionalFormatting sqref="O238:P240">
    <cfRule type="cellIs" dxfId="1447" priority="125" stopIfTrue="1" operator="lessThan">
      <formula>0</formula>
    </cfRule>
  </conditionalFormatting>
  <conditionalFormatting sqref="O242:P246">
    <cfRule type="cellIs" dxfId="1446" priority="124" stopIfTrue="1" operator="lessThan">
      <formula>0</formula>
    </cfRule>
  </conditionalFormatting>
  <conditionalFormatting sqref="R17:S42">
    <cfRule type="cellIs" dxfId="1445" priority="149" stopIfTrue="1" operator="lessThan">
      <formula>0</formula>
    </cfRule>
  </conditionalFormatting>
  <conditionalFormatting sqref="S204:S205 S199:S202">
    <cfRule type="cellIs" dxfId="1444" priority="147" stopIfTrue="1" operator="lessThan">
      <formula>0</formula>
    </cfRule>
  </conditionalFormatting>
  <conditionalFormatting sqref="R300:S300">
    <cfRule type="cellIs" dxfId="1443" priority="145" stopIfTrue="1" operator="lessThan">
      <formula>0</formula>
    </cfRule>
  </conditionalFormatting>
  <conditionalFormatting sqref="R396:S396">
    <cfRule type="cellIs" dxfId="1442" priority="144" stopIfTrue="1" operator="lessThan">
      <formula>0</formula>
    </cfRule>
  </conditionalFormatting>
  <conditionalFormatting sqref="U235:V236 U261:V272 U238:V240 U237 U242:V259 U241">
    <cfRule type="cellIs" dxfId="1441" priority="142" stopIfTrue="1" operator="lessThan">
      <formula>0</formula>
    </cfRule>
  </conditionalFormatting>
  <conditionalFormatting sqref="U300:V300">
    <cfRule type="cellIs" dxfId="1440" priority="141" stopIfTrue="1" operator="lessThan">
      <formula>0</formula>
    </cfRule>
  </conditionalFormatting>
  <conditionalFormatting sqref="U274:V282 U284:V284 U286:V299">
    <cfRule type="cellIs" dxfId="1439" priority="140" stopIfTrue="1" operator="lessThan">
      <formula>0</formula>
    </cfRule>
  </conditionalFormatting>
  <conditionalFormatting sqref="O50:P198">
    <cfRule type="cellIs" dxfId="1438" priority="128" stopIfTrue="1" operator="lessThan">
      <formula>0</formula>
    </cfRule>
  </conditionalFormatting>
  <conditionalFormatting sqref="P464">
    <cfRule type="cellIs" dxfId="1437" priority="119" stopIfTrue="1" operator="equal">
      <formula>"2002 г. крайно ДТ с-до"</formula>
    </cfRule>
  </conditionalFormatting>
  <conditionalFormatting sqref="S464">
    <cfRule type="cellIs" dxfId="1436" priority="115" stopIfTrue="1" operator="equal">
      <formula>"2002 г. крайно ДТ с-до"</formula>
    </cfRule>
  </conditionalFormatting>
  <conditionalFormatting sqref="X202">
    <cfRule type="cellIs" dxfId="1435" priority="113" stopIfTrue="1" operator="lessThan">
      <formula>0</formula>
    </cfRule>
  </conditionalFormatting>
  <conditionalFormatting sqref="Y199:Y202">
    <cfRule type="cellIs" dxfId="1434" priority="112" stopIfTrue="1" operator="lessThan">
      <formula>0</formula>
    </cfRule>
  </conditionalFormatting>
  <conditionalFormatting sqref="X213:Y233">
    <cfRule type="cellIs" dxfId="1433" priority="111" stopIfTrue="1" operator="lessThan">
      <formula>0</formula>
    </cfRule>
  </conditionalFormatting>
  <conditionalFormatting sqref="X235:Y236">
    <cfRule type="cellIs" dxfId="1432" priority="110" stopIfTrue="1" operator="lessThan">
      <formula>0</formula>
    </cfRule>
  </conditionalFormatting>
  <conditionalFormatting sqref="X237">
    <cfRule type="cellIs" dxfId="1431" priority="109" stopIfTrue="1" operator="lessThan">
      <formula>0</formula>
    </cfRule>
  </conditionalFormatting>
  <conditionalFormatting sqref="X241">
    <cfRule type="cellIs" dxfId="1430" priority="108" stopIfTrue="1" operator="lessThan">
      <formula>0</formula>
    </cfRule>
  </conditionalFormatting>
  <conditionalFormatting sqref="X238:Y240">
    <cfRule type="cellIs" dxfId="1429" priority="107" stopIfTrue="1" operator="lessThan">
      <formula>0</formula>
    </cfRule>
  </conditionalFormatting>
  <conditionalFormatting sqref="O466:P466">
    <cfRule type="cellIs" dxfId="1428" priority="105" stopIfTrue="1" operator="equal">
      <formula>"O K"</formula>
    </cfRule>
    <cfRule type="cellIs" dxfId="1427" priority="106" stopIfTrue="1" operator="notEqual">
      <formula>0</formula>
    </cfRule>
  </conditionalFormatting>
  <conditionalFormatting sqref="R466:S466">
    <cfRule type="cellIs" dxfId="1426" priority="103" stopIfTrue="1" operator="equal">
      <formula>"O K"</formula>
    </cfRule>
    <cfRule type="cellIs" dxfId="1425" priority="104" stopIfTrue="1" operator="notEqual">
      <formula>0</formula>
    </cfRule>
  </conditionalFormatting>
  <conditionalFormatting sqref="V464">
    <cfRule type="cellIs" dxfId="1424" priority="102" stopIfTrue="1" operator="lessThan">
      <formula>0</formula>
    </cfRule>
  </conditionalFormatting>
  <conditionalFormatting sqref="U466:V466">
    <cfRule type="cellIs" dxfId="1423" priority="99" stopIfTrue="1" operator="equal">
      <formula>"O K"</formula>
    </cfRule>
    <cfRule type="cellIs" dxfId="1422" priority="100" stopIfTrue="1" operator="notEqual">
      <formula>0</formula>
    </cfRule>
  </conditionalFormatting>
  <conditionalFormatting sqref="Y464">
    <cfRule type="cellIs" dxfId="1421" priority="98" stopIfTrue="1" operator="lessThan">
      <formula>0</formula>
    </cfRule>
  </conditionalFormatting>
  <conditionalFormatting sqref="X466:Y466">
    <cfRule type="cellIs" dxfId="1420" priority="95" stopIfTrue="1" operator="equal">
      <formula>"O K"</formula>
    </cfRule>
    <cfRule type="cellIs" dxfId="1419" priority="96" stopIfTrue="1" operator="notEqual">
      <formula>0</formula>
    </cfRule>
  </conditionalFormatting>
  <conditionalFormatting sqref="O468:P468">
    <cfRule type="cellIs" dxfId="1418" priority="93" stopIfTrue="1" operator="equal">
      <formula>"O K"</formula>
    </cfRule>
    <cfRule type="cellIs" dxfId="1417" priority="94" stopIfTrue="1" operator="notEqual">
      <formula>0</formula>
    </cfRule>
  </conditionalFormatting>
  <conditionalFormatting sqref="R468:S468">
    <cfRule type="cellIs" dxfId="1416" priority="91" stopIfTrue="1" operator="equal">
      <formula>"O K"</formula>
    </cfRule>
    <cfRule type="cellIs" dxfId="1415" priority="92" stopIfTrue="1" operator="notEqual">
      <formula>0</formula>
    </cfRule>
  </conditionalFormatting>
  <conditionalFormatting sqref="U468:V468">
    <cfRule type="cellIs" dxfId="1414" priority="89" stopIfTrue="1" operator="equal">
      <formula>"O K"</formula>
    </cfRule>
    <cfRule type="cellIs" dxfId="1413" priority="90" stopIfTrue="1" operator="notEqual">
      <formula>0</formula>
    </cfRule>
  </conditionalFormatting>
  <conditionalFormatting sqref="X468:Y468">
    <cfRule type="cellIs" dxfId="1412" priority="87" stopIfTrue="1" operator="equal">
      <formula>"O K"</formula>
    </cfRule>
    <cfRule type="cellIs" dxfId="1411" priority="88" stopIfTrue="1" operator="notEqual">
      <formula>0</formula>
    </cfRule>
  </conditionalFormatting>
  <conditionalFormatting sqref="V237">
    <cfRule type="cellIs" dxfId="1410" priority="84" stopIfTrue="1" operator="lessThan">
      <formula>0</formula>
    </cfRule>
  </conditionalFormatting>
  <conditionalFormatting sqref="V241">
    <cfRule type="cellIs" dxfId="1409" priority="83" stopIfTrue="1" operator="lessThan">
      <formula>0</formula>
    </cfRule>
  </conditionalFormatting>
  <conditionalFormatting sqref="R339:S353">
    <cfRule type="cellIs" dxfId="1408" priority="82" stopIfTrue="1" operator="lessThan">
      <formula>0</formula>
    </cfRule>
  </conditionalFormatting>
  <conditionalFormatting sqref="R355:S371">
    <cfRule type="cellIs" dxfId="1407" priority="81" stopIfTrue="1" operator="lessThan">
      <formula>0</formula>
    </cfRule>
  </conditionalFormatting>
  <conditionalFormatting sqref="U354:V354">
    <cfRule type="cellIs" dxfId="1406" priority="80" stopIfTrue="1" operator="lessThan">
      <formula>0</formula>
    </cfRule>
  </conditionalFormatting>
  <conditionalFormatting sqref="U339:V353">
    <cfRule type="cellIs" dxfId="1405" priority="79" stopIfTrue="1" operator="lessThan">
      <formula>0</formula>
    </cfRule>
  </conditionalFormatting>
  <conditionalFormatting sqref="U355:V371">
    <cfRule type="cellIs" dxfId="1404" priority="78" stopIfTrue="1" operator="lessThan">
      <formula>0</formula>
    </cfRule>
  </conditionalFormatting>
  <conditionalFormatting sqref="G8:H8">
    <cfRule type="cellIs" dxfId="1403" priority="55" stopIfTrue="1" operator="equal">
      <formula>0</formula>
    </cfRule>
  </conditionalFormatting>
  <conditionalFormatting sqref="J8:L8">
    <cfRule type="cellIs" dxfId="1402" priority="54" stopIfTrue="1" operator="equal">
      <formula>0</formula>
    </cfRule>
  </conditionalFormatting>
  <conditionalFormatting sqref="O4">
    <cfRule type="cellIs" dxfId="1401" priority="50" stopIfTrue="1" operator="equal">
      <formula>"O K"</formula>
    </cfRule>
    <cfRule type="cellIs" dxfId="1400" priority="51" stopIfTrue="1" operator="notEqual">
      <formula>"O K"</formula>
    </cfRule>
  </conditionalFormatting>
  <conditionalFormatting sqref="R4">
    <cfRule type="cellIs" dxfId="1399" priority="48" stopIfTrue="1" operator="equal">
      <formula>"O K"</formula>
    </cfRule>
    <cfRule type="cellIs" dxfId="1398" priority="49" stopIfTrue="1" operator="notEqual">
      <formula>"O K"</formula>
    </cfRule>
  </conditionalFormatting>
  <conditionalFormatting sqref="S4">
    <cfRule type="cellIs" dxfId="1397" priority="46" stopIfTrue="1" operator="equal">
      <formula>"O K"</formula>
    </cfRule>
    <cfRule type="cellIs" dxfId="1396" priority="47" stopIfTrue="1" operator="notEqual">
      <formula>"O K"</formula>
    </cfRule>
  </conditionalFormatting>
  <conditionalFormatting sqref="U4">
    <cfRule type="cellIs" dxfId="1395" priority="44" stopIfTrue="1" operator="equal">
      <formula>"O K"</formula>
    </cfRule>
    <cfRule type="cellIs" dxfId="1394" priority="45" stopIfTrue="1" operator="notEqual">
      <formula>"O K"</formula>
    </cfRule>
  </conditionalFormatting>
  <conditionalFormatting sqref="V4">
    <cfRule type="cellIs" dxfId="1393" priority="42" stopIfTrue="1" operator="equal">
      <formula>"O K"</formula>
    </cfRule>
    <cfRule type="cellIs" dxfId="1392" priority="43" stopIfTrue="1" operator="notEqual">
      <formula>"O K"</formula>
    </cfRule>
  </conditionalFormatting>
  <conditionalFormatting sqref="Y4">
    <cfRule type="cellIs" dxfId="1391" priority="40" stopIfTrue="1" operator="equal">
      <formula>"O K"</formula>
    </cfRule>
    <cfRule type="cellIs" dxfId="1390" priority="41" stopIfTrue="1" operator="notEqual">
      <formula>"O K"</formula>
    </cfRule>
  </conditionalFormatting>
  <conditionalFormatting sqref="X4">
    <cfRule type="cellIs" dxfId="1389" priority="38" stopIfTrue="1" operator="equal">
      <formula>"O K"</formula>
    </cfRule>
    <cfRule type="cellIs" dxfId="1388" priority="39" stopIfTrue="1" operator="notEqual">
      <formula>"O K"</formula>
    </cfRule>
  </conditionalFormatting>
  <conditionalFormatting sqref="V212">
    <cfRule type="cellIs" dxfId="1387" priority="37" stopIfTrue="1" operator="lessThan">
      <formula>0</formula>
    </cfRule>
  </conditionalFormatting>
  <conditionalFormatting sqref="V203">
    <cfRule type="cellIs" dxfId="1386" priority="36" stopIfTrue="1" operator="lessThan">
      <formula>0</formula>
    </cfRule>
  </conditionalFormatting>
  <conditionalFormatting sqref="V206:V208">
    <cfRule type="cellIs" dxfId="1385" priority="35" stopIfTrue="1" operator="lessThan">
      <formula>0</formula>
    </cfRule>
  </conditionalFormatting>
  <conditionalFormatting sqref="U199:U205">
    <cfRule type="cellIs" dxfId="1384" priority="34" stopIfTrue="1" operator="lessThan">
      <formula>0</formula>
    </cfRule>
  </conditionalFormatting>
  <conditionalFormatting sqref="U209:U211">
    <cfRule type="cellIs" dxfId="1383" priority="33" stopIfTrue="1" operator="lessThan">
      <formula>0</formula>
    </cfRule>
  </conditionalFormatting>
  <conditionalFormatting sqref="U70:V74">
    <cfRule type="cellIs" dxfId="1382" priority="32" stopIfTrue="1" operator="lessThan">
      <formula>0</formula>
    </cfRule>
  </conditionalFormatting>
  <conditionalFormatting sqref="V48">
    <cfRule type="cellIs" dxfId="1381" priority="31" stopIfTrue="1" operator="lessThan">
      <formula>0</formula>
    </cfRule>
  </conditionalFormatting>
  <conditionalFormatting sqref="U49">
    <cfRule type="cellIs" dxfId="1380" priority="30" stopIfTrue="1" operator="lessThan">
      <formula>0</formula>
    </cfRule>
  </conditionalFormatting>
  <conditionalFormatting sqref="O470:P470">
    <cfRule type="cellIs" dxfId="1379" priority="28" stopIfTrue="1" operator="equal">
      <formula>"O K"</formula>
    </cfRule>
    <cfRule type="cellIs" dxfId="1378" priority="29" stopIfTrue="1" operator="notEqual">
      <formula>0</formula>
    </cfRule>
  </conditionalFormatting>
  <conditionalFormatting sqref="R470:S470">
    <cfRule type="cellIs" dxfId="1377" priority="26" stopIfTrue="1" operator="equal">
      <formula>"O K"</formula>
    </cfRule>
    <cfRule type="cellIs" dxfId="1376" priority="27" stopIfTrue="1" operator="notEqual">
      <formula>0</formula>
    </cfRule>
  </conditionalFormatting>
  <conditionalFormatting sqref="U470:V470">
    <cfRule type="cellIs" dxfId="1375" priority="24" stopIfTrue="1" operator="equal">
      <formula>"O K"</formula>
    </cfRule>
    <cfRule type="cellIs" dxfId="1374" priority="25" stopIfTrue="1" operator="notEqual">
      <formula>0</formula>
    </cfRule>
  </conditionalFormatting>
  <conditionalFormatting sqref="X470:Y470">
    <cfRule type="cellIs" dxfId="1373" priority="22" stopIfTrue="1" operator="equal">
      <formula>"O K"</formula>
    </cfRule>
    <cfRule type="cellIs" dxfId="1372" priority="23" stopIfTrue="1" operator="notEqual">
      <formula>0</formula>
    </cfRule>
  </conditionalFormatting>
  <conditionalFormatting sqref="O2">
    <cfRule type="cellIs" dxfId="1371" priority="20" stopIfTrue="1" operator="equal">
      <formula>"O K"</formula>
    </cfRule>
    <cfRule type="cellIs" dxfId="1370" priority="21" stopIfTrue="1" operator="notEqual">
      <formula>"O K"</formula>
    </cfRule>
  </conditionalFormatting>
  <conditionalFormatting sqref="R2">
    <cfRule type="cellIs" dxfId="1369" priority="18" stopIfTrue="1" operator="equal">
      <formula>"O K"</formula>
    </cfRule>
    <cfRule type="cellIs" dxfId="1368" priority="19" stopIfTrue="1" operator="notEqual">
      <formula>"O K"</formula>
    </cfRule>
  </conditionalFormatting>
  <conditionalFormatting sqref="U2">
    <cfRule type="cellIs" dxfId="1367" priority="16" stopIfTrue="1" operator="equal">
      <formula>"O K"</formula>
    </cfRule>
    <cfRule type="cellIs" dxfId="1366" priority="17" stopIfTrue="1" operator="notEqual">
      <formula>"O K"</formula>
    </cfRule>
  </conditionalFormatting>
  <conditionalFormatting sqref="X2">
    <cfRule type="cellIs" dxfId="1365" priority="14" stopIfTrue="1" operator="equal">
      <formula>"O K"</formula>
    </cfRule>
    <cfRule type="cellIs" dxfId="1364" priority="15" stopIfTrue="1" operator="notEqual">
      <formula>"O K"</formula>
    </cfRule>
  </conditionalFormatting>
  <conditionalFormatting sqref="E2:L2 C8">
    <cfRule type="cellIs" dxfId="1363" priority="13" stopIfTrue="1" operator="equal">
      <formula>0</formula>
    </cfRule>
  </conditionalFormatting>
  <conditionalFormatting sqref="D4">
    <cfRule type="cellIs" dxfId="1362" priority="9" stopIfTrue="1" operator="between">
      <formula>1000000000000</formula>
      <formula>9999999999999990</formula>
    </cfRule>
    <cfRule type="cellIs" dxfId="1361" priority="10" stopIfTrue="1" operator="between">
      <formula>1000000000</formula>
      <formula>999999999999</formula>
    </cfRule>
    <cfRule type="cellIs" dxfId="1360" priority="11" stopIfTrue="1" operator="between">
      <formula>10000</formula>
      <formula>99999999</formula>
    </cfRule>
    <cfRule type="cellIs" dxfId="1359" priority="12" stopIfTrue="1" operator="between">
      <formula>10</formula>
      <formula>9999</formula>
    </cfRule>
  </conditionalFormatting>
  <conditionalFormatting sqref="D4">
    <cfRule type="cellIs" dxfId="1358" priority="8" operator="equal">
      <formula>0</formula>
    </cfRule>
  </conditionalFormatting>
  <conditionalFormatting sqref="A3:C5">
    <cfRule type="cellIs" dxfId="1357" priority="7" operator="equal">
      <formula>"Код на общински разпоредител с бюджет"</formula>
    </cfRule>
  </conditionalFormatting>
  <conditionalFormatting sqref="G4:L4">
    <cfRule type="cellIs" dxfId="1356" priority="6" operator="equal">
      <formula>0</formula>
    </cfRule>
  </conditionalFormatting>
  <conditionalFormatting sqref="AA14:AA461">
    <cfRule type="cellIs" dxfId="1355" priority="5" stopIfTrue="1" operator="notEqual">
      <formula>0</formula>
    </cfRule>
  </conditionalFormatting>
  <conditionalFormatting sqref="U41:V42">
    <cfRule type="cellIs" dxfId="1354" priority="4" stopIfTrue="1" operator="lessThan">
      <formula>0</formula>
    </cfRule>
  </conditionalFormatting>
  <conditionalFormatting sqref="O41:P41">
    <cfRule type="cellIs" dxfId="1353" priority="3" stopIfTrue="1" operator="lessThan">
      <formula>0</formula>
    </cfRule>
  </conditionalFormatting>
  <conditionalFormatting sqref="O273:P273">
    <cfRule type="cellIs" dxfId="1352" priority="2" stopIfTrue="1" operator="lessThan">
      <formula>0</formula>
    </cfRule>
  </conditionalFormatting>
  <conditionalFormatting sqref="O300:P300">
    <cfRule type="cellIs" dxfId="1351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0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49.5703125" style="1397" customWidth="1"/>
    <col min="2" max="2" width="6.7109375" style="1397" customWidth="1"/>
    <col min="3" max="3" width="0.85546875" style="1397" customWidth="1"/>
    <col min="4" max="5" width="21.28515625" style="1397" customWidth="1"/>
    <col min="6" max="6" width="0.85546875" style="1397" customWidth="1"/>
    <col min="7" max="8" width="21.28515625" style="1397" customWidth="1"/>
    <col min="9" max="9" width="1" style="1397" customWidth="1"/>
    <col min="10" max="11" width="21.28515625" style="1397" customWidth="1"/>
    <col min="12" max="12" width="1" style="1397" customWidth="1"/>
    <col min="13" max="14" width="21.28515625" style="1397" customWidth="1"/>
    <col min="15" max="15" width="3.42578125" style="1397" customWidth="1"/>
    <col min="16" max="16" width="26.5703125" style="1397" customWidth="1"/>
    <col min="17" max="17" width="26.710937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46">
        <f>+'TRIAL-BALANCE'!E2</f>
        <v>0</v>
      </c>
      <c r="B1" s="2547"/>
      <c r="C1" s="2547"/>
      <c r="D1" s="2548"/>
      <c r="E1" s="224" t="s">
        <v>791</v>
      </c>
      <c r="F1" s="225"/>
      <c r="G1" s="2544">
        <f>+'TRIAL-BALANCE'!C6</f>
        <v>0</v>
      </c>
      <c r="H1" s="2545"/>
      <c r="I1" s="225"/>
      <c r="J1" s="226" t="s">
        <v>611</v>
      </c>
      <c r="K1" s="978">
        <f>+'TRIAL-BALANCE'!C8</f>
        <v>0</v>
      </c>
      <c r="L1" s="225"/>
      <c r="M1" s="226" t="s">
        <v>1213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68" t="s">
        <v>1085</v>
      </c>
      <c r="B2" s="2569"/>
      <c r="C2" s="2569"/>
      <c r="D2" s="2570"/>
      <c r="E2" s="2561">
        <f>+IF(+ROUND(SUM(Status!O13:O39),2)+ROUND(SUM(Status!R13:R39),2)=0,0,"отчетено НЕРАВНЕНИЕ в таблица 'Status'!")</f>
        <v>0</v>
      </c>
      <c r="F2" s="2561"/>
      <c r="G2" s="2561"/>
      <c r="H2" s="2561"/>
      <c r="I2" s="225"/>
      <c r="J2" s="2574">
        <f>+IF(AND(Status!$R21=0,Status!$R22=0,Status!$R29=0),0,"Има грешки в КРАЙНИ салда!")</f>
        <v>0</v>
      </c>
      <c r="K2" s="2574"/>
      <c r="L2" s="225"/>
      <c r="M2" s="2574">
        <f>+IF(AND(Status!$R31=0,Status!$R33=0,Status!$R39=0),0,"Неравнение в НАЧАЛНИ салда!")</f>
        <v>0</v>
      </c>
      <c r="N2" s="2574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49">
        <f>+'TRIAL-BALANCE'!G4</f>
        <v>0</v>
      </c>
      <c r="B3" s="2550"/>
      <c r="C3" s="2550"/>
      <c r="D3" s="2551"/>
      <c r="E3" s="2210" t="s">
        <v>1205</v>
      </c>
      <c r="F3" s="227"/>
      <c r="G3" s="2566">
        <f>+'TRIAL-BALANCE'!J8</f>
        <v>0</v>
      </c>
      <c r="H3" s="2567"/>
      <c r="I3" s="225"/>
      <c r="J3" s="2211" t="s">
        <v>2109</v>
      </c>
      <c r="K3" s="2563">
        <f>+'TRIAL-BALANCE'!G6</f>
        <v>0</v>
      </c>
      <c r="L3" s="2564"/>
      <c r="M3" s="2564"/>
      <c r="N3" s="256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5"/>
      <c r="B4" s="225"/>
      <c r="C4" s="225"/>
      <c r="D4" s="225"/>
      <c r="E4" s="228"/>
      <c r="F4" s="225"/>
      <c r="G4" s="228"/>
      <c r="H4" s="229"/>
      <c r="I4" s="225"/>
      <c r="J4" s="227"/>
      <c r="K4" s="227"/>
      <c r="L4" s="225"/>
      <c r="M4" s="227"/>
      <c r="N4" s="227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55" t="s">
        <v>1005</v>
      </c>
      <c r="B5" s="2560">
        <f>+A1</f>
        <v>0</v>
      </c>
      <c r="C5" s="2560"/>
      <c r="D5" s="2560"/>
      <c r="E5" s="2560"/>
      <c r="F5" s="2560"/>
      <c r="G5" s="2560"/>
      <c r="H5" s="375" t="s">
        <v>1004</v>
      </c>
      <c r="I5" s="373"/>
      <c r="J5" s="2556" t="str">
        <f>+'TRIAL-BALANCE'!H12</f>
        <v>30 септември 2021 г.</v>
      </c>
      <c r="K5" s="2556"/>
      <c r="L5" s="230"/>
      <c r="M5" s="231" t="str">
        <f>+'TRIAL-BALANCE'!C10</f>
        <v>/с б о р е н/</v>
      </c>
      <c r="N5" s="520" t="s">
        <v>1874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89" t="s">
        <v>1033</v>
      </c>
      <c r="B6" s="232"/>
      <c r="C6" s="233"/>
      <c r="D6" s="2571">
        <f>+IF(Status!N2=0,0,+IF(Status!P4="ДА","ГРЕШКА - виж таблица 'Status' за с/ки 468Х!",0))</f>
        <v>0</v>
      </c>
      <c r="E6" s="2571"/>
      <c r="F6" s="232"/>
      <c r="G6" s="2572">
        <f>+IF(Status!N6=0,0,+IF(Status!P8="ДА","ГРЕШКА - виж таблица 'Status' за с/ки 468Х!",0))</f>
        <v>0</v>
      </c>
      <c r="H6" s="2573"/>
      <c r="I6" s="237"/>
      <c r="J6" s="374"/>
      <c r="K6" s="374"/>
      <c r="L6" s="233"/>
      <c r="M6" s="456"/>
      <c r="N6" s="690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93" t="s">
        <v>2181</v>
      </c>
      <c r="C7" s="237"/>
      <c r="D7" s="165" t="s">
        <v>979</v>
      </c>
      <c r="E7" s="166"/>
      <c r="F7" s="237"/>
      <c r="G7" s="634" t="s">
        <v>798</v>
      </c>
      <c r="H7" s="635"/>
      <c r="I7" s="237"/>
      <c r="J7" s="638" t="s">
        <v>984</v>
      </c>
      <c r="K7" s="639"/>
      <c r="L7" s="237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48" t="s">
        <v>399</v>
      </c>
      <c r="B8" s="2494"/>
      <c r="C8" s="237"/>
      <c r="D8" s="438" t="s">
        <v>980</v>
      </c>
      <c r="E8" s="169"/>
      <c r="F8" s="237"/>
      <c r="G8" s="636" t="s">
        <v>981</v>
      </c>
      <c r="H8" s="637"/>
      <c r="I8" s="237"/>
      <c r="J8" s="640" t="s">
        <v>985</v>
      </c>
      <c r="K8" s="641"/>
      <c r="L8" s="237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2" t="str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Непопълнен ред в таблица 'Cash-deficit'!</v>
      </c>
      <c r="B9" s="2495"/>
      <c r="C9" s="233"/>
      <c r="D9" s="1449" t="s">
        <v>1011</v>
      </c>
      <c r="E9" s="1450" t="s">
        <v>1016</v>
      </c>
      <c r="F9" s="233"/>
      <c r="G9" s="1449" t="str">
        <f>+D9</f>
        <v>Текуща година           (в лева)</v>
      </c>
      <c r="H9" s="1453" t="str">
        <f>+E9</f>
        <v>Предходна година       31 декември (в лева)</v>
      </c>
      <c r="I9" s="233"/>
      <c r="J9" s="1449" t="str">
        <f>+G9</f>
        <v>Текуща година           (в лева)</v>
      </c>
      <c r="K9" s="1453" t="str">
        <f>+H9</f>
        <v>Предходна година       31 декември (в лева)</v>
      </c>
      <c r="L9" s="233"/>
      <c r="M9" s="1449" t="str">
        <f>+J9</f>
        <v>Текуща година           (в лева)</v>
      </c>
      <c r="N9" s="1453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62" t="s">
        <v>150</v>
      </c>
      <c r="B10" s="1063" t="s">
        <v>151</v>
      </c>
      <c r="C10" s="233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7"/>
      <c r="D11" s="616"/>
      <c r="E11" s="617"/>
      <c r="F11" s="237"/>
      <c r="G11" s="616"/>
      <c r="H11" s="617"/>
      <c r="I11" s="237"/>
      <c r="J11" s="616"/>
      <c r="K11" s="617"/>
      <c r="L11" s="237"/>
      <c r="M11" s="616"/>
      <c r="N11" s="61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33"/>
      <c r="D12" s="310" t="str">
        <f>+IF(+OR(D13&lt;0,D14&lt;0,D15&lt;0,D16&lt;0,D17&lt;0,D18&lt;0,D19&lt;0,D22&lt;0),"НЕРАВНЕНИЕ !"," ")</f>
        <v xml:space="preserve"> </v>
      </c>
      <c r="E12" s="319" t="str">
        <f>+IF(+OR(E13&lt;0,E14&lt;0,E15&lt;0,E16&lt;0,E17&lt;0,E18&lt;0,E19&lt;0,E22&lt;0),"НЕРАВНЕНИЕ !"," ")</f>
        <v xml:space="preserve"> </v>
      </c>
      <c r="F12" s="233"/>
      <c r="G12" s="310" t="str">
        <f>+IF(+OR(G13&lt;0,G14&lt;0,G15&lt;0,G16&lt;0,G17&lt;0,G18&lt;0,G19&lt;0,G22&lt;0),"НЕРАВНЕНИЕ !"," ")</f>
        <v xml:space="preserve"> </v>
      </c>
      <c r="H12" s="319" t="str">
        <f>+IF(+OR(H13&lt;0,H14&lt;0,H15&lt;0,H16&lt;0,H17&lt;0,H18&lt;0,H19&lt;0,H22&lt;0),"НЕРАВНЕНИЕ !"," ")</f>
        <v xml:space="preserve"> </v>
      </c>
      <c r="I12" s="233"/>
      <c r="J12" s="310" t="str">
        <f>+IF(+OR(J13&lt;0,J14&lt;0,J15&lt;0,J16&lt;0,J17&lt;0,J18&lt;0,J19&lt;0,J22&lt;0),"НЕРАВНЕНИЕ !"," ")</f>
        <v xml:space="preserve"> </v>
      </c>
      <c r="K12" s="319" t="str">
        <f>+IF(+OR(K13&lt;0,K14&lt;0,K15&lt;0,K16&lt;0,K17&lt;0,K18&lt;0,K19&lt;0,K22&lt;0),"НЕРАВНЕНИЕ !"," ")</f>
        <v xml:space="preserve"> </v>
      </c>
      <c r="L12" s="233"/>
      <c r="M12" s="310" t="str">
        <f>+IF(+OR(M13&lt;0,M14&lt;0,M15&lt;0,M16&lt;0,M17&lt;0,M18&lt;0,M19&lt;0,M22&lt;0),"НЕРАВНЕНИЕ !"," ")</f>
        <v xml:space="preserve"> </v>
      </c>
      <c r="N12" s="319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34" t="s">
        <v>154</v>
      </c>
      <c r="B13" s="335">
        <v>11</v>
      </c>
      <c r="C13" s="233"/>
      <c r="D13" s="618">
        <f>+ROUND(+'TRIAL-BALANCE'!S73+'TRIAL-BALANCE'!S74+'TRIAL-BALANCE'!S75+'TRIAL-BALANCE'!S76-'TRIAL-BALANCE'!T95,2)</f>
        <v>4777633.46</v>
      </c>
      <c r="E13" s="619">
        <f>+ROUND((+'TRIAL-BALANCE'!O73+'TRIAL-BALANCE'!O74+'TRIAL-BALANCE'!O75+'TRIAL-BALANCE'!O76-'TRIAL-BALANCE'!P95),2)</f>
        <v>4814271.2300000004</v>
      </c>
      <c r="F13" s="248"/>
      <c r="G13" s="618">
        <f>+ROUND(+'TRIAL-BALANCE'!Z73+'TRIAL-BALANCE'!Z74+'TRIAL-BALANCE'!Z75+'TRIAL-BALANCE'!Z76-'TRIAL-BALANCE'!AA95,2)</f>
        <v>1630660.69</v>
      </c>
      <c r="H13" s="619">
        <f>+ROUND(+'TRIAL-BALANCE'!V73+'TRIAL-BALANCE'!V74+'TRIAL-BALANCE'!V75+'TRIAL-BALANCE'!V76-'TRIAL-BALANCE'!W95,2)</f>
        <v>1630660.69</v>
      </c>
      <c r="I13" s="248"/>
      <c r="J13" s="618">
        <f>+ROUND(+'TRIAL-BALANCE'!AG73+'TRIAL-BALANCE'!AG74+'TRIAL-BALANCE'!AG75+'TRIAL-BALANCE'!AG76-'TRIAL-BALANCE'!AH95,2)</f>
        <v>0</v>
      </c>
      <c r="K13" s="619">
        <f>+ROUND(+'TRIAL-BALANCE'!AC73+'TRIAL-BALANCE'!AC74+'TRIAL-BALANCE'!AC75+'TRIAL-BALANCE'!AC76-'TRIAL-BALANCE'!AD95,2)</f>
        <v>0</v>
      </c>
      <c r="L13" s="248"/>
      <c r="M13" s="618">
        <f t="shared" ref="M13:N19" si="0">+ROUND(+D13+G13+J13,2)</f>
        <v>6408294.1500000004</v>
      </c>
      <c r="N13" s="619">
        <f t="shared" si="0"/>
        <v>6444931.9199999999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34" t="s">
        <v>2015</v>
      </c>
      <c r="B14" s="335">
        <v>12</v>
      </c>
      <c r="C14" s="233"/>
      <c r="D14" s="618">
        <f>+ROUND(+'TRIAL-BALANCE'!S77+'TRIAL-BALANCE'!S78+'TRIAL-BALANCE'!S79+'TRIAL-BALANCE'!S80-SUM('TRIAL-BALANCE'!T96:T97),2)</f>
        <v>5815333.5</v>
      </c>
      <c r="E14" s="619">
        <f>+ROUND((+'TRIAL-BALANCE'!O77+'TRIAL-BALANCE'!O78+'TRIAL-BALANCE'!O79+'TRIAL-BALANCE'!O80-SUM('TRIAL-BALANCE'!P96:P97)),2)</f>
        <v>6069973.7199999997</v>
      </c>
      <c r="F14" s="248"/>
      <c r="G14" s="618">
        <f>+ROUND(+'TRIAL-BALANCE'!Z77+'TRIAL-BALANCE'!Z78+'TRIAL-BALANCE'!Z79+'TRIAL-BALANCE'!Z80-SUM('TRIAL-BALANCE'!AA96:AA97),2)</f>
        <v>159099.43</v>
      </c>
      <c r="H14" s="619">
        <f>+ROUND(+'TRIAL-BALANCE'!V77+'TRIAL-BALANCE'!V78+'TRIAL-BALANCE'!V79+'TRIAL-BALANCE'!V80-SUM('TRIAL-BALANCE'!W96:W97),2)</f>
        <v>164365.43</v>
      </c>
      <c r="I14" s="248"/>
      <c r="J14" s="618">
        <f>+ROUND(+'TRIAL-BALANCE'!AG77+'TRIAL-BALANCE'!AG78+'TRIAL-BALANCE'!AG79+'TRIAL-BALANCE'!AG80-SUM('TRIAL-BALANCE'!AH96:AH97),2)</f>
        <v>0</v>
      </c>
      <c r="K14" s="619">
        <f>+ROUND(+'TRIAL-BALANCE'!AC77+'TRIAL-BALANCE'!AC78+'TRIAL-BALANCE'!AC79+'TRIAL-BALANCE'!AC80-SUM('TRIAL-BALANCE'!AD96:AD97),2)</f>
        <v>0</v>
      </c>
      <c r="L14" s="248"/>
      <c r="M14" s="618">
        <f t="shared" si="0"/>
        <v>5974432.9299999997</v>
      </c>
      <c r="N14" s="619">
        <f t="shared" si="0"/>
        <v>6234339.1500000004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155</v>
      </c>
      <c r="B15" s="335">
        <v>13</v>
      </c>
      <c r="C15" s="233"/>
      <c r="D15" s="618">
        <f>+ROUND(+'TRIAL-BALANCE'!S72+'TRIAL-BALANCE'!S81+'TRIAL-BALANCE'!S84+'TRIAL-BALANCE'!S85-'TRIAL-BALANCE'!T94-'TRIAL-BALANCE'!T98-'TRIAL-BALANCE'!T100,2)</f>
        <v>167837.81</v>
      </c>
      <c r="E15" s="619">
        <f>+ROUND((+'TRIAL-BALANCE'!O72+'TRIAL-BALANCE'!O81+'TRIAL-BALANCE'!O84+'TRIAL-BALANCE'!O85-'TRIAL-BALANCE'!P94-'TRIAL-BALANCE'!P98-'TRIAL-BALANCE'!P100),2)</f>
        <v>171975.88</v>
      </c>
      <c r="F15" s="248"/>
      <c r="G15" s="618">
        <f>+ROUND(+'TRIAL-BALANCE'!Z72+'TRIAL-BALANCE'!Z81+'TRIAL-BALANCE'!Z84+'TRIAL-BALANCE'!Z85-'TRIAL-BALANCE'!AA94-'TRIAL-BALANCE'!AA98-'TRIAL-BALANCE'!AA100,2)</f>
        <v>1308</v>
      </c>
      <c r="H15" s="619">
        <f>+ROUND(+'TRIAL-BALANCE'!V72+'TRIAL-BALANCE'!V81+'TRIAL-BALANCE'!V84+'TRIAL-BALANCE'!V85-'TRIAL-BALANCE'!W94-'TRIAL-BALANCE'!W98-'TRIAL-BALANCE'!W100,2)</f>
        <v>1308</v>
      </c>
      <c r="I15" s="248"/>
      <c r="J15" s="618">
        <f>+ROUND(+'TRIAL-BALANCE'!AG72+'TRIAL-BALANCE'!AG81+'TRIAL-BALANCE'!AG84+'TRIAL-BALANCE'!AG85-'TRIAL-BALANCE'!AH94-'TRIAL-BALANCE'!AH98-'TRIAL-BALANCE'!AH100,2)</f>
        <v>0</v>
      </c>
      <c r="K15" s="619">
        <f>+ROUND(+'TRIAL-BALANCE'!AC72+'TRIAL-BALANCE'!AC81+'TRIAL-BALANCE'!AC84+'TRIAL-BALANCE'!AC85-'TRIAL-BALANCE'!AD94-'TRIAL-BALANCE'!AD98-'TRIAL-BALANCE'!AD100,2)</f>
        <v>0</v>
      </c>
      <c r="L15" s="248"/>
      <c r="M15" s="618">
        <f t="shared" si="0"/>
        <v>169145.81</v>
      </c>
      <c r="N15" s="619">
        <f t="shared" si="0"/>
        <v>173283.88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156</v>
      </c>
      <c r="B16" s="335">
        <v>14</v>
      </c>
      <c r="C16" s="233"/>
      <c r="D16" s="618">
        <f>+ROUND(+'TRIAL-BALANCE'!S82+'TRIAL-BALANCE'!S83,2)</f>
        <v>6600</v>
      </c>
      <c r="E16" s="619">
        <f>+ROUND(+'TRIAL-BALANCE'!O82+'TRIAL-BALANCE'!O83,2)</f>
        <v>6600</v>
      </c>
      <c r="F16" s="248"/>
      <c r="G16" s="618">
        <f>+ROUND(+'TRIAL-BALANCE'!Z82+'TRIAL-BALANCE'!Z83,2)</f>
        <v>0</v>
      </c>
      <c r="H16" s="619">
        <f>+ROUND(+'TRIAL-BALANCE'!V82+'TRIAL-BALANCE'!V83,2)</f>
        <v>0</v>
      </c>
      <c r="I16" s="248"/>
      <c r="J16" s="618">
        <f>+ROUND(+'TRIAL-BALANCE'!AG82+'TRIAL-BALANCE'!AG83,2)</f>
        <v>2819705.69</v>
      </c>
      <c r="K16" s="619">
        <f>+ROUND(+'TRIAL-BALANCE'!AC82+'TRIAL-BALANCE'!AC83,2)</f>
        <v>2819705.69</v>
      </c>
      <c r="L16" s="248"/>
      <c r="M16" s="618">
        <f t="shared" si="0"/>
        <v>2826305.69</v>
      </c>
      <c r="N16" s="619">
        <f t="shared" si="0"/>
        <v>2826305.69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790</v>
      </c>
      <c r="B17" s="335">
        <v>15</v>
      </c>
      <c r="C17" s="233"/>
      <c r="D17" s="620">
        <f>+ROUND('TRIAL-BALANCE'!S91-'TRIAL-BALANCE'!T99,2)</f>
        <v>0</v>
      </c>
      <c r="E17" s="621">
        <f>+ROUND('TRIAL-BALANCE'!O91-'TRIAL-BALANCE'!P99,2)</f>
        <v>0</v>
      </c>
      <c r="F17" s="248"/>
      <c r="G17" s="620">
        <f>+ROUND('TRIAL-BALANCE'!Z91-'TRIAL-BALANCE'!AA99,2)</f>
        <v>0</v>
      </c>
      <c r="H17" s="621">
        <f>+ROUND('TRIAL-BALANCE'!V91-'TRIAL-BALANCE'!W99,2)</f>
        <v>0</v>
      </c>
      <c r="I17" s="248"/>
      <c r="J17" s="642">
        <f>+ROUND('TRIAL-BALANCE'!AG91-'TRIAL-BALANCE'!AH99,2)</f>
        <v>23935963.920000002</v>
      </c>
      <c r="K17" s="643">
        <f>+ROUND('TRIAL-BALANCE'!AC91-'TRIAL-BALANCE'!AD99,2)</f>
        <v>24678136.77</v>
      </c>
      <c r="L17" s="248"/>
      <c r="M17" s="618">
        <f t="shared" si="0"/>
        <v>23935963.920000002</v>
      </c>
      <c r="N17" s="619">
        <f t="shared" si="0"/>
        <v>24678136.77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145</v>
      </c>
      <c r="B18" s="335">
        <v>16</v>
      </c>
      <c r="C18" s="233"/>
      <c r="D18" s="620">
        <f>+ROUND(+'TRIAL-BALANCE'!S92+'TRIAL-BALANCE'!S93,2)</f>
        <v>0</v>
      </c>
      <c r="E18" s="621">
        <f>+ROUND(+'TRIAL-BALANCE'!O92+'TRIAL-BALANCE'!O93,2)</f>
        <v>0</v>
      </c>
      <c r="F18" s="248"/>
      <c r="G18" s="620">
        <f>+ROUND(+'TRIAL-BALANCE'!Z92+'TRIAL-BALANCE'!Z93,2)</f>
        <v>0</v>
      </c>
      <c r="H18" s="621">
        <f>+ROUND(+'TRIAL-BALANCE'!V92+'TRIAL-BALANCE'!V93,2)</f>
        <v>0</v>
      </c>
      <c r="I18" s="248"/>
      <c r="J18" s="642">
        <f>+ROUND(+'TRIAL-BALANCE'!AG92+'TRIAL-BALANCE'!AG93,2)</f>
        <v>0</v>
      </c>
      <c r="K18" s="643">
        <f>+ROUND(+'TRIAL-BALANCE'!AC92+'TRIAL-BALANCE'!AC93,2)</f>
        <v>0</v>
      </c>
      <c r="L18" s="248"/>
      <c r="M18" s="618">
        <f t="shared" si="0"/>
        <v>0</v>
      </c>
      <c r="N18" s="619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6" t="s">
        <v>794</v>
      </c>
      <c r="B19" s="337">
        <v>17</v>
      </c>
      <c r="C19" s="233"/>
      <c r="D19" s="622">
        <f>+ROUND(+'TRIAL-BALANCE'!S71+'TRIAL-BALANCE'!S90,2)</f>
        <v>736833.39</v>
      </c>
      <c r="E19" s="623">
        <f>+ROUND('TRIAL-BALANCE'!O71+'TRIAL-BALANCE'!O90,2)</f>
        <v>736833.39</v>
      </c>
      <c r="F19" s="248"/>
      <c r="G19" s="622">
        <f>+ROUND(+'TRIAL-BALANCE'!Z71+'TRIAL-BALANCE'!Z90,2)</f>
        <v>0</v>
      </c>
      <c r="H19" s="623">
        <f>+ROUND(+'TRIAL-BALANCE'!V71+'TRIAL-BALANCE'!V90,2)</f>
        <v>0</v>
      </c>
      <c r="I19" s="248"/>
      <c r="J19" s="628">
        <f>+ROUND(+'TRIAL-BALANCE'!AG71+'TRIAL-BALANCE'!AG90,2)</f>
        <v>30734795.109999999</v>
      </c>
      <c r="K19" s="629">
        <f>+ROUND(+'TRIAL-BALANCE'!AC71+'TRIAL-BALANCE'!AC90,2)</f>
        <v>30727061.109999999</v>
      </c>
      <c r="L19" s="248"/>
      <c r="M19" s="628">
        <f t="shared" si="0"/>
        <v>31471628.5</v>
      </c>
      <c r="N19" s="629">
        <f t="shared" si="0"/>
        <v>31463894.5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233"/>
      <c r="D20" s="624">
        <f>+ROUND(+D13+D14+D15+D16+D17+D18+D19,2)</f>
        <v>11504238.16</v>
      </c>
      <c r="E20" s="625">
        <f>+ROUND(+E13+E14+E15+E16+E17+E18+E19,2)</f>
        <v>11799654.220000001</v>
      </c>
      <c r="F20" s="248"/>
      <c r="G20" s="624">
        <f>+ROUND(+G13+G14+G15+G16+G17+G18+G19,2)</f>
        <v>1791068.12</v>
      </c>
      <c r="H20" s="625">
        <f>+ROUND(+H13+H14+H15+H16+H17+H18+H19,2)</f>
        <v>1796334.12</v>
      </c>
      <c r="I20" s="248"/>
      <c r="J20" s="624">
        <f>+ROUND(+J13+J14+J15+J16+J17+J18+J19,2)</f>
        <v>57490464.719999999</v>
      </c>
      <c r="K20" s="625">
        <f>+ROUND(+K13+K14+K15+K16+K17+K18+K19,2)</f>
        <v>58224903.57</v>
      </c>
      <c r="L20" s="248"/>
      <c r="M20" s="624">
        <f>+ROUND(+M13+M14+M15+M16+M17+M18+M19,2)</f>
        <v>70785771</v>
      </c>
      <c r="N20" s="625">
        <f>+ROUND(+N13+N14+N15+N16+N17+N18+N19,2)</f>
        <v>71820891.909999996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33"/>
      <c r="D21" s="626"/>
      <c r="E21" s="627"/>
      <c r="F21" s="248"/>
      <c r="G21" s="626"/>
      <c r="H21" s="627"/>
      <c r="I21" s="248"/>
      <c r="J21" s="626"/>
      <c r="K21" s="627"/>
      <c r="L21" s="248"/>
      <c r="M21" s="626"/>
      <c r="N21" s="627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33"/>
      <c r="D22" s="624">
        <f>+ROUND(+'TRIAL-BALANCE'!S86+'TRIAL-BALANCE'!S87+'TRIAL-BALANCE'!S88+'TRIAL-BALANCE'!S89-'TRIAL-BALANCE'!T101,2)</f>
        <v>154901.16</v>
      </c>
      <c r="E22" s="625">
        <f>+ROUND(+'TRIAL-BALANCE'!O86+'TRIAL-BALANCE'!O87+'TRIAL-BALANCE'!O88+'TRIAL-BALANCE'!O89-'TRIAL-BALANCE'!P101,2)</f>
        <v>164825.85999999999</v>
      </c>
      <c r="F22" s="248"/>
      <c r="G22" s="624">
        <f>+ROUND(+'TRIAL-BALANCE'!Z86+'TRIAL-BALANCE'!Z87+'TRIAL-BALANCE'!Z88+'TRIAL-BALANCE'!Z89-'TRIAL-BALANCE'!AA101,2)</f>
        <v>0</v>
      </c>
      <c r="H22" s="625">
        <f>+ROUND(+'TRIAL-BALANCE'!V86+'TRIAL-BALANCE'!V87+'TRIAL-BALANCE'!V88+'TRIAL-BALANCE'!V89-'TRIAL-BALANCE'!W101,2)</f>
        <v>6968</v>
      </c>
      <c r="I22" s="248"/>
      <c r="J22" s="624">
        <f>+ROUND(+'TRIAL-BALANCE'!AG86+'TRIAL-BALANCE'!AG87+'TRIAL-BALANCE'!AG88+'TRIAL-BALANCE'!AG89-'TRIAL-BALANCE'!AG101,2)</f>
        <v>0</v>
      </c>
      <c r="K22" s="625">
        <f>+ROUND(+'TRIAL-BALANCE'!AC86+'TRIAL-BALANCE'!AC87+'TRIAL-BALANCE'!AC88+'TRIAL-BALANCE'!AC89-'TRIAL-BALANCE'!AD101,2)</f>
        <v>0</v>
      </c>
      <c r="L22" s="248"/>
      <c r="M22" s="624">
        <f>+ROUND(+D22+G22+J22,2)</f>
        <v>154901.16</v>
      </c>
      <c r="N22" s="625">
        <f>+ROUND(+E22+H22+K22,2)</f>
        <v>171793.86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33"/>
      <c r="D23" s="310" t="str">
        <f>+IF(+OR(D24&lt;0,D25&lt;0),"НЕРАВНЕНИЕ !"," ")</f>
        <v xml:space="preserve"> </v>
      </c>
      <c r="E23" s="319" t="str">
        <f>+IF(+OR(E24&lt;0,E25&lt;0),"НЕРАВНЕНИЕ !"," ")</f>
        <v xml:space="preserve"> </v>
      </c>
      <c r="F23" s="248"/>
      <c r="G23" s="310" t="str">
        <f>+IF(+OR(G24&lt;0,G25&lt;0),"НЕРАВНЕНИЕ !"," ")</f>
        <v xml:space="preserve"> </v>
      </c>
      <c r="H23" s="319" t="str">
        <f>+IF(+OR(H24&lt;0,H25&lt;0),"НЕРАВНЕНИЕ !"," ")</f>
        <v xml:space="preserve"> </v>
      </c>
      <c r="I23" s="248"/>
      <c r="J23" s="310" t="str">
        <f>+IF(+OR(J24&lt;0,J25&lt;0),"НЕРАВНЕНИЕ !"," ")</f>
        <v xml:space="preserve"> </v>
      </c>
      <c r="K23" s="319" t="str">
        <f>+IF(+OR(K24&lt;0,K25&lt;0),"НЕРАВНЕНИЕ !"," ")</f>
        <v xml:space="preserve"> </v>
      </c>
      <c r="L23" s="248"/>
      <c r="M23" s="310" t="str">
        <f>+IF(+OR(M24&lt;0,M25&lt;0),"НЕРАВНЕНИЕ !"," ")</f>
        <v xml:space="preserve"> </v>
      </c>
      <c r="N23" s="319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364</v>
      </c>
      <c r="B24" s="335">
        <v>31</v>
      </c>
      <c r="C24" s="233"/>
      <c r="D24" s="618">
        <f>+ROUND(+SUM('TRIAL-BALANCE'!S103:S107),2)</f>
        <v>371410.2</v>
      </c>
      <c r="E24" s="619">
        <f>+ROUND(+SUM('TRIAL-BALANCE'!O103:O107),2)</f>
        <v>346227.96</v>
      </c>
      <c r="F24" s="248"/>
      <c r="G24" s="618">
        <f>+ROUND(+SUM('TRIAL-BALANCE'!Z103:Z107),2)</f>
        <v>134597.21</v>
      </c>
      <c r="H24" s="619">
        <f>+ROUND(+SUM('TRIAL-BALANCE'!V103:V107),2)</f>
        <v>126808.22</v>
      </c>
      <c r="I24" s="248"/>
      <c r="J24" s="618">
        <f>+ROUND(+SUM('TRIAL-BALANCE'!AG103:AG107),2)</f>
        <v>0</v>
      </c>
      <c r="K24" s="619">
        <f>+ROUND(+SUM('TRIAL-BALANCE'!AC103:AC107),2)</f>
        <v>0</v>
      </c>
      <c r="L24" s="248"/>
      <c r="M24" s="618">
        <f>+ROUND(+D24+G24+J24,2)</f>
        <v>506007.41</v>
      </c>
      <c r="N24" s="619">
        <f>+ROUND(+E24+H24+K24,2)</f>
        <v>473036.18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6" t="s">
        <v>163</v>
      </c>
      <c r="B25" s="337">
        <v>32</v>
      </c>
      <c r="C25" s="233"/>
      <c r="D25" s="628">
        <f>+ROUND(+SUM('TRIAL-BALANCE'!S108:S112),2)</f>
        <v>0</v>
      </c>
      <c r="E25" s="629">
        <f>+ROUND(+SUM('TRIAL-BALANCE'!O108:O112),2)</f>
        <v>0</v>
      </c>
      <c r="F25" s="248"/>
      <c r="G25" s="628">
        <f>+ROUND(+SUM('TRIAL-BALANCE'!Z108:Z112),2)</f>
        <v>0</v>
      </c>
      <c r="H25" s="629">
        <f>+ROUND(+SUM('TRIAL-BALANCE'!V108:V112),2)</f>
        <v>0</v>
      </c>
      <c r="I25" s="248"/>
      <c r="J25" s="628">
        <f>+ROUND(+SUM('TRIAL-BALANCE'!AG108:AG112),2)</f>
        <v>0</v>
      </c>
      <c r="K25" s="629">
        <f>+ROUND(+SUM('TRIAL-BALANCE'!AC108:AC112),2)</f>
        <v>0</v>
      </c>
      <c r="L25" s="248"/>
      <c r="M25" s="628">
        <f>+ROUND(+D25+G25+J25,2)</f>
        <v>0</v>
      </c>
      <c r="N25" s="629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1026</v>
      </c>
      <c r="B26" s="178">
        <v>30</v>
      </c>
      <c r="C26" s="233"/>
      <c r="D26" s="624">
        <f>+ROUND(+D24+D25,2)</f>
        <v>371410.2</v>
      </c>
      <c r="E26" s="625">
        <f>+ROUND(+E24+E25,2)</f>
        <v>346227.96</v>
      </c>
      <c r="F26" s="248"/>
      <c r="G26" s="624">
        <f>+ROUND(+G24+G25,2)</f>
        <v>134597.21</v>
      </c>
      <c r="H26" s="625">
        <f>+ROUND(+H24+H25,2)</f>
        <v>126808.22</v>
      </c>
      <c r="I26" s="248"/>
      <c r="J26" s="624">
        <f>+ROUND(+J24+J25,2)</f>
        <v>0</v>
      </c>
      <c r="K26" s="625">
        <f>+ROUND(+K24+K25,2)</f>
        <v>0</v>
      </c>
      <c r="L26" s="248"/>
      <c r="M26" s="624">
        <f>+ROUND(+M24+M25,2)</f>
        <v>506007.41</v>
      </c>
      <c r="N26" s="625">
        <f>+ROUND(+N24+N25,2)</f>
        <v>473036.18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33"/>
      <c r="D27" s="626"/>
      <c r="E27" s="627"/>
      <c r="F27" s="248"/>
      <c r="G27" s="626"/>
      <c r="H27" s="627"/>
      <c r="I27" s="248"/>
      <c r="J27" s="626"/>
      <c r="K27" s="627"/>
      <c r="L27" s="248"/>
      <c r="M27" s="626"/>
      <c r="N27" s="627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79" t="s">
        <v>1030</v>
      </c>
      <c r="B28" s="680">
        <v>100</v>
      </c>
      <c r="C28" s="233"/>
      <c r="D28" s="653">
        <f>+ROUND(+D20+D22+D26,2)</f>
        <v>12030549.52</v>
      </c>
      <c r="E28" s="654">
        <f>+ROUND(+E20+E22+E26,2)</f>
        <v>12310708.039999999</v>
      </c>
      <c r="F28" s="248"/>
      <c r="G28" s="653">
        <f>+ROUND(+G20+G22+G26,2)</f>
        <v>1925665.33</v>
      </c>
      <c r="H28" s="654">
        <f>+ROUND(+H20+H22+H26,2)</f>
        <v>1930110.34</v>
      </c>
      <c r="I28" s="248"/>
      <c r="J28" s="653">
        <f>+ROUND(+J20+J22+J26,2)</f>
        <v>57490464.719999999</v>
      </c>
      <c r="K28" s="654">
        <f>+ROUND(+K20+K22+K26,2)</f>
        <v>58224903.57</v>
      </c>
      <c r="L28" s="248"/>
      <c r="M28" s="653">
        <f>+ROUND(+M20+M22+M26,2)</f>
        <v>71446679.569999993</v>
      </c>
      <c r="N28" s="654">
        <f>+ROUND(+N20+N22+N26,2)</f>
        <v>72465721.950000003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33"/>
      <c r="D29" s="630"/>
      <c r="E29" s="631"/>
      <c r="F29" s="248"/>
      <c r="G29" s="630"/>
      <c r="H29" s="631"/>
      <c r="I29" s="248"/>
      <c r="J29" s="630"/>
      <c r="K29" s="631"/>
      <c r="L29" s="248"/>
      <c r="M29" s="630"/>
      <c r="N29" s="631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33"/>
      <c r="D30" s="310" t="str">
        <f>+IF(+OR(D31&lt;0,D32&lt;0,D33&lt;0),"НЕРАВНЕНИЕ !"," ")</f>
        <v xml:space="preserve"> </v>
      </c>
      <c r="E30" s="319" t="str">
        <f>+IF(+OR(E31&lt;0,E32&lt;0,E33&lt;0),"НЕРАВНЕНИЕ !"," ")</f>
        <v xml:space="preserve"> </v>
      </c>
      <c r="F30" s="248"/>
      <c r="G30" s="310" t="str">
        <f>+IF(+OR(G31&lt;0,G32&lt;0,G33&lt;0),"НЕРАВНЕНИЕ !"," ")</f>
        <v xml:space="preserve"> </v>
      </c>
      <c r="H30" s="319" t="str">
        <f>+IF(+OR(H31&lt;0,H32&lt;0,H33&lt;0),"НЕРАВНЕНИЕ !"," ")</f>
        <v xml:space="preserve"> </v>
      </c>
      <c r="I30" s="248"/>
      <c r="J30" s="310" t="str">
        <f>+IF(+OR(J31&lt;0,J32&lt;0,J33&lt;0),"НЕРАВНЕНИЕ !"," ")</f>
        <v xml:space="preserve"> </v>
      </c>
      <c r="K30" s="319" t="str">
        <f>+IF(+OR(K31&lt;0,K32&lt;0,K33&lt;0),"НЕРАВНЕНИЕ !"," ")</f>
        <v xml:space="preserve"> </v>
      </c>
      <c r="L30" s="248"/>
      <c r="M30" s="310" t="str">
        <f>+IF(+OR(M31&lt;0,M32&lt;0,M33&lt;0),"НЕРАВНЕНИЕ !"," ")</f>
        <v xml:space="preserve"> </v>
      </c>
      <c r="N30" s="319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34" t="s">
        <v>166</v>
      </c>
      <c r="B31" s="335">
        <v>51</v>
      </c>
      <c r="C31" s="233"/>
      <c r="D31" s="618">
        <f>+ROUND(+SUM('TRIAL-BALANCE'!S313:S320),2)</f>
        <v>963777.87</v>
      </c>
      <c r="E31" s="619">
        <f>+ROUND(+SUM('TRIAL-BALANCE'!O313:O320),2)</f>
        <v>964917.04</v>
      </c>
      <c r="F31" s="248"/>
      <c r="G31" s="618">
        <f>+ROUND(+SUM('TRIAL-BALANCE'!Z313:Z320),2)</f>
        <v>0</v>
      </c>
      <c r="H31" s="619">
        <f>+ROUND(+SUM('TRIAL-BALANCE'!V313:V320),2)</f>
        <v>0</v>
      </c>
      <c r="I31" s="248"/>
      <c r="J31" s="618">
        <f>+ROUND(+SUM('TRIAL-BALANCE'!AG313:AG320),2)</f>
        <v>0</v>
      </c>
      <c r="K31" s="619">
        <f>+ROUND(+SUM('TRIAL-BALANCE'!AC313:AC320),2)</f>
        <v>0</v>
      </c>
      <c r="L31" s="248"/>
      <c r="M31" s="618">
        <f t="shared" ref="M31:N33" si="1">+ROUND(+D31+G31+J31,2)</f>
        <v>963777.87</v>
      </c>
      <c r="N31" s="619">
        <f t="shared" si="1"/>
        <v>964917.04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34" t="s">
        <v>167</v>
      </c>
      <c r="B32" s="335">
        <v>52</v>
      </c>
      <c r="C32" s="233"/>
      <c r="D32" s="618">
        <f>+ROUND(+SUM('TRIAL-BALANCE'!S340:S343)+SUM('TRIAL-BALANCE'!S344:S345)-SUM('TRIAL-BALANCE'!T344:T345),2)</f>
        <v>0</v>
      </c>
      <c r="E32" s="619">
        <f>+ROUND(+SUM('TRIAL-BALANCE'!O340:O343)+SUM('TRIAL-BALANCE'!O344:O345)-SUM('TRIAL-BALANCE'!P344:P345),2)</f>
        <v>0</v>
      </c>
      <c r="F32" s="248"/>
      <c r="G32" s="618">
        <f>+ROUND(+SUM('TRIAL-BALANCE'!Z340:Z343)+SUM('TRIAL-BALANCE'!Z344:Z345)-SUM('TRIAL-BALANCE'!AA344:AA345),2)</f>
        <v>0</v>
      </c>
      <c r="H32" s="619">
        <f>+ROUND(+SUM('TRIAL-BALANCE'!V340:V343)+SUM('TRIAL-BALANCE'!V344:V345)-SUM('TRIAL-BALANCE'!W344:W345),2)</f>
        <v>0</v>
      </c>
      <c r="I32" s="248"/>
      <c r="J32" s="618">
        <f>+ROUND(+SUM('TRIAL-BALANCE'!AG340:AG343)+SUM('TRIAL-BALANCE'!AG344:AG345)-SUM('TRIAL-BALANCE'!AH344:AH345),2)</f>
        <v>0</v>
      </c>
      <c r="K32" s="619">
        <f>+ROUND(+SUM('TRIAL-BALANCE'!AC340:AC343)+SUM('TRIAL-BALANCE'!AC344:AC345)-SUM('TRIAL-BALANCE'!AD344:AD345),2)</f>
        <v>0</v>
      </c>
      <c r="L32" s="248"/>
      <c r="M32" s="618">
        <f t="shared" si="1"/>
        <v>0</v>
      </c>
      <c r="N32" s="619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36" t="s">
        <v>168</v>
      </c>
      <c r="B33" s="337">
        <v>53</v>
      </c>
      <c r="C33" s="233"/>
      <c r="D33" s="628">
        <f>+ROUND(+'TRIAL-BALANCE'!S321+SUM('TRIAL-BALANCE'!S323:S326)+SUM('TRIAL-BALANCE'!S336:S339)-'TRIAL-BALANCE'!T322-SUM('TRIAL-BALANCE'!T327:T330)+'TRIAL-BALANCE'!S322+SUM('TRIAL-BALANCE'!S327:S330),2)</f>
        <v>0</v>
      </c>
      <c r="E33" s="629">
        <f>+ROUND(+'TRIAL-BALANCE'!O321+SUM('TRIAL-BALANCE'!O323:O326)+SUM('TRIAL-BALANCE'!O336:O339)-'TRIAL-BALANCE'!P322-SUM('TRIAL-BALANCE'!P327:P330)+'TRIAL-BALANCE'!O322+SUM('TRIAL-BALANCE'!O327:O330),2)</f>
        <v>0</v>
      </c>
      <c r="F33" s="248"/>
      <c r="G33" s="628">
        <f>+ROUND(+'TRIAL-BALANCE'!Z321+SUM('TRIAL-BALANCE'!Z323:Z326)+SUM('TRIAL-BALANCE'!Z336:Z339)-'TRIAL-BALANCE'!AA322-SUM('TRIAL-BALANCE'!AA327:AA330)+'TRIAL-BALANCE'!Z322+SUM('TRIAL-BALANCE'!Z327:Z330),2)</f>
        <v>0</v>
      </c>
      <c r="H33" s="629">
        <f>+ROUND(+'TRIAL-BALANCE'!V321+SUM('TRIAL-BALANCE'!V323:V326)+SUM('TRIAL-BALANCE'!V336:V339)-'TRIAL-BALANCE'!W322-SUM('TRIAL-BALANCE'!W327:W330)+'TRIAL-BALANCE'!V322+SUM('TRIAL-BALANCE'!V327:V330),2)</f>
        <v>0</v>
      </c>
      <c r="I33" s="248"/>
      <c r="J33" s="628">
        <f>+ROUND(+'TRIAL-BALANCE'!AG321+SUM('TRIAL-BALANCE'!AG323:AG326)+SUM('TRIAL-BALANCE'!AG336:AG339)-'TRIAL-BALANCE'!AH322-SUM('TRIAL-BALANCE'!AH327:AH330)+'TRIAL-BALANCE'!AG322+SUM('TRIAL-BALANCE'!AG327:AG330),2)</f>
        <v>0</v>
      </c>
      <c r="K33" s="629">
        <f>+ROUND(+'TRIAL-BALANCE'!AC321+SUM('TRIAL-BALANCE'!AC323:AC326)+SUM('TRIAL-BALANCE'!AC336:AC339)-'TRIAL-BALANCE'!AD322-SUM('TRIAL-BALANCE'!AD327:AD330)+'TRIAL-BALANCE'!AC322+SUM('TRIAL-BALANCE'!AC327:AC330),2)</f>
        <v>0</v>
      </c>
      <c r="L33" s="248"/>
      <c r="M33" s="628">
        <f t="shared" si="1"/>
        <v>0</v>
      </c>
      <c r="N33" s="629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1025</v>
      </c>
      <c r="B34" s="178">
        <v>50</v>
      </c>
      <c r="C34" s="233"/>
      <c r="D34" s="624">
        <f>+ROUND(+D31+D32+D33,2)</f>
        <v>963777.87</v>
      </c>
      <c r="E34" s="625">
        <f>+ROUND(+E31+E32+E33,2)</f>
        <v>964917.04</v>
      </c>
      <c r="F34" s="248"/>
      <c r="G34" s="624">
        <f>+ROUND(+G31+G32+G33,2)</f>
        <v>0</v>
      </c>
      <c r="H34" s="625">
        <f>+ROUND(+H31+H32+H33,2)</f>
        <v>0</v>
      </c>
      <c r="I34" s="248"/>
      <c r="J34" s="624">
        <f>+ROUND(+J31+J32+J33,2)</f>
        <v>0</v>
      </c>
      <c r="K34" s="625">
        <f>+ROUND(+K31+K32+K33,2)</f>
        <v>0</v>
      </c>
      <c r="L34" s="248"/>
      <c r="M34" s="624">
        <f>+ROUND(+M31+M32+M33,2)</f>
        <v>963777.87</v>
      </c>
      <c r="N34" s="625">
        <f>+ROUND(+N31+N32+N33,2)</f>
        <v>964917.04</v>
      </c>
      <c r="O34" s="152"/>
      <c r="P34" s="1883"/>
      <c r="Q34" s="1903" t="s">
        <v>1875</v>
      </c>
      <c r="R34" s="1883"/>
      <c r="S34" s="1883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33"/>
      <c r="D35" s="310" t="str">
        <f>+IF(+OR(D36&lt;0,D37&lt;0),"НЕРАВНЕНИЕ !"," ")</f>
        <v xml:space="preserve"> </v>
      </c>
      <c r="E35" s="319" t="str">
        <f>+IF(+OR(E36&lt;0,E37&lt;0),"НЕРАВНЕНИЕ !"," ")</f>
        <v xml:space="preserve"> </v>
      </c>
      <c r="F35" s="248"/>
      <c r="G35" s="310" t="str">
        <f>+IF(+OR(G36&lt;0,G37&lt;0),"НЕРАВНЕНИЕ !"," ")</f>
        <v xml:space="preserve"> </v>
      </c>
      <c r="H35" s="319" t="str">
        <f>+IF(+OR(H36&lt;0,H37&lt;0),"НЕРАВНЕНИЕ !"," ")</f>
        <v xml:space="preserve"> </v>
      </c>
      <c r="I35" s="248"/>
      <c r="J35" s="310" t="str">
        <f>+IF(+OR(J36&lt;0,J37&lt;0),"НЕРАВНЕНИЕ !"," ")</f>
        <v xml:space="preserve"> </v>
      </c>
      <c r="K35" s="319" t="str">
        <f>+IF(+OR(K36&lt;0,K37&lt;0),"НЕРАВНЕНИЕ !"," ")</f>
        <v xml:space="preserve"> </v>
      </c>
      <c r="L35" s="248"/>
      <c r="M35" s="310" t="str">
        <f>+IF(+OR(M36&lt;0,M37&lt;0),"НЕРАВНЕНИЕ !"," ")</f>
        <v xml:space="preserve"> </v>
      </c>
      <c r="N35" s="319" t="str">
        <f>+IF(+OR(N36&lt;0,N37&lt;0),"НЕРАВНЕНИЕ !"," ")</f>
        <v xml:space="preserve"> </v>
      </c>
      <c r="O35" s="152"/>
      <c r="P35" s="1377" t="s">
        <v>1876</v>
      </c>
      <c r="Q35" s="1933" t="s">
        <v>1956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170</v>
      </c>
      <c r="B36" s="335">
        <v>61</v>
      </c>
      <c r="C36" s="233"/>
      <c r="D36" s="618">
        <f>+ROUND(+SUM('TRIAL-BALANCE'!S351:S353)+'TRIAL-BALANCE'!S358+SUM('TRIAL-BALANCE'!S370:S371)+'TRIAL-BALANCE'!S375-IF(+'Provisions-2021'!E76=0,+'Provisions-2021'!E12,+ROUND(+(+SUM('TRIAL-BALANCE'!T364:T367)+SUM('TRIAL-BALANCE'!T380:T382))*'TRIAL-BALANCE'!T899,2)),2)</f>
        <v>0</v>
      </c>
      <c r="E36" s="619">
        <f>+ROUND(+SUM('TRIAL-BALANCE'!O351:O353)+'TRIAL-BALANCE'!O358+SUM('TRIAL-BALANCE'!O370:O371)+'TRIAL-BALANCE'!O375-IF(+'Provisions-2021'!D76=0,+'Provisions-2021'!D12,+ROUND(+(+SUM('TRIAL-BALANCE'!P364:P367)+SUM('TRIAL-BALANCE'!P380:P382))*'TRIAL-BALANCE'!P899,2)),2)</f>
        <v>0</v>
      </c>
      <c r="F36" s="248"/>
      <c r="G36" s="618">
        <f>+ROUND(+SUM('TRIAL-BALANCE'!Z351:Z353)+'TRIAL-BALANCE'!Z358+SUM('TRIAL-BALANCE'!Z370:Z371)+'TRIAL-BALANCE'!Z375-IF(+'Provisions-2021'!H76=0,+'Provisions-2021'!H12,+ROUND(+(+SUM('TRIAL-BALANCE'!AA364:AA367)+SUM('TRIAL-BALANCE'!AA380:AA382))*'TRIAL-BALANCE'!AA899,2)),2)</f>
        <v>0</v>
      </c>
      <c r="H36" s="619">
        <f>+ROUND(+SUM('TRIAL-BALANCE'!V351:V353)+'TRIAL-BALANCE'!V358+SUM('TRIAL-BALANCE'!V370:V371)+'TRIAL-BALANCE'!V375-IF(+'Provisions-2021'!G76=0,+'Provisions-2021'!G12,+ROUND(+(+SUM('TRIAL-BALANCE'!W364:W367)+SUM('TRIAL-BALANCE'!W380:W382))*'TRIAL-BALANCE'!W899,2)),2)</f>
        <v>0</v>
      </c>
      <c r="I36" s="248"/>
      <c r="J36" s="618">
        <f>+ROUND(+SUM('TRIAL-BALANCE'!AG351:AG353)+'TRIAL-BALANCE'!AG358+SUM('TRIAL-BALANCE'!AG370:AG371)+'TRIAL-BALANCE'!AG375-IF(+'Provisions-2021'!K76=0,+'Provisions-2021'!K12,+ROUND(+(+SUM('TRIAL-BALANCE'!AH364:AH367)+SUM('TRIAL-BALANCE'!AH380:AH382))*'TRIAL-BALANCE'!AH899,2)),2)</f>
        <v>0</v>
      </c>
      <c r="K36" s="619">
        <f>+ROUND(+SUM('TRIAL-BALANCE'!AC351:AC353)+'TRIAL-BALANCE'!AC358+SUM('TRIAL-BALANCE'!AC370:AC371)+'TRIAL-BALANCE'!AC375-IF(+'Provisions-2021'!J76=0,+'Provisions-2021'!J12,+ROUND(+(+SUM('TRIAL-BALANCE'!AD364:AD367)+SUM('TRIAL-BALANCE'!AD380:AD382))*'TRIAL-BALANCE'!AD899,2)),2)</f>
        <v>0</v>
      </c>
      <c r="L36" s="248"/>
      <c r="M36" s="618">
        <f>+ROUND(+D36+G36+J36,2)</f>
        <v>0</v>
      </c>
      <c r="N36" s="619">
        <f>+ROUND(+E36+H36+K36,2)</f>
        <v>0</v>
      </c>
      <c r="O36" s="152"/>
      <c r="P36" s="1378" t="s">
        <v>1877</v>
      </c>
      <c r="Q36" s="1934" t="s">
        <v>1957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171</v>
      </c>
      <c r="B37" s="337">
        <v>62</v>
      </c>
      <c r="C37" s="233"/>
      <c r="D37" s="628">
        <f>+ROUND(+SUM('TRIAL-BALANCE'!S348:S350)+SUM('TRIAL-BALANCE'!S354:S356)+'TRIAL-BALANCE'!S357+'TRIAL-BALANCE'!S359+SUM('TRIAL-BALANCE'!S368:S369)+SUM('TRIAL-BALANCE'!S372:S374)+'TRIAL-BALANCE'!S376-IF(+'Provisions-2021'!E76=0,+'Provisions-2021'!E13,+ROUND(+(+SUM('TRIAL-BALANCE'!T364:T367)+SUM('TRIAL-BALANCE'!T380:T382))*'TRIAL-BALANCE'!T898,2)),2)</f>
        <v>0</v>
      </c>
      <c r="E37" s="629">
        <f>+ROUND(+SUM('TRIAL-BALANCE'!O348:O350)+SUM('TRIAL-BALANCE'!O354:O356)+'TRIAL-BALANCE'!O357+'TRIAL-BALANCE'!O359+SUM('TRIAL-BALANCE'!O368:O369)+SUM('TRIAL-BALANCE'!O372:O374)+'TRIAL-BALANCE'!O376-IF(+'Provisions-2021'!D76=0,+'Provisions-2021'!D13,+ROUND(+(+SUM('TRIAL-BALANCE'!P364:P367)+SUM('TRIAL-BALANCE'!P380:P382))*'TRIAL-BALANCE'!P898,2)),2)</f>
        <v>20000</v>
      </c>
      <c r="F37" s="248"/>
      <c r="G37" s="628">
        <f>+ROUND(+SUM('TRIAL-BALANCE'!Z348:Z350)+SUM('TRIAL-BALANCE'!Z354:Z356)+'TRIAL-BALANCE'!Z357+'TRIAL-BALANCE'!Z359+SUM('TRIAL-BALANCE'!Z368:Z369)+SUM('TRIAL-BALANCE'!Z372:Z374)+'TRIAL-BALANCE'!Z376-IF(+'Provisions-2021'!H76=0,+'Provisions-2021'!H13,+ROUND(+(+SUM('TRIAL-BALANCE'!AA364:AA367)+SUM('TRIAL-BALANCE'!AA380:AA382))*'TRIAL-BALANCE'!AA898,2)),2)</f>
        <v>0</v>
      </c>
      <c r="H37" s="629">
        <f>+ROUND(+SUM('TRIAL-BALANCE'!V348:V350)+SUM('TRIAL-BALANCE'!V354:V356)+'TRIAL-BALANCE'!V357+'TRIAL-BALANCE'!V359+SUM('TRIAL-BALANCE'!V368:V369)+SUM('TRIAL-BALANCE'!V372:V374)+'TRIAL-BALANCE'!V376-IF(+'Provisions-2021'!G76=0,+'Provisions-2021'!G13,+ROUND(+(+SUM('TRIAL-BALANCE'!W364:W367)+SUM('TRIAL-BALANCE'!W380:W382))*'TRIAL-BALANCE'!W898,2)),2)</f>
        <v>0</v>
      </c>
      <c r="I37" s="248"/>
      <c r="J37" s="628">
        <f>+ROUND(+SUM('TRIAL-BALANCE'!AG348:AG350)+SUM('TRIAL-BALANCE'!AG354:AG356)+'TRIAL-BALANCE'!AG357+'TRIAL-BALANCE'!AG359+SUM('TRIAL-BALANCE'!AG368:AG369)+SUM('TRIAL-BALANCE'!AG372:AG374)+'TRIAL-BALANCE'!AG376-IF(+'Provisions-2021'!K76=0,+'Provisions-2021'!K13,+ROUND(+(+SUM('TRIAL-BALANCE'!AH364:AH367)+SUM('TRIAL-BALANCE'!AH380:AH382))*'TRIAL-BALANCE'!AH898,2)),2)</f>
        <v>0</v>
      </c>
      <c r="K37" s="629">
        <f>+ROUND(+SUM('TRIAL-BALANCE'!AC348:AC350)+SUM('TRIAL-BALANCE'!AC354:AC356)+'TRIAL-BALANCE'!AC357+'TRIAL-BALANCE'!AC359+SUM('TRIAL-BALANCE'!AC368:AC369)+SUM('TRIAL-BALANCE'!AC372:AC374)+'TRIAL-BALANCE'!AC376-IF(+'Provisions-2021'!J76=0,+'Provisions-2021'!J13,+ROUND(+(+SUM('TRIAL-BALANCE'!AD364:AD367)+SUM('TRIAL-BALANCE'!AD380:AD382))*'TRIAL-BALANCE'!AD898,2)),2)</f>
        <v>0</v>
      </c>
      <c r="L37" s="248"/>
      <c r="M37" s="628">
        <f>+ROUND(+D37+G37+J37,2)</f>
        <v>0</v>
      </c>
      <c r="N37" s="629">
        <f>+ROUND(+E37+H37+K37,2)</f>
        <v>20000</v>
      </c>
      <c r="O37" s="152"/>
      <c r="P37" s="1240" t="s">
        <v>1252</v>
      </c>
      <c r="Q37" s="1241" t="s">
        <v>1253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1024</v>
      </c>
      <c r="B38" s="178">
        <v>60</v>
      </c>
      <c r="C38" s="233"/>
      <c r="D38" s="624">
        <f>+ROUND(+D36+D37,2)</f>
        <v>0</v>
      </c>
      <c r="E38" s="625">
        <f>+ROUND(+E36+E37,2)</f>
        <v>20000</v>
      </c>
      <c r="F38" s="248"/>
      <c r="G38" s="624">
        <f>+ROUND(+G36+G37,2)</f>
        <v>0</v>
      </c>
      <c r="H38" s="625">
        <f>+ROUND(+H36+H37,2)</f>
        <v>0</v>
      </c>
      <c r="I38" s="248"/>
      <c r="J38" s="624">
        <f>+ROUND(+J36+J37,2)</f>
        <v>0</v>
      </c>
      <c r="K38" s="625">
        <f>+ROUND(+K36+K37,2)</f>
        <v>0</v>
      </c>
      <c r="L38" s="248"/>
      <c r="M38" s="624">
        <f>+ROUND(+M36+M37,2)</f>
        <v>0</v>
      </c>
      <c r="N38" s="625">
        <f>+ROUND(+N36+N37,2)</f>
        <v>20000</v>
      </c>
      <c r="O38" s="152"/>
      <c r="P38" s="1242" t="s">
        <v>1195</v>
      </c>
      <c r="Q38" s="1243" t="s">
        <v>1964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33"/>
      <c r="D39" s="310" t="str">
        <f>+IF(+OR(D40&lt;0,D41&lt;0,D42&lt;0,D43&lt;0,D44&lt;0,D45&lt;0),"НЕРАВНЕНИЕ !"," ")</f>
        <v xml:space="preserve"> </v>
      </c>
      <c r="E39" s="319" t="str">
        <f>+IF(+OR(E40&lt;0,E41&lt;0,E42&lt;0,E43&lt;0,E44&lt;0,E45&lt;0),"НЕРАВНЕНИЕ !"," ")</f>
        <v xml:space="preserve"> </v>
      </c>
      <c r="F39" s="248"/>
      <c r="G39" s="310" t="str">
        <f>+IF(+OR(G40&lt;0,G41&lt;0,G42&lt;0,G43&lt;0,G44&lt;0,G45&lt;0),"НЕРАВНЕНИЕ !"," ")</f>
        <v xml:space="preserve"> </v>
      </c>
      <c r="H39" s="319" t="str">
        <f>+IF(+OR(H40&lt;0,H41&lt;0,H42&lt;0,H43&lt;0,H44&lt;0,H45&lt;0),"НЕРАВНЕНИЕ !"," ")</f>
        <v xml:space="preserve"> </v>
      </c>
      <c r="I39" s="248"/>
      <c r="J39" s="310" t="str">
        <f>+IF(+OR(J40&lt;0,J41&lt;0,J42&lt;0,J43&lt;0,J44&lt;0,J45&lt;0),"НЕРАВНЕНИЕ !"," ")</f>
        <v xml:space="preserve"> </v>
      </c>
      <c r="K39" s="319" t="str">
        <f>+IF(+OR(K40&lt;0,K41&lt;0,K42&lt;0,K43&lt;0,K44&lt;0,K45&lt;0),"НЕРАВНЕНИЕ !"," ")</f>
        <v xml:space="preserve"> </v>
      </c>
      <c r="L39" s="248"/>
      <c r="M39" s="310" t="str">
        <f>+IF(+OR(M40&lt;0,M41&lt;0,M42&lt;0,M43&lt;0,M44&lt;0,M45&lt;0),"НЕРАВНЕНИЕ !"," ")</f>
        <v xml:space="preserve"> </v>
      </c>
      <c r="N39" s="319" t="str">
        <f>+IF(+OR(N40&lt;0,N41&lt;0,N42&lt;0,N43&lt;0,N44&lt;0,N45&lt;0),"НЕРАВНЕНИЕ !"," ")</f>
        <v xml:space="preserve"> </v>
      </c>
      <c r="O39" s="152"/>
      <c r="P39" s="1441"/>
      <c r="Q39" s="1441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1983</v>
      </c>
      <c r="B40" s="335">
        <v>71</v>
      </c>
      <c r="C40" s="233"/>
      <c r="D40" s="618">
        <f>+ROUND(+SUM('TRIAL-BALANCE'!S148:S149)-IF(+AND('Provisions-2021'!E78=0,+'Provisions-2021'!E16&gt;0),+'Provisions-2021'!E16,0)+IF(+AND('Provisions-2021'!E80=0,+'Provisions-2021'!E24&lt;&gt;0),+'Provisions-2021'!E24,0),2)</f>
        <v>0</v>
      </c>
      <c r="E40" s="619">
        <f>+ROUND(+SUM('TRIAL-BALANCE'!O148:O149)-IF(+AND('Provisions-2021'!D78=0,+'Provisions-2021'!D16&gt;0),+'Provisions-2021'!D16,0)+IF(+AND('Provisions-2021'!D80=0,+'Provisions-2021'!D24&lt;&gt;0),+'Provisions-2021'!D24,0),2)</f>
        <v>0</v>
      </c>
      <c r="F40" s="248"/>
      <c r="G40" s="618">
        <f>+ROUND(+SUM('TRIAL-BALANCE'!Z148:Z149)-IF(+AND('Provisions-2021'!H78=0,+'Provisions-2021'!H16&gt;0),+'Provisions-2021'!H16,0)+IF(+AND('Provisions-2021'!H80=0,+'Provisions-2021'!H24&lt;&gt;0),+'Provisions-2021'!H24,0),2)</f>
        <v>0</v>
      </c>
      <c r="H40" s="619">
        <f>+ROUND(+SUM('TRIAL-BALANCE'!V148:V149)-IF(+AND('Provisions-2021'!G78=0,+'Provisions-2021'!G16&gt;0),+'Provisions-2021'!G16,0)+IF(+AND('Provisions-2021'!G80=0,+'Provisions-2021'!G24&lt;&gt;0),+'Provisions-2021'!G24,0),2)</f>
        <v>0</v>
      </c>
      <c r="I40" s="248"/>
      <c r="J40" s="618">
        <f>+SUM('TRIAL-BALANCE'!AG148:AG149)-IF(+AND('Provisions-2021'!K78=0,+'Provisions-2021'!K16&gt;0),+'Provisions-2021'!K16,0)+IF(+AND('Provisions-2021'!K80=0,+'Provisions-2021'!K24&lt;&gt;0),+'Provisions-2021'!K24,0)</f>
        <v>0</v>
      </c>
      <c r="K40" s="619">
        <f>+SUM('TRIAL-BALANCE'!AC148:AC149)-IF(+AND('Provisions-2021'!J78=0,+'Provisions-2021'!J16&gt;0),+'Provisions-2021'!J16,0)+IF(+AND('Provisions-2021'!J80=0,+'Provisions-2021'!J24&lt;&gt;0),+'Provisions-2021'!J24,0)</f>
        <v>0</v>
      </c>
      <c r="L40" s="248"/>
      <c r="M40" s="618">
        <f>+ROUND(+D40+G40+J40,2)-ROUND(P40,2)</f>
        <v>0</v>
      </c>
      <c r="N40" s="619">
        <f>+ROUND(+E40+H40+K40,2)-ROUND(Q40,2)</f>
        <v>0</v>
      </c>
      <c r="O40" s="152"/>
      <c r="P40" s="1439">
        <f>+IF(+AND(Status!K4="ДА",+ROUND('Municipal-Bal'!K20,0)=1,+ROUND('Municipal-Bal'!S80,2)=+ROUND('Municipal-Bal'!S91,2)),+ROUND(+SUM('Municipal-Bal'!R68:R69),2),0)</f>
        <v>0</v>
      </c>
      <c r="Q40" s="1440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34" t="s">
        <v>173</v>
      </c>
      <c r="B41" s="335">
        <v>72</v>
      </c>
      <c r="C41" s="233"/>
      <c r="D41" s="618">
        <f>+ROUND(+'TRIAL-BALANCE'!S120+'TRIAL-BALANCE'!S124+'TRIAL-BALANCE'!S126-IF(+AND('Provisions-2021'!E78=0,+'Provisions-2021'!E17&gt;0),+'Provisions-2021'!E17,0)+IF(+AND('Provisions-2021'!E80=0,+'Provisions-2021'!E25&lt;&gt;0),+'Provisions-2021'!E25,0),2)</f>
        <v>469114.47</v>
      </c>
      <c r="E41" s="619">
        <f>+ROUND(+'TRIAL-BALANCE'!O120+'TRIAL-BALANCE'!O124+'TRIAL-BALANCE'!O126-IF(+AND('Provisions-2021'!D78=0,+'Provisions-2021'!D17&gt;0),+'Provisions-2021'!D17,0)+IF(+AND('Provisions-2021'!D80=0,+'Provisions-2021'!D25&lt;&gt;0),+'Provisions-2021'!D25,0),2)</f>
        <v>510069.22</v>
      </c>
      <c r="F41" s="248"/>
      <c r="G41" s="618">
        <f>+ROUND(+'TRIAL-BALANCE'!Z120+'TRIAL-BALANCE'!Z124+'TRIAL-BALANCE'!Z126-IF(+AND('Provisions-2021'!H78=0,+'Provisions-2021'!H17&gt;0),+'Provisions-2021'!H17,0)+IF(+AND('Provisions-2021'!H80=0,+'Provisions-2021'!H25&lt;&gt;0),+'Provisions-2021'!H25,0),2)</f>
        <v>0</v>
      </c>
      <c r="H41" s="619">
        <f>+ROUND(+'TRIAL-BALANCE'!V120+'TRIAL-BALANCE'!V124+'TRIAL-BALANCE'!V126-IF(+AND('Provisions-2021'!G78=0,+'Provisions-2021'!G17&gt;0),+'Provisions-2021'!G17,0)+IF(+AND('Provisions-2021'!G80=0,+'Provisions-2021'!G25&lt;&gt;0),+'Provisions-2021'!G25,0),2)</f>
        <v>0</v>
      </c>
      <c r="I41" s="248"/>
      <c r="J41" s="618">
        <f>+'TRIAL-BALANCE'!AG120+'TRIAL-BALANCE'!AG124+'TRIAL-BALANCE'!AG126-IF(+AND('Provisions-2021'!K78=0,+'Provisions-2021'!K17&gt;0),+'Provisions-2021'!K17,0)+IF(+AND('Provisions-2021'!K80=0,+'Provisions-2021'!K25&lt;&gt;0),+'Provisions-2021'!K25,0)</f>
        <v>0</v>
      </c>
      <c r="K41" s="619">
        <f>+'TRIAL-BALANCE'!AC120+'TRIAL-BALANCE'!AC124+'TRIAL-BALANCE'!AC126-IF(+AND('Provisions-2021'!J78=0,+'Provisions-2021'!J17&gt;0),+'Provisions-2021'!J17,0)+IF(+AND('Provisions-2021'!J80=0,+'Provisions-2021'!J25&lt;&gt;0),+'Provisions-2021'!J25,0)</f>
        <v>0</v>
      </c>
      <c r="L41" s="248"/>
      <c r="M41" s="618">
        <f t="shared" ref="M41:N43" si="2">+ROUND(+D41+G41+J41,2)</f>
        <v>469114.47</v>
      </c>
      <c r="N41" s="619">
        <f t="shared" si="2"/>
        <v>510069.22</v>
      </c>
      <c r="O41" s="152"/>
      <c r="P41" s="1438"/>
      <c r="Q41" s="1438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34" t="s">
        <v>408</v>
      </c>
      <c r="B42" s="335">
        <v>73</v>
      </c>
      <c r="C42" s="233"/>
      <c r="D42" s="618">
        <f>+ROUND(+'TRIAL-BALANCE'!S115+'TRIAL-BALANCE'!S117+'TRIAL-BALANCE'!S119+'TRIAL-BALANCE'!S121+'TRIAL-BALANCE'!S123-IF(+AND('Provisions-2021'!E78=0,+'Provisions-2021'!E18&gt;0),+'Provisions-2021'!E18,0)+IF(+AND('Provisions-2021'!E80=0,+'Provisions-2021'!E26&lt;&gt;0),+'Provisions-2021'!E26,0),2)+IF(AND('TRIAL-BALANCE'!$N$4&lt;"12",'TRIAL-BALANCE'!T115&lt;0),-'TRIAL-BALANCE'!T115,0)+IF(AND('TRIAL-BALANCE'!$N$4&lt;"12",'TRIAL-BALANCE'!T117&lt;0),-'TRIAL-BALANCE'!T117,0)</f>
        <v>152653.19</v>
      </c>
      <c r="E42" s="619">
        <f>+ROUND(+'TRIAL-BALANCE'!O115+'TRIAL-BALANCE'!O117+'TRIAL-BALANCE'!O119+'TRIAL-BALANCE'!O121+'TRIAL-BALANCE'!O123-IF(+AND('Provisions-2021'!D78=0,+'Provisions-2021'!D18&gt;0),+'Provisions-2021'!D18,0)+IF(+AND('Provisions-2021'!D80=0,+'Provisions-2021'!D26&lt;&gt;0),+'Provisions-2021'!D26,0),2)</f>
        <v>31513.39</v>
      </c>
      <c r="F42" s="248"/>
      <c r="G42" s="618">
        <f>+ROUND(+'TRIAL-BALANCE'!Z115+'TRIAL-BALANCE'!Z117+'TRIAL-BALANCE'!Z119+'TRIAL-BALANCE'!Z121+'TRIAL-BALANCE'!Z123-IF(+AND('Provisions-2021'!H78=0,+'Provisions-2021'!H18&gt;0),+'Provisions-2021'!H18,0)+IF(+AND('Provisions-2021'!H80=0,+'Provisions-2021'!H26&lt;&gt;0),+'Provisions-2021'!H26,0),2)+IF(AND('TRIAL-BALANCE'!$N$4&lt;"12",'TRIAL-BALANCE'!AA115&lt;0),-'TRIAL-BALANCE'!AA115,0)+IF(AND('TRIAL-BALANCE'!$N$4&lt;"12",'TRIAL-BALANCE'!AA117&lt;0),-'TRIAL-BALANCE'!AA117,0)</f>
        <v>22227.3</v>
      </c>
      <c r="H42" s="619">
        <f>+ROUND(+'TRIAL-BALANCE'!V115+'TRIAL-BALANCE'!V117+'TRIAL-BALANCE'!V119+'TRIAL-BALANCE'!V121+'TRIAL-BALANCE'!V123-IF(+AND('Provisions-2021'!G78=0,+'Provisions-2021'!G18&gt;0),+'Provisions-2021'!G18,0)+IF(+AND('Provisions-2021'!G80=0,+'Provisions-2021'!G26&lt;&gt;0),+'Provisions-2021'!G26,0),2)</f>
        <v>477044.81</v>
      </c>
      <c r="I42" s="248"/>
      <c r="J42" s="618">
        <f>+'TRIAL-BALANCE'!AG115+'TRIAL-BALANCE'!AG117+'TRIAL-BALANCE'!AG119+'TRIAL-BALANCE'!AG121+'TRIAL-BALANCE'!AG123-IF(+AND('Provisions-2021'!K78=0,+'Provisions-2021'!K18&gt;0),+'Provisions-2021'!K18,0)+IF(+AND('Provisions-2021'!K80=0,+'Provisions-2021'!K26&lt;&gt;0),+'Provisions-2021'!K26,0)+IF(AND('TRIAL-BALANCE'!$N$4&lt;"12",'TRIAL-BALANCE'!AH115&lt;0),-'TRIAL-BALANCE'!AH115,0)+IF(AND('TRIAL-BALANCE'!$N$4&lt;"12",'TRIAL-BALANCE'!AH117&lt;0),-'TRIAL-BALANCE'!AH117,0)</f>
        <v>0</v>
      </c>
      <c r="K42" s="619">
        <f>+'TRIAL-BALANCE'!AC115+'TRIAL-BALANCE'!AC117+'TRIAL-BALANCE'!AC119+'TRIAL-BALANCE'!AC121+'TRIAL-BALANCE'!AC123-IF(+AND('Provisions-2021'!J78=0,+'Provisions-2021'!J18&gt;0),+'Provisions-2021'!J18,0)+IF(+AND('Provisions-2021'!J80=0,+'Provisions-2021'!J26&lt;&gt;0),+'Provisions-2021'!J26,0)</f>
        <v>0</v>
      </c>
      <c r="L42" s="248"/>
      <c r="M42" s="618">
        <f t="shared" si="2"/>
        <v>174880.49</v>
      </c>
      <c r="N42" s="619">
        <f t="shared" si="2"/>
        <v>508558.2</v>
      </c>
      <c r="O42" s="152"/>
      <c r="P42" s="1438"/>
      <c r="Q42" s="1438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409</v>
      </c>
      <c r="B43" s="335">
        <v>74</v>
      </c>
      <c r="C43" s="233"/>
      <c r="D43" s="618">
        <f>+ROUND(+'TRIAL-BALANCE'!S137+'TRIAL-BALANCE'!S138-IF(+AND('Provisions-2021'!E78=0,+'Provisions-2021'!E19&gt;0),+'Provisions-2021'!E19,0)+IF(+AND('Provisions-2021'!E80=0,+'Provisions-2021'!E27&lt;&gt;0),+'Provisions-2021'!E27,0),2)</f>
        <v>2021</v>
      </c>
      <c r="E43" s="619">
        <f>+ROUND(+'TRIAL-BALANCE'!O137+'TRIAL-BALANCE'!O138-IF(+AND('Provisions-2021'!D78=0,+'Provisions-2021'!D19&gt;0),+'Provisions-2021'!D19,0)+IF(+AND('Provisions-2021'!D80=0,+'Provisions-2021'!D27&lt;&gt;0),+'Provisions-2021'!D27,0),2)</f>
        <v>2021</v>
      </c>
      <c r="F43" s="248"/>
      <c r="G43" s="618">
        <f>+ROUND(+'TRIAL-BALANCE'!Z137+'TRIAL-BALANCE'!Z138-IF(+AND('Provisions-2021'!H78=0,+'Provisions-2021'!H19&gt;0),+'Provisions-2021'!H19,0)+IF(+AND('Provisions-2021'!H80=0,+'Provisions-2021'!H27&lt;&gt;0),+'Provisions-2021'!H27,0),2)</f>
        <v>0</v>
      </c>
      <c r="H43" s="619">
        <f>+ROUND(+'TRIAL-BALANCE'!V137+'TRIAL-BALANCE'!V138-IF(+AND('Provisions-2021'!G78=0,+'Provisions-2021'!G19&gt;0),+'Provisions-2021'!G19,0)+IF(+AND('Provisions-2021'!G80=0,+'Provisions-2021'!G27&lt;&gt;0),+'Provisions-2021'!G27,0),2)</f>
        <v>0</v>
      </c>
      <c r="I43" s="248"/>
      <c r="J43" s="618">
        <f>+'TRIAL-BALANCE'!AG137+'TRIAL-BALANCE'!AG138-IF(+AND('Provisions-2021'!K78=0,+'Provisions-2021'!K19&gt;0),+'Provisions-2021'!K19,0)+IF(+AND('Provisions-2021'!K80=0,+'Provisions-2021'!K27&lt;&gt;0),+'Provisions-2021'!K27,0)</f>
        <v>0</v>
      </c>
      <c r="K43" s="619">
        <f>+'TRIAL-BALANCE'!AC137+'TRIAL-BALANCE'!AC138-IF(+AND('Provisions-2021'!J78=0,+'Provisions-2021'!J19&gt;0),+'Provisions-2021'!J19,0)+IF(+AND('Provisions-2021'!J80=0,+'Provisions-2021'!J27&lt;&gt;0),+'Provisions-2021'!J27,0)</f>
        <v>0</v>
      </c>
      <c r="L43" s="248"/>
      <c r="M43" s="618">
        <f t="shared" si="2"/>
        <v>2021</v>
      </c>
      <c r="N43" s="619">
        <f t="shared" si="2"/>
        <v>2021</v>
      </c>
      <c r="O43" s="152"/>
      <c r="P43" s="1438"/>
      <c r="Q43" s="1438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87" t="s">
        <v>1047</v>
      </c>
      <c r="B44" s="335">
        <v>75</v>
      </c>
      <c r="C44" s="233"/>
      <c r="D44" s="618">
        <f>+ROUND(+SUM('TRIAL-BALANCE'!S200:S207),2)</f>
        <v>384085.25</v>
      </c>
      <c r="E44" s="619">
        <f>+ROUND(+SUM('TRIAL-BALANCE'!O200:O207),2)</f>
        <v>76497.42</v>
      </c>
      <c r="F44" s="248"/>
      <c r="G44" s="618">
        <f>+ROUND(+SUM('TRIAL-BALANCE'!Z200:Z207),2)</f>
        <v>0</v>
      </c>
      <c r="H44" s="619">
        <f>+ROUND(+SUM('TRIAL-BALANCE'!V200:V207),2)</f>
        <v>0</v>
      </c>
      <c r="I44" s="248"/>
      <c r="J44" s="618">
        <f>+SUM('TRIAL-BALANCE'!AG200:AG207)</f>
        <v>230000</v>
      </c>
      <c r="K44" s="619">
        <f>+SUM('TRIAL-BALANCE'!AC200:AC207)</f>
        <v>20000</v>
      </c>
      <c r="L44" s="248"/>
      <c r="M44" s="618">
        <f>+ROUND(+D44+G44+J44,2)-ROUND(P44,2)</f>
        <v>614085.25</v>
      </c>
      <c r="N44" s="619">
        <f>+ROUND(+E44+H44+K44,2)-ROUND(Q44,2)</f>
        <v>96497.42</v>
      </c>
      <c r="O44" s="152"/>
      <c r="P44" s="1439">
        <f>+IF(+AND(Status!K4="ДА",+ROUND('Intra-Balances'!S34,2)=0,+ROUND('Intra-Balances'!S51,2)=ROUND('Intra-Balances'!S53,2)),+ROUND('Intra-Balances'!S51,2),0)</f>
        <v>0</v>
      </c>
      <c r="Q44" s="1440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6" t="s">
        <v>411</v>
      </c>
      <c r="B45" s="337">
        <v>76</v>
      </c>
      <c r="C45" s="233"/>
      <c r="D45" s="628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-2021'!E78=0,+'Provisions-2021'!E21,+SUM('TRIAL-BALANCE'!T262:T265))+IF(+'Provisions-2021'!E80=0,+'Provisions-2021'!E29,+SUM('TRIAL-BALANCE'!S271:S273)-SUM('TRIAL-BALANCE'!T271:T273))+'TRIAL-BALANCE'!T910,2)</f>
        <v>71398.850000000006</v>
      </c>
      <c r="E45" s="629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-2021'!D78=0,+'Provisions-2021'!D21,+SUM('TRIAL-BALANCE'!P262:P265))+IF(+'Provisions-2021'!D80=0,+'Provisions-2021'!D29,+SUM('TRIAL-BALANCE'!O271:O273)-SUM('TRIAL-BALANCE'!P271:P273))+'TRIAL-BALANCE'!P910,2)</f>
        <v>90849.279999999999</v>
      </c>
      <c r="F45" s="248"/>
      <c r="G45" s="628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-2021'!H78=0,+'Provisions-2021'!H21,+SUM('TRIAL-BALANCE'!AA262:AA265))+IF(+'Provisions-2021'!H80=0,+'Provisions-2021'!H29,+SUM('TRIAL-BALANCE'!Z271:Z273)-SUM('TRIAL-BALANCE'!AA271:AA273))+'TRIAL-BALANCE'!AA910,2)</f>
        <v>31706.59</v>
      </c>
      <c r="H45" s="629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-2021'!G78=0,+'Provisions-2021'!G21,+SUM('TRIAL-BALANCE'!W262:W265))+IF(+'Provisions-2021'!G80=0,+'Provisions-2021'!G29,+SUM('TRIAL-BALANCE'!V271:V273)-SUM('TRIAL-BALANCE'!W271:W273))+'TRIAL-BALANCE'!W910,2)</f>
        <v>155824.14000000001</v>
      </c>
      <c r="I45" s="248"/>
      <c r="J45" s="628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-2021'!K78=0,+'Provisions-2021'!K21,+SUM('TRIAL-BALANCE'!AH262:AH265))+IF(+'Provisions-2021'!J80=0,+'Provisions-2021'!K29,+SUM('TRIAL-BALANCE'!AG271:AG273)-SUM('TRIAL-BALANCE'!AH271:AH273))+'TRIAL-BALANCE'!AH910</f>
        <v>0</v>
      </c>
      <c r="K45" s="629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-2021'!J78=0,+'Provisions-2021'!J21,+SUM('TRIAL-BALANCE'!AD262:AD265))+IF(+'Provisions-2021'!J80=0,+'Provisions-2021'!J29,+SUM('TRIAL-BALANCE'!AC271:AC273)-SUM('TRIAL-BALANCE'!AD271:AD273))+'TRIAL-BALANCE'!AD910</f>
        <v>0</v>
      </c>
      <c r="L45" s="248"/>
      <c r="M45" s="628">
        <f>+ROUND(+D45+G45+J45,2)-ROUND(P45,2)</f>
        <v>103105.44</v>
      </c>
      <c r="N45" s="629">
        <f>+ROUND(+E45+H45+K45,2)-ROUND(Q45,2)</f>
        <v>246673.42</v>
      </c>
      <c r="O45" s="152"/>
      <c r="P45" s="1210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211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1026</v>
      </c>
      <c r="B46" s="178">
        <v>70</v>
      </c>
      <c r="C46" s="233"/>
      <c r="D46" s="624">
        <f>+ROUND(+D40+D41+D42+D43+D44+D45,2)</f>
        <v>1079272.76</v>
      </c>
      <c r="E46" s="625">
        <f>+ROUND(+E40+E41+E42+E43+E44+E45,2)</f>
        <v>710950.31</v>
      </c>
      <c r="F46" s="248"/>
      <c r="G46" s="624">
        <f>+ROUND(+G40+G41+G42+G43+G44+G45,2)</f>
        <v>53933.89</v>
      </c>
      <c r="H46" s="625">
        <f>+ROUND(+H40+H41+H42+H43+H44+H45,2)</f>
        <v>632868.94999999995</v>
      </c>
      <c r="I46" s="248"/>
      <c r="J46" s="624">
        <f>+ROUND(+J40+J41+J42+J43+J44+J45,2)</f>
        <v>230000</v>
      </c>
      <c r="K46" s="625">
        <f>+ROUND(+K40+K41+K42+K43+K44+K45,2)</f>
        <v>20000</v>
      </c>
      <c r="L46" s="248"/>
      <c r="M46" s="624">
        <f>+ROUND(+M40+M41+M42+M43+M44+M45,2)</f>
        <v>1363206.65</v>
      </c>
      <c r="N46" s="625">
        <f>+ROUND(+N40+N41+N42+N43+N44+N45,2)</f>
        <v>1363819.26</v>
      </c>
      <c r="O46" s="152"/>
      <c r="P46" s="1218">
        <f>+ROUND(+SUM(P39:P45),2)</f>
        <v>0</v>
      </c>
      <c r="Q46" s="1219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412</v>
      </c>
      <c r="B47" s="173"/>
      <c r="C47" s="233"/>
      <c r="D47" s="310" t="str">
        <f>+IF(+OR(D48&lt;0,D49&lt;0),"НЕРАВНЕНИЕ !"," ")</f>
        <v xml:space="preserve"> </v>
      </c>
      <c r="E47" s="319" t="str">
        <f>+IF(+OR(E48&lt;0,E49&lt;0),"НЕРАВНЕНИЕ !"," ")</f>
        <v xml:space="preserve"> </v>
      </c>
      <c r="F47" s="248"/>
      <c r="G47" s="310" t="str">
        <f>+IF(+OR(G48&lt;0,G49&lt;0),"НЕРАВНЕНИЕ !"," ")</f>
        <v xml:space="preserve"> </v>
      </c>
      <c r="H47" s="319" t="str">
        <f>+IF(+OR(H48&lt;0,H49&lt;0),"НЕРАВНЕНИЕ !"," ")</f>
        <v xml:space="preserve"> </v>
      </c>
      <c r="I47" s="248"/>
      <c r="J47" s="310" t="str">
        <f>+IF(+OR(J48&lt;0,J49&lt;0),"НЕРАВНЕНИЕ !"," ")</f>
        <v xml:space="preserve"> </v>
      </c>
      <c r="K47" s="319" t="str">
        <f>+IF(+OR(K48&lt;0,K49&lt;0),"НЕРАВНЕНИЕ !"," ")</f>
        <v xml:space="preserve"> </v>
      </c>
      <c r="L47" s="248"/>
      <c r="M47" s="310" t="str">
        <f>+IF(+OR(M48&lt;0,M49&lt;0),"НЕРАВНЕНИЕ !"," ")</f>
        <v xml:space="preserve"> </v>
      </c>
      <c r="N47" s="319" t="str">
        <f>+IF(+OR(N48&lt;0,N49&lt;0),"НЕРАВНЕНИЕ !"," ")</f>
        <v xml:space="preserve"> </v>
      </c>
      <c r="O47" s="152"/>
      <c r="P47" s="1210" t="s">
        <v>1282</v>
      </c>
      <c r="Q47" s="1211" t="s">
        <v>1283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413</v>
      </c>
      <c r="B48" s="335">
        <v>81</v>
      </c>
      <c r="C48" s="233"/>
      <c r="D48" s="618">
        <f>+ROUND(+SUM('TRIAL-BALANCE'!S294:S295)+'TRIAL-BALANCE'!S302+SUM('TRIAL-BALANCE'!S311:S312),2)</f>
        <v>8839.67</v>
      </c>
      <c r="E48" s="619">
        <f>+ROUND(+SUM('TRIAL-BALANCE'!O294:O295)+'TRIAL-BALANCE'!O302+SUM('TRIAL-BALANCE'!O311:O312),2)</f>
        <v>0</v>
      </c>
      <c r="F48" s="248"/>
      <c r="G48" s="618">
        <f>+ROUND(+SUM('TRIAL-BALANCE'!Z294:Z295)+'TRIAL-BALANCE'!Z302+SUM('TRIAL-BALANCE'!Z311:Z312),2)</f>
        <v>0</v>
      </c>
      <c r="H48" s="619">
        <f>+ROUND(+SUM('TRIAL-BALANCE'!V294:V295)+'TRIAL-BALANCE'!V302+SUM('TRIAL-BALANCE'!V311:V312),2)</f>
        <v>0</v>
      </c>
      <c r="I48" s="248"/>
      <c r="J48" s="618">
        <f>+ROUND(+SUM('TRIAL-BALANCE'!AG294:AG295)+'TRIAL-BALANCE'!AG302+SUM('TRIAL-BALANCE'!AG311:AG312),2)</f>
        <v>0</v>
      </c>
      <c r="K48" s="619">
        <f>+ROUND(+SUM('TRIAL-BALANCE'!AC294:AC295)+'TRIAL-BALANCE'!AC302+SUM('TRIAL-BALANCE'!AC311:AC312),2)</f>
        <v>0</v>
      </c>
      <c r="L48" s="248"/>
      <c r="M48" s="618">
        <f>+ROUND(+D48+G48+J48,2)</f>
        <v>8839.67</v>
      </c>
      <c r="N48" s="619">
        <f>+ROUND(+E48+H48+K48,2)</f>
        <v>0</v>
      </c>
      <c r="O48" s="152"/>
      <c r="P48" s="1239" t="str">
        <f>+IF(+'Intra-Balances'!R2="O K","O K","ГРЕШКА - превишава ДТ с/до")</f>
        <v>O K</v>
      </c>
      <c r="Q48" s="1239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6" t="s">
        <v>414</v>
      </c>
      <c r="B49" s="337">
        <v>82</v>
      </c>
      <c r="C49" s="233"/>
      <c r="D49" s="628">
        <f>+ROUND(+SUM('TRIAL-BALANCE'!S286:S293)+SUM('TRIAL-BALANCE'!S296:S301)+SUM('TRIAL-BALANCE'!S303:S305),2)</f>
        <v>2396461.9</v>
      </c>
      <c r="E49" s="629">
        <f>+ROUND(+SUM('TRIAL-BALANCE'!O286:O293)+SUM('TRIAL-BALANCE'!O296:O301)+SUM('TRIAL-BALANCE'!O303:O305),2)</f>
        <v>2699459.54</v>
      </c>
      <c r="F49" s="248"/>
      <c r="G49" s="628">
        <f>+ROUND(+SUM('TRIAL-BALANCE'!Z286:Z293)+SUM('TRIAL-BALANCE'!Z296:Z301)+SUM('TRIAL-BALANCE'!Z303:Z305),2)</f>
        <v>383228.33</v>
      </c>
      <c r="H49" s="629">
        <f>+ROUND(+SUM('TRIAL-BALANCE'!V286:V293)+SUM('TRIAL-BALANCE'!V296:V301)+SUM('TRIAL-BALANCE'!V303:V305),2)</f>
        <v>92989.67</v>
      </c>
      <c r="I49" s="248"/>
      <c r="J49" s="628">
        <f>+ROUND(+SUM('TRIAL-BALANCE'!AG286:AG293)+SUM('TRIAL-BALANCE'!AG296:AG301)+SUM('TRIAL-BALANCE'!AG303:AG305),2)</f>
        <v>385764.38</v>
      </c>
      <c r="K49" s="629">
        <f>+ROUND(+SUM('TRIAL-BALANCE'!AC286:AC293)+SUM('TRIAL-BALANCE'!AC296:AC301)+SUM('TRIAL-BALANCE'!AC303:AC305),2)</f>
        <v>593067.97</v>
      </c>
      <c r="L49" s="248"/>
      <c r="M49" s="628">
        <f>+ROUND(+D49+G49+J49,2)</f>
        <v>3165454.61</v>
      </c>
      <c r="N49" s="629">
        <f>+ROUND(+E49+H49+K49,2)</f>
        <v>3385517.18</v>
      </c>
      <c r="O49" s="152"/>
      <c r="P49" s="2542" t="str">
        <f>+IF(+AND(Status!K4="ДА",+ROUND('Intra-Balances'!S51,2)-ROUND('Intra-Balances'!S53,2)&lt;&gt;0),"сумите за елиминиране в 'Intra-Balances' не са равни!","O K")</f>
        <v>O K</v>
      </c>
      <c r="Q49" s="254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1027</v>
      </c>
      <c r="B50" s="178">
        <v>80</v>
      </c>
      <c r="C50" s="233"/>
      <c r="D50" s="624">
        <f>+ROUND(+D48+D49,2)</f>
        <v>2405301.5699999998</v>
      </c>
      <c r="E50" s="625">
        <f>+ROUND(+E48+E49,2)</f>
        <v>2699459.54</v>
      </c>
      <c r="F50" s="248"/>
      <c r="G50" s="624">
        <f>+ROUND(+G48+G49,2)</f>
        <v>383228.33</v>
      </c>
      <c r="H50" s="625">
        <f>+ROUND(+H48+H49,2)</f>
        <v>92989.67</v>
      </c>
      <c r="I50" s="248"/>
      <c r="J50" s="624">
        <f>+ROUND(+J48+J49,2)</f>
        <v>385764.38</v>
      </c>
      <c r="K50" s="625">
        <f>+ROUND(+K48+K49,2)</f>
        <v>593067.97</v>
      </c>
      <c r="L50" s="248"/>
      <c r="M50" s="624">
        <f>+ROUND(+M48+M49,2)</f>
        <v>3174294.28</v>
      </c>
      <c r="N50" s="625">
        <f>+ROUND(+N48+N49,2)</f>
        <v>3385517.18</v>
      </c>
      <c r="O50" s="152"/>
      <c r="P50" s="2543" t="str">
        <f>+IF(+AND(Status!K4="ДА",+ROUND('Intra-Balances'!P51,2)-ROUND('Intra-Balances'!P53,2)&lt;&gt;0),"сумите за елиминиране в 'Intra-Balances' не са равни!","O K")</f>
        <v>O K</v>
      </c>
      <c r="Q50" s="2543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33"/>
      <c r="D51" s="626"/>
      <c r="E51" s="627"/>
      <c r="F51" s="248"/>
      <c r="G51" s="626"/>
      <c r="H51" s="627"/>
      <c r="I51" s="248"/>
      <c r="J51" s="626"/>
      <c r="K51" s="627"/>
      <c r="L51" s="248"/>
      <c r="M51" s="626"/>
      <c r="N51" s="627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79" t="s">
        <v>415</v>
      </c>
      <c r="B52" s="681">
        <v>200</v>
      </c>
      <c r="C52" s="233"/>
      <c r="D52" s="653">
        <f>+ROUND(+D34+D38+D46+D50,2)</f>
        <v>4448352.2</v>
      </c>
      <c r="E52" s="654">
        <f>+ROUND(+E34+E38+E46+E50,2)</f>
        <v>4395326.8899999997</v>
      </c>
      <c r="F52" s="248"/>
      <c r="G52" s="653">
        <f>+ROUND(+G34+G38+G46+G50,2)</f>
        <v>437162.22</v>
      </c>
      <c r="H52" s="654">
        <f>+ROUND(+H34+H38+H46+H50,2)</f>
        <v>725858.62</v>
      </c>
      <c r="I52" s="248"/>
      <c r="J52" s="653">
        <f>+ROUND(+J34+J38+J46+J50,2)</f>
        <v>615764.38</v>
      </c>
      <c r="K52" s="654">
        <f>+ROUND(+K34+K38+K46+K50,2)</f>
        <v>613067.97</v>
      </c>
      <c r="L52" s="248"/>
      <c r="M52" s="653">
        <f>+ROUND(+M34+M38+M46+M50,2)</f>
        <v>5501278.7999999998</v>
      </c>
      <c r="N52" s="654">
        <f>+ROUND(+N34+N38+N46+N50,2)</f>
        <v>5734253.4800000004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86"/>
      <c r="B53" s="173"/>
      <c r="C53" s="233"/>
      <c r="D53" s="212"/>
      <c r="E53" s="627"/>
      <c r="F53" s="248"/>
      <c r="G53" s="212"/>
      <c r="H53" s="627"/>
      <c r="I53" s="248"/>
      <c r="J53" s="212"/>
      <c r="K53" s="627"/>
      <c r="L53" s="248"/>
      <c r="M53" s="212"/>
      <c r="N53" s="627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82" t="s">
        <v>416</v>
      </c>
      <c r="B54" s="683">
        <v>300</v>
      </c>
      <c r="C54" s="233"/>
      <c r="D54" s="684">
        <f>+ROUND(+D28+D52,2)</f>
        <v>16478901.720000001</v>
      </c>
      <c r="E54" s="685">
        <f>+ROUND(+E28+E52,2)</f>
        <v>16706034.93</v>
      </c>
      <c r="F54" s="248"/>
      <c r="G54" s="684">
        <f>+ROUND(+G28+G52,2)</f>
        <v>2362827.5499999998</v>
      </c>
      <c r="H54" s="685">
        <f>+ROUND(+H28+H52,2)</f>
        <v>2655968.96</v>
      </c>
      <c r="I54" s="248"/>
      <c r="J54" s="684">
        <f>+ROUND(+J28+J52,2)</f>
        <v>58106229.100000001</v>
      </c>
      <c r="K54" s="685">
        <f>+ROUND(+K28+K52,2)</f>
        <v>58837971.539999999</v>
      </c>
      <c r="L54" s="248"/>
      <c r="M54" s="684">
        <f>+ROUND(+M28+M52,2)</f>
        <v>76947958.370000005</v>
      </c>
      <c r="N54" s="685">
        <f>+ROUND(+N28+N52,2)</f>
        <v>78199975.430000007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20.25" thickTop="1" thickBot="1">
      <c r="A55" s="179" t="s">
        <v>417</v>
      </c>
      <c r="B55" s="180">
        <v>350</v>
      </c>
      <c r="C55" s="233"/>
      <c r="D55" s="632">
        <f>+ROUND(+SUM('TRIAL-BALANCE'!S832:S834)+SUM('TRIAL-BALANCE'!S837:S841)+'TRIAL-BALANCE'!S846+SUM('TRIAL-BALANCE'!S858:S858)+'TRIAL-BALANCE'!S884+'TRIAL-BALANCE'!S887-'TRIAL-BALANCE'!S887,2)</f>
        <v>2382029.9500000002</v>
      </c>
      <c r="E55" s="633">
        <f>+ROUND(+SUM('TRIAL-BALANCE'!O832:O834)+SUM('TRIAL-BALANCE'!O837:O841)+'TRIAL-BALANCE'!O846+SUM('TRIAL-BALANCE'!O858:O858)+'TRIAL-BALANCE'!O884+'TRIAL-BALANCE'!O887-'TRIAL-BALANCE'!O887,2)</f>
        <v>2451109.75</v>
      </c>
      <c r="F55" s="248"/>
      <c r="G55" s="632">
        <f>+ROUND(+SUM('TRIAL-BALANCE'!Z832:Z834)+SUM('TRIAL-BALANCE'!Z837:Z841)+'TRIAL-BALANCE'!Z846+SUM('TRIAL-BALANCE'!Z858:Z858)+'TRIAL-BALANCE'!Z884+'TRIAL-BALANCE'!Z887-'TRIAL-BALANCE'!Z887,2)</f>
        <v>480966.55</v>
      </c>
      <c r="H55" s="633">
        <f>+ROUND(+SUM('TRIAL-BALANCE'!V832:V834)+SUM('TRIAL-BALANCE'!V837:V841)+'TRIAL-BALANCE'!V846+SUM('TRIAL-BALANCE'!V858:V858)+'TRIAL-BALANCE'!V884+'TRIAL-BALANCE'!V887-'TRIAL-BALANCE'!V887,2)</f>
        <v>477220.38</v>
      </c>
      <c r="I55" s="248"/>
      <c r="J55" s="632">
        <f>+ROUND(+SUM('TRIAL-BALANCE'!AG832:AG834)+SUM('TRIAL-BALANCE'!AG837:AG841)+'TRIAL-BALANCE'!AG846+SUM('TRIAL-BALANCE'!AG858:AG858)+'TRIAL-BALANCE'!AG884+'TRIAL-BALANCE'!AG887-'TRIAL-BALANCE'!AG887,2)</f>
        <v>0</v>
      </c>
      <c r="K55" s="633">
        <f>+ROUND(+SUM('TRIAL-BALANCE'!AC832:AC834)+SUM('TRIAL-BALANCE'!AC837:AC841)+'TRIAL-BALANCE'!AC846+SUM('TRIAL-BALANCE'!AC858:AC858)+'TRIAL-BALANCE'!AC884+'TRIAL-BALANCE'!AC887-'TRIAL-BALANCE'!AC887,2)</f>
        <v>0</v>
      </c>
      <c r="L55" s="248"/>
      <c r="M55" s="632">
        <f>+ROUND(+D55+G55+J55,2)</f>
        <v>2862996.5</v>
      </c>
      <c r="N55" s="633">
        <f>+ROUND(+E55+H55+K55,2)</f>
        <v>2928330.13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9.5" thickTop="1">
      <c r="A56" s="238"/>
      <c r="B56" s="247"/>
      <c r="C56" s="233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233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233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233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89" t="s">
        <v>1034</v>
      </c>
      <c r="B57" s="232"/>
      <c r="C57" s="233"/>
      <c r="D57" s="234"/>
      <c r="E57" s="235"/>
      <c r="F57" s="233"/>
      <c r="G57" s="235"/>
      <c r="H57" s="374"/>
      <c r="I57" s="237"/>
      <c r="J57" s="374"/>
      <c r="K57" s="374"/>
      <c r="L57" s="233"/>
      <c r="M57" s="456"/>
      <c r="N57" s="690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54"/>
      <c r="B58" s="2557" t="s">
        <v>2181</v>
      </c>
      <c r="C58" s="237"/>
      <c r="D58" s="638" t="s">
        <v>979</v>
      </c>
      <c r="E58" s="644"/>
      <c r="F58" s="237"/>
      <c r="G58" s="634" t="s">
        <v>798</v>
      </c>
      <c r="H58" s="635"/>
      <c r="I58" s="237"/>
      <c r="J58" s="638" t="s">
        <v>984</v>
      </c>
      <c r="K58" s="639"/>
      <c r="L58" s="237"/>
      <c r="M58" s="2552" t="s">
        <v>398</v>
      </c>
      <c r="N58" s="2553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55" t="s">
        <v>399</v>
      </c>
      <c r="B59" s="2558"/>
      <c r="C59" s="237"/>
      <c r="D59" s="645" t="s">
        <v>980</v>
      </c>
      <c r="E59" s="646"/>
      <c r="F59" s="237"/>
      <c r="G59" s="636" t="s">
        <v>981</v>
      </c>
      <c r="H59" s="637"/>
      <c r="I59" s="237"/>
      <c r="J59" s="640" t="s">
        <v>985</v>
      </c>
      <c r="K59" s="641"/>
      <c r="L59" s="237"/>
      <c r="M59" s="2554"/>
      <c r="N59" s="2555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913" t="str">
        <f>+A9</f>
        <v>Непопълнен ред в таблица 'Cash-deficit'!</v>
      </c>
      <c r="B60" s="2559"/>
      <c r="C60" s="233"/>
      <c r="D60" s="1458" t="str">
        <f>+D9</f>
        <v>Текуща година           (в лева)</v>
      </c>
      <c r="E60" s="1459" t="str">
        <f>+E9</f>
        <v>Предходна година       31 декември (в лева)</v>
      </c>
      <c r="F60" s="233"/>
      <c r="G60" s="1458" t="str">
        <f>+G9</f>
        <v>Текуща година           (в лева)</v>
      </c>
      <c r="H60" s="1459" t="str">
        <f>+H9</f>
        <v>Предходна година       31 декември (в лева)</v>
      </c>
      <c r="I60" s="233"/>
      <c r="J60" s="1462" t="str">
        <f>+J9</f>
        <v>Текуща година           (в лева)</v>
      </c>
      <c r="K60" s="1463" t="str">
        <f>+K9</f>
        <v>Предходна година       31 декември (в лева)</v>
      </c>
      <c r="L60" s="233"/>
      <c r="M60" s="1462" t="str">
        <f>+M9</f>
        <v>Текуща година           (в лева)</v>
      </c>
      <c r="N60" s="1463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56" t="s">
        <v>150</v>
      </c>
      <c r="B61" s="1457" t="s">
        <v>151</v>
      </c>
      <c r="C61" s="233"/>
      <c r="D61" s="1460">
        <f>+D10</f>
        <v>1</v>
      </c>
      <c r="E61" s="1461">
        <f>+E10</f>
        <v>2</v>
      </c>
      <c r="F61" s="233"/>
      <c r="G61" s="1460">
        <f>+G10</f>
        <v>3</v>
      </c>
      <c r="H61" s="1461">
        <f>+H10</f>
        <v>4</v>
      </c>
      <c r="I61" s="233"/>
      <c r="J61" s="1460">
        <f>+J10</f>
        <v>5</v>
      </c>
      <c r="K61" s="1461">
        <f>+K10</f>
        <v>6</v>
      </c>
      <c r="L61" s="233"/>
      <c r="M61" s="1460">
        <f>+M10</f>
        <v>7</v>
      </c>
      <c r="N61" s="1461">
        <f>+N10</f>
        <v>8</v>
      </c>
      <c r="O61" s="152"/>
      <c r="P61" s="152"/>
      <c r="Q61" s="1903" t="s">
        <v>1875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9" t="s">
        <v>366</v>
      </c>
      <c r="B62" s="184"/>
      <c r="C62" s="233"/>
      <c r="D62" s="647"/>
      <c r="E62" s="319" t="str">
        <f>+IF(+ROUND(E66,2)=+ROUND(+SUM(SUM('TRIAL-BALANCE'!P14:P15)-SUM('TRIAL-BALANCE'!O14:O15)),2)," ","НЕРАВНЕНИЕ !")</f>
        <v xml:space="preserve"> </v>
      </c>
      <c r="F62" s="233"/>
      <c r="G62" s="647"/>
      <c r="H62" s="319" t="str">
        <f>+IF(+ROUND(H66,2)=+ROUND(+SUM(SUM('TRIAL-BALANCE'!W14:W15)-SUM('TRIAL-BALANCE'!V14:V15)),2)," ","НЕРАВНЕНИЕ !")</f>
        <v xml:space="preserve"> </v>
      </c>
      <c r="I62" s="233"/>
      <c r="J62" s="647"/>
      <c r="K62" s="319" t="str">
        <f>+IF(+ROUND(+K66,2)=+ROUND(+SUM(SUM('TRIAL-BALANCE'!AD14:AD15)-SUM('TRIAL-BALANCE'!AC14:AC15)),2)," ","НЕРАВНЕНИЕ !")</f>
        <v xml:space="preserve"> </v>
      </c>
      <c r="L62" s="233"/>
      <c r="M62" s="310"/>
      <c r="N62" s="319" t="str">
        <f>+IF(+ROUND(+N66-Q65-Q64,2)=+ROUND(+SUM(SUM('TRIAL-BALANCE'!AL14:AL15)-SUM('TRIAL-BALANCE'!AK14:AK15)),2)," ","НЕРАВНЕНИЕ !")</f>
        <v xml:space="preserve"> </v>
      </c>
      <c r="O62" s="152"/>
      <c r="P62" s="1377" t="s">
        <v>1876</v>
      </c>
      <c r="Q62" s="1906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38" t="s">
        <v>418</v>
      </c>
      <c r="B63" s="339">
        <v>401</v>
      </c>
      <c r="C63" s="233"/>
      <c r="D63" s="648">
        <f>+ROUND(+'TRIAL-BALANCE'!T14-'TRIAL-BALANCE'!S14,2)</f>
        <v>12969320.109999999</v>
      </c>
      <c r="E63" s="649">
        <f>+ROUND('R &amp; E data-2020'!P14-'R &amp; E data-2020'!O14,2)</f>
        <v>12969320.109999999</v>
      </c>
      <c r="F63" s="248"/>
      <c r="G63" s="642">
        <f>+ROUND(+'TRIAL-BALANCE'!AA14-'TRIAL-BALANCE'!Z14,2)</f>
        <v>7499.05</v>
      </c>
      <c r="H63" s="643">
        <f>+ROUND('R &amp; E data-2020'!S14-'R &amp; E data-2020'!R14,2)</f>
        <v>7499.05</v>
      </c>
      <c r="I63" s="248"/>
      <c r="J63" s="642">
        <f>+ROUND(+'TRIAL-BALANCE'!AH14-'TRIAL-BALANCE'!AG14,2)</f>
        <v>18726.54</v>
      </c>
      <c r="K63" s="643">
        <f>+ROUND('R &amp; E data-2020'!V14-'R &amp; E data-2020'!U14,2)</f>
        <v>18726.54</v>
      </c>
      <c r="L63" s="248"/>
      <c r="M63" s="642">
        <f>+ROUND(+D63+G63+J63,2)</f>
        <v>12995545.699999999</v>
      </c>
      <c r="N63" s="643">
        <f>+ROUND(+E63+H63+K63,2)</f>
        <v>12995545.699999999</v>
      </c>
      <c r="O63" s="152"/>
      <c r="P63" s="1442" t="s">
        <v>1281</v>
      </c>
      <c r="Q63" s="1443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1135</v>
      </c>
      <c r="B64" s="340">
        <v>402</v>
      </c>
      <c r="C64" s="233"/>
      <c r="D64" s="642">
        <f>+ROUND(+'TRIAL-BALANCE'!T15-'TRIAL-BALANCE'!S15,2)</f>
        <v>3068237.54</v>
      </c>
      <c r="E64" s="643">
        <f>+ROUND('R &amp; E data-2020'!P15-'R &amp; E data-2020'!O15,2)</f>
        <v>1088949.8</v>
      </c>
      <c r="F64" s="248"/>
      <c r="G64" s="642">
        <f>+ROUND(+'TRIAL-BALANCE'!AA15-'TRIAL-BALANCE'!Z15,2)</f>
        <v>-1829431.81</v>
      </c>
      <c r="H64" s="643">
        <f>+ROUND('R &amp; E data-2020'!S15-'R &amp; E data-2020'!R15,2)</f>
        <v>4051593.34</v>
      </c>
      <c r="I64" s="248"/>
      <c r="J64" s="642">
        <f>+ROUND(+'TRIAL-BALANCE'!AH15-'TRIAL-BALANCE'!AG15,2)</f>
        <v>58206177.030000001</v>
      </c>
      <c r="K64" s="643">
        <f>+ROUND('R &amp; E data-2020'!V15-'R &amp; E data-2020'!U15,2)</f>
        <v>53343885.130000003</v>
      </c>
      <c r="L64" s="248"/>
      <c r="M64" s="642">
        <f>+ROUND(+D64+G64+J64,2)+ROUND(P64,2)</f>
        <v>59444982.759999998</v>
      </c>
      <c r="N64" s="643">
        <f>+ROUND(+E64+H64+K64,2)+ROUND(Q64,2)</f>
        <v>58484428.270000003</v>
      </c>
      <c r="O64" s="152"/>
      <c r="P64" s="1210">
        <f>+IF(+AND(Status!K4="ДА",+ROUND('Municipal-Bal'!K20,0)=1,+ROUND('Municipal-Bal'!S80,2)=+ROUND('Municipal-Bal'!S91,2)),+ROUND('Municipal-Bal'!S80,2)-ROUND(+'Municipal-Bal'!V80,2),0)</f>
        <v>0</v>
      </c>
      <c r="Q64" s="1211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6" t="s">
        <v>1136</v>
      </c>
      <c r="B65" s="341">
        <v>403</v>
      </c>
      <c r="C65" s="233"/>
      <c r="D65" s="622">
        <f>+ROUND(+SUM('TRIAL-BALANCE'!T384:T828)-SUM('TRIAL-BALANCE'!S384:S828),2)</f>
        <v>-5433.92</v>
      </c>
      <c r="E65" s="623">
        <f>+ROUND('R &amp; E data-2020'!P462-'R &amp; E data-2020'!O462,2)</f>
        <v>1979287.74</v>
      </c>
      <c r="F65" s="248"/>
      <c r="G65" s="622">
        <f>+ROUND(+SUM('TRIAL-BALANCE'!AA384:AA828)-SUM('TRIAL-BALANCE'!Z384:Z828),2)</f>
        <v>3336874.39</v>
      </c>
      <c r="H65" s="623">
        <f>+ROUND('R &amp; E data-2020'!S462-'R &amp; E data-2020'!R462,2)</f>
        <v>-5881025.1500000004</v>
      </c>
      <c r="I65" s="248"/>
      <c r="J65" s="622">
        <f>+ROUND(+SUM('TRIAL-BALANCE'!AH384:AH828)-SUM('TRIAL-BALANCE'!AG384:AG828),2)</f>
        <v>-734438.85</v>
      </c>
      <c r="K65" s="623">
        <f>+ROUND('R &amp; E data-2020'!V462-'R &amp; E data-2020'!U462,2)</f>
        <v>4862291.9000000004</v>
      </c>
      <c r="L65" s="248"/>
      <c r="M65" s="622">
        <f>+ROUND(+D65+G65+J65,2)+ROUND(P65,2)</f>
        <v>2597001.62</v>
      </c>
      <c r="N65" s="623">
        <f>+ROUND(+E65+H65+K65,2)+ROUND(Q65,2)</f>
        <v>960554.49</v>
      </c>
      <c r="O65" s="152"/>
      <c r="P65" s="1210">
        <f>+IF(+AND(Status!K4="ДА",+ROUND('Municipal-Bal'!K20,0)=1,+ROUND('Municipal-Bal'!S80,2)=+ROUND('Municipal-Bal'!S91,2)),+ROUND(+'Municipal-Bal'!V80,2),0)</f>
        <v>0</v>
      </c>
      <c r="Q65" s="1211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17" t="s">
        <v>1029</v>
      </c>
      <c r="B66" s="720">
        <v>400</v>
      </c>
      <c r="C66" s="233"/>
      <c r="D66" s="653">
        <f>+ROUND(+D63+D64+D65,2)</f>
        <v>16032123.73</v>
      </c>
      <c r="E66" s="654">
        <f>+ROUND(+E63+E64+E65,2)</f>
        <v>16037557.65</v>
      </c>
      <c r="F66" s="248"/>
      <c r="G66" s="653">
        <f>+ROUND(+G63+G64+G65,2)</f>
        <v>1514941.63</v>
      </c>
      <c r="H66" s="654">
        <f>+ROUND(+H63+H64+H65,2)</f>
        <v>-1821932.76</v>
      </c>
      <c r="I66" s="248"/>
      <c r="J66" s="653">
        <f>+ROUND(+J63+J64+J65,2)</f>
        <v>57490464.719999999</v>
      </c>
      <c r="K66" s="654">
        <f>+ROUND(+K63+K64+K65,2)</f>
        <v>58224903.57</v>
      </c>
      <c r="L66" s="248"/>
      <c r="M66" s="653">
        <f>+ROUND(+M63+M64+M65,2)</f>
        <v>75037530.079999998</v>
      </c>
      <c r="N66" s="654">
        <f>+ROUND(+N63+N64+N65,2)</f>
        <v>72440528.459999993</v>
      </c>
      <c r="O66" s="152"/>
      <c r="P66" s="2542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4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50" t="s">
        <v>2180</v>
      </c>
      <c r="B67" s="185"/>
      <c r="C67" s="233"/>
      <c r="D67" s="616"/>
      <c r="E67" s="617"/>
      <c r="F67" s="233"/>
      <c r="G67" s="616"/>
      <c r="H67" s="617"/>
      <c r="I67" s="233"/>
      <c r="J67" s="616"/>
      <c r="K67" s="617"/>
      <c r="L67" s="233"/>
      <c r="M67" s="616"/>
      <c r="N67" s="617"/>
      <c r="O67" s="152"/>
      <c r="P67" s="2543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43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3" t="s">
        <v>419</v>
      </c>
      <c r="B68" s="184"/>
      <c r="C68" s="233"/>
      <c r="D68" s="310" t="str">
        <f>+IF(+OR(D69&lt;0,D70&lt;0,D71&lt;0),"НЕРАВНЕНИЕ !"," ")</f>
        <v xml:space="preserve"> </v>
      </c>
      <c r="E68" s="319" t="str">
        <f>+IF(+OR(E69&lt;0,E70&lt;0,E71&lt;0),"НЕРАВНЕНИЕ !"," ")</f>
        <v xml:space="preserve"> </v>
      </c>
      <c r="F68" s="248"/>
      <c r="G68" s="310" t="str">
        <f>+IF(+OR(G69&lt;0,G70&lt;0,G71&lt;0),"НЕРАВНЕНИЕ !"," ")</f>
        <v xml:space="preserve"> </v>
      </c>
      <c r="H68" s="319" t="str">
        <f>+IF(+OR(H69&lt;0,H70&lt;0,H71&lt;0),"НЕРАВНЕНИЕ !"," ")</f>
        <v xml:space="preserve"> </v>
      </c>
      <c r="I68" s="248"/>
      <c r="J68" s="310" t="str">
        <f>+IF(+OR(J69&lt;0,J70&lt;0,J71&lt;0),"НЕРАВНЕНИЕ !"," ")</f>
        <v xml:space="preserve"> </v>
      </c>
      <c r="K68" s="319" t="str">
        <f>+IF(+OR(K69&lt;0,K70&lt;0,K71&lt;0),"НЕРАВНЕНИЕ !"," ")</f>
        <v xml:space="preserve"> </v>
      </c>
      <c r="L68" s="248"/>
      <c r="M68" s="310" t="str">
        <f>+IF(+OR(M69&lt;0,M70&lt;0,M71&lt;0),"НЕРАВНЕНИЕ !"," ")</f>
        <v xml:space="preserve"> </v>
      </c>
      <c r="N68" s="319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367</v>
      </c>
      <c r="B69" s="340">
        <v>511</v>
      </c>
      <c r="C69" s="233"/>
      <c r="D69" s="618">
        <f>+ROUND(+SUM('TRIAL-BALANCE'!T19)-IF(+'Provisions-2021'!E82=0,+'Provisions-2021'!E41,+ROUND((+SUM('TRIAL-BALANCE'!S25)-SUM('TRIAL-BALANCE'!T25))*'TRIAL-BALANCE'!T901,2))-IF(+'Provisions-2021'!E84=0,+'Provisions-2021'!E45,+ROUND((+'TRIAL-BALANCE'!S21)*'TRIAL-BALANCE'!T901,2)),2)</f>
        <v>0</v>
      </c>
      <c r="E69" s="619">
        <f>+ROUND(+SUM('TRIAL-BALANCE'!P19)-IF(+'Provisions-2021'!D82=0,+'Provisions-2021'!D41,+ROUND((+SUM('TRIAL-BALANCE'!O25)-SUM('TRIAL-BALANCE'!P25))*'TRIAL-BALANCE'!P901,2))-IF(+'Provisions-2021'!D84=0,+'Provisions-2021'!D45,+ROUND((+'TRIAL-BALANCE'!O21)*'TRIAL-BALANCE'!P901,2)),2)</f>
        <v>0</v>
      </c>
      <c r="F69" s="248"/>
      <c r="G69" s="618">
        <f>+ROUND(+SUM('TRIAL-BALANCE'!AA19)-IF(+'Provisions-2021'!H82=0,+'Provisions-2021'!H41,+ROUND((+SUM('TRIAL-BALANCE'!Z25)-SUM('TRIAL-BALANCE'!AA25))*'TRIAL-BALANCE'!AA901,2))-IF(+'Provisions-2021'!H84=0,+'Provisions-2021'!H45,+ROUND((+'TRIAL-BALANCE'!Z21)*'TRIAL-BALANCE'!AA901,2)),2)</f>
        <v>0</v>
      </c>
      <c r="H69" s="619">
        <f>+ROUND(+SUM('TRIAL-BALANCE'!W19)-IF(+'Provisions-2021'!G82=0,+'Provisions-2021'!G41,+ROUND((+SUM('TRIAL-BALANCE'!V25)-SUM('TRIAL-BALANCE'!W25))*'TRIAL-BALANCE'!W901,2))-IF(+'Provisions-2021'!G84=0,+'Provisions-2021'!G45,+ROUND((+'TRIAL-BALANCE'!V21)*'TRIAL-BALANCE'!W901,2)),2)</f>
        <v>0</v>
      </c>
      <c r="I69" s="248"/>
      <c r="J69" s="618">
        <f>+ROUND(+SUM('TRIAL-BALANCE'!AH19)-IF(+'Provisions-2021'!K82=0,+'Provisions-2021'!K41,+ROUND((+SUM('TRIAL-BALANCE'!AG25)-SUM('TRIAL-BALANCE'!AH25))*'TRIAL-BALANCE'!AH901,2))-IF(+'Provisions-2021'!K84=0,+'Provisions-2021'!K45,+ROUND((+'TRIAL-BALANCE'!AG21)*'TRIAL-BALANCE'!AH901,2)),2)</f>
        <v>0</v>
      </c>
      <c r="K69" s="619">
        <f>+ROUND(+SUM('TRIAL-BALANCE'!AD19)-IF(+'Provisions-2021'!J82=0,+'Provisions-2021'!J41,+ROUND((+SUM('TRIAL-BALANCE'!AC25)-SUM('TRIAL-BALANCE'!AD25))*'TRIAL-BALANCE'!AD901,2))-IF(+'Provisions-2021'!J84=0,+'Provisions-2021'!J45,+ROUND((+'TRIAL-BALANCE'!AC21)*'TRIAL-BALANCE'!AD901,2)),2)</f>
        <v>0</v>
      </c>
      <c r="L69" s="248"/>
      <c r="M69" s="618">
        <f t="shared" ref="M69:N71" si="3">+ROUND(+D69+G69+J69,2)</f>
        <v>0</v>
      </c>
      <c r="N69" s="643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34" t="s">
        <v>420</v>
      </c>
      <c r="B70" s="340">
        <v>512</v>
      </c>
      <c r="C70" s="233"/>
      <c r="D70" s="618">
        <f>+ROUND(+'TRIAL-BALANCE'!T27+'TRIAL-BALANCE'!T31+'TRIAL-BALANCE'!T32+'TRIAL-BALANCE'!T37+'TRIAL-BALANCE'!T38+'TRIAL-BALANCE'!T63+'TRIAL-BALANCE'!T67,2)</f>
        <v>0</v>
      </c>
      <c r="E70" s="619">
        <f>+ROUND(+'TRIAL-BALANCE'!P27+'TRIAL-BALANCE'!P31+'TRIAL-BALANCE'!P32+'TRIAL-BALANCE'!P37+'TRIAL-BALANCE'!P38+'TRIAL-BALANCE'!P63+'TRIAL-BALANCE'!P67,2)</f>
        <v>0</v>
      </c>
      <c r="F70" s="248"/>
      <c r="G70" s="618">
        <f>+ROUND(+'TRIAL-BALANCE'!AA27+'TRIAL-BALANCE'!AA31+'TRIAL-BALANCE'!AA32+'TRIAL-BALANCE'!AA37+'TRIAL-BALANCE'!AA38+'TRIAL-BALANCE'!AA63+'TRIAL-BALANCE'!AA67,2)</f>
        <v>0</v>
      </c>
      <c r="H70" s="619">
        <f>+ROUND(+'TRIAL-BALANCE'!W27+'TRIAL-BALANCE'!W31+'TRIAL-BALANCE'!W32+'TRIAL-BALANCE'!W37+'TRIAL-BALANCE'!W38+'TRIAL-BALANCE'!W63+'TRIAL-BALANCE'!W67,2)</f>
        <v>0</v>
      </c>
      <c r="I70" s="248"/>
      <c r="J70" s="618">
        <f>+ROUND(+'TRIAL-BALANCE'!AH27+'TRIAL-BALANCE'!AH31+'TRIAL-BALANCE'!AH32+'TRIAL-BALANCE'!AH37+'TRIAL-BALANCE'!AH38+'TRIAL-BALANCE'!AH63+'TRIAL-BALANCE'!AH67,2)</f>
        <v>0</v>
      </c>
      <c r="K70" s="619">
        <f>+ROUND(+'TRIAL-BALANCE'!AD27+'TRIAL-BALANCE'!AD31+'TRIAL-BALANCE'!AD32+'TRIAL-BALANCE'!AD37+'TRIAL-BALANCE'!AD38+'TRIAL-BALANCE'!AD63+'TRIAL-BALANCE'!AD67,2)</f>
        <v>0</v>
      </c>
      <c r="L70" s="248"/>
      <c r="M70" s="618">
        <f t="shared" si="3"/>
        <v>0</v>
      </c>
      <c r="N70" s="619">
        <f t="shared" si="3"/>
        <v>0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36" t="s">
        <v>2186</v>
      </c>
      <c r="B71" s="341">
        <v>513</v>
      </c>
      <c r="C71" s="233"/>
      <c r="D71" s="628">
        <f>+ROUND(+SUM('TRIAL-BALANCE'!T50:T51)+SUM('TRIAL-BALANCE'!T56:T57)-IF(+'Provisions-2021'!E86=0,+'Provisions-2021'!E49,+ROUND(+('TRIAL-BALANCE'!S54+'TRIAL-BALANCE'!S55)*'TRIAL-BALANCE'!T904,2))-IF(+'Provisions-2021'!E88=0,+'Provisions-2021'!E53,+ROUND(+('TRIAL-BALANCE'!S60+'TRIAL-BALANCE'!S61)*'TRIAL-BALANCE'!T907,2)-ROUND(+('TRIAL-BALANCE'!T60+'TRIAL-BALANCE'!T61)*'TRIAL-BALANCE'!T907,2)),2)</f>
        <v>0</v>
      </c>
      <c r="E71" s="629">
        <f>+ROUND(+SUM('TRIAL-BALANCE'!P50:P51)+SUM('TRIAL-BALANCE'!P56:P57)-IF(+'Provisions-2021'!D86=0,+'Provisions-2021'!D49,+ROUND(+('TRIAL-BALANCE'!O54+'TRIAL-BALANCE'!O55)*'TRIAL-BALANCE'!P904,2))-IF(+'Provisions-2021'!D88=0,+'Provisions-2021'!D53,+ROUND(+('TRIAL-BALANCE'!O60+'TRIAL-BALANCE'!O61)*'TRIAL-BALANCE'!P907,2)-ROUND(+('TRIAL-BALANCE'!P60+'TRIAL-BALANCE'!P61)*'TRIAL-BALANCE'!P907,2)),2)</f>
        <v>0</v>
      </c>
      <c r="F71" s="248"/>
      <c r="G71" s="628">
        <f>+ROUND(+SUM('TRIAL-BALANCE'!AA50:AA51)+SUM('TRIAL-BALANCE'!AA56:AA57)-IF(+'Provisions-2021'!H86=0,+'Provisions-2021'!H49,+ROUND(+('TRIAL-BALANCE'!Z54+'TRIAL-BALANCE'!Z55)*'TRIAL-BALANCE'!AA904,2))-IF(+'Provisions-2021'!H88=0,+'Provisions-2021'!H53,+ROUND(+('TRIAL-BALANCE'!Z60+'TRIAL-BALANCE'!Z61)*'TRIAL-BALANCE'!AA907,2)-ROUND(+('TRIAL-BALANCE'!AA60+'TRIAL-BALANCE'!AA61)*'TRIAL-BALANCE'!AA907,2)),2)</f>
        <v>0</v>
      </c>
      <c r="H71" s="629">
        <f>+ROUND(+SUM('TRIAL-BALANCE'!W50:W51)+SUM('TRIAL-BALANCE'!W56:W57)-IF(+'Provisions-2021'!G86=0,+'Provisions-2021'!G49,+ROUND(+('TRIAL-BALANCE'!V54+'TRIAL-BALANCE'!V55)*'TRIAL-BALANCE'!W904,2))-IF(+'Provisions-2021'!G88=0,+'Provisions-2021'!G53,+ROUND(+('TRIAL-BALANCE'!V60+'TRIAL-BALANCE'!V61)*'TRIAL-BALANCE'!W907,2)-ROUND(+('TRIAL-BALANCE'!W60+'TRIAL-BALANCE'!W61)*'TRIAL-BALANCE'!W907,2)),2)</f>
        <v>0</v>
      </c>
      <c r="I71" s="248"/>
      <c r="J71" s="628">
        <f>+ROUND(+SUM('TRIAL-BALANCE'!AH50:AH51)+SUM('TRIAL-BALANCE'!AH56:AH57)+'TRIAL-BALANCE'!AH63+'TRIAL-BALANCE'!AH65-IF(+'Provisions-2021'!K86=0,+'Provisions-2021'!K49,+ROUND(+('TRIAL-BALANCE'!AG54+'TRIAL-BALANCE'!AG55)*'TRIAL-BALANCE'!AH904,2))-IF(+'Provisions-2021'!K88=0,+'Provisions-2021'!K53,+ROUND(+('TRIAL-BALANCE'!AG60+'TRIAL-BALANCE'!AG61)*'TRIAL-BALANCE'!AH907,2)-ROUND(+('TRIAL-BALANCE'!AH60+'TRIAL-BALANCE'!AH61)*'TRIAL-BALANCE'!AH907,2)),2)</f>
        <v>0</v>
      </c>
      <c r="K71" s="629">
        <f>+ROUND(+SUM('TRIAL-BALANCE'!AD50:AD51)+SUM('TRIAL-BALANCE'!AD56:AD57)-IF(+'Provisions-2021'!J86=0,+'Provisions-2021'!J49,+ROUND(+('TRIAL-BALANCE'!AC54+'TRIAL-BALANCE'!AC55)*'TRIAL-BALANCE'!AD904,2))-IF(+'Provisions-2021'!J88=0,+'Provisions-2021'!J53,+ROUND(+('TRIAL-BALANCE'!AC60+'TRIAL-BALANCE'!AC61)*'TRIAL-BALANCE'!AD907,2)-ROUND(+('TRIAL-BALANCE'!AD60+'TRIAL-BALANCE'!AD61)*'TRIAL-BALANCE'!AD907,2)),2)</f>
        <v>0</v>
      </c>
      <c r="L71" s="248"/>
      <c r="M71" s="628">
        <f t="shared" si="3"/>
        <v>0</v>
      </c>
      <c r="N71" s="629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1025</v>
      </c>
      <c r="B72" s="186">
        <v>510</v>
      </c>
      <c r="C72" s="233"/>
      <c r="D72" s="624">
        <f>+ROUND(+D69+D70+D71,2)</f>
        <v>0</v>
      </c>
      <c r="E72" s="625">
        <f>+ROUND(+E69+E70+E71,2)</f>
        <v>0</v>
      </c>
      <c r="F72" s="248"/>
      <c r="G72" s="624">
        <f>+ROUND(+G69+G70+G71,2)</f>
        <v>0</v>
      </c>
      <c r="H72" s="625">
        <f>+ROUND(+H69+H70+H71,2)</f>
        <v>0</v>
      </c>
      <c r="I72" s="248"/>
      <c r="J72" s="624">
        <f>+ROUND(+J69+J70+J71,2)</f>
        <v>0</v>
      </c>
      <c r="K72" s="625">
        <f>+ROUND(+K69+K70+K71,2)</f>
        <v>0</v>
      </c>
      <c r="L72" s="248"/>
      <c r="M72" s="624">
        <f>+ROUND(+M69+M70+M71,2)</f>
        <v>0</v>
      </c>
      <c r="N72" s="652">
        <f>+ROUND(+N69+N70+N71,2)</f>
        <v>0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421</v>
      </c>
      <c r="B73" s="187"/>
      <c r="C73" s="233"/>
      <c r="D73" s="310" t="str">
        <f>+IF(+OR(D74&lt;0,D75&lt;0,D76&lt;0,D77&lt;0,D78&lt;0,D79&lt;0,D80&lt;0,D81&lt;0,D82&lt;0),"НЕРАВНЕНИЕ !"," ")</f>
        <v xml:space="preserve"> </v>
      </c>
      <c r="E73" s="319" t="str">
        <f>+IF(+OR(E74&lt;0,E75&lt;0,E76&lt;0,E77&lt;0,E78&lt;0,E79&lt;0,E80&lt;0,E81&lt;0,E82&lt;0),"НЕРАВНЕНИЕ !"," ")</f>
        <v xml:space="preserve"> </v>
      </c>
      <c r="F73" s="248"/>
      <c r="G73" s="310" t="str">
        <f>+IF(+OR(G74&lt;0,G75&lt;0,G76&lt;0,G77&lt;0,G78&lt;0,G79&lt;0,G80&lt;0,G81&lt;0,G82&lt;0),"НЕРАВНЕНИЕ !"," ")</f>
        <v xml:space="preserve"> </v>
      </c>
      <c r="H73" s="319" t="str">
        <f>+IF(+OR(H74&lt;0,H75&lt;0,H76&lt;0,H77&lt;0,H78&lt;0,H79&lt;0,H80&lt;0,H81&lt;0,H82&lt;0),"НЕРАВНЕНИЕ !"," ")</f>
        <v xml:space="preserve"> </v>
      </c>
      <c r="I73" s="248"/>
      <c r="J73" s="310" t="str">
        <f>+IF(+OR(J74&lt;0,J75&lt;0,J76&lt;0,J77&lt;0,J78&lt;0,J79&lt;0,J80&lt;0,J81&lt;0,J82&lt;0),"НЕРАВНЕНИЕ !"," ")</f>
        <v xml:space="preserve"> </v>
      </c>
      <c r="K73" s="319" t="str">
        <f>+IF(+OR(K74&lt;0,K75&lt;0,K76&lt;0,K77&lt;0,K78&lt;0,K79&lt;0,K80&lt;0,K81&lt;0,K82&lt;0),"НЕРАВНЕНИЕ !"," ")</f>
        <v xml:space="preserve"> </v>
      </c>
      <c r="L73" s="248"/>
      <c r="M73" s="310" t="str">
        <f>+IF(+OR(M74&lt;0,M75&lt;0,M76&lt;0,M77&lt;0,M78&lt;0,M79&lt;0,M80&lt;0,M81&lt;0,M82&lt;0),"НЕРАВНЕНИЕ !"," ")</f>
        <v xml:space="preserve"> </v>
      </c>
      <c r="N73" s="319" t="str">
        <f>+IF(+OR(N74&lt;0,N75&lt;0,N76&lt;0,N77&lt;0,N78&lt;0,N79&lt;0,N80&lt;0,N81&lt;0,N82&lt;0),"НЕРАВНЕНИЕ !"," ")</f>
        <v xml:space="preserve"> </v>
      </c>
      <c r="O73" s="152"/>
      <c r="P73" s="152"/>
      <c r="Q73" s="1903" t="s">
        <v>1875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34" t="s">
        <v>368</v>
      </c>
      <c r="B74" s="340">
        <v>521</v>
      </c>
      <c r="C74" s="233"/>
      <c r="D74" s="618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-2021'!E82=0,+'Provisions-2021'!E42,+ROUND((+SUM('TRIAL-BALANCE'!S25:S25)-SUM('TRIAL-BALANCE'!T25:T25))*'TRIAL-BALANCE'!T902,2))-IF('Provisions-2021'!E84=0,+'Provisions-2021'!E46,+ROUND((+'TRIAL-BALANCE'!S21)*('TRIAL-BALANCE'!T902),2))-IF('Provisions-2021'!E86=0,+'Provisions-2021'!E50,+ROUND(+('TRIAL-BALANCE'!S54+'TRIAL-BALANCE'!S55)*'TRIAL-BALANCE'!T905,2))-IF('Provisions-2021'!E88=0,+'Provisions-2021'!E54,+ROUND(+('TRIAL-BALANCE'!S60+'TRIAL-BALANCE'!S61)*'TRIAL-BALANCE'!T908,2)-ROUND(+('TRIAL-BALANCE'!T60+'TRIAL-BALANCE'!T61)*'TRIAL-BALANCE'!T908,2)),2)</f>
        <v>0</v>
      </c>
      <c r="E74" s="619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-2021'!D82=0,+'Provisions-2021'!D42,+ROUND((+SUM('TRIAL-BALANCE'!O25:O25)-SUM('TRIAL-BALANCE'!P25:P25))*'TRIAL-BALANCE'!P902,2))-IF('Provisions-2021'!D84=0,+'Provisions-2021'!D46,+ROUND((+'TRIAL-BALANCE'!O21)*('TRIAL-BALANCE'!P902),2))-IF('Provisions-2021'!D86=0,+'Provisions-2021'!D50,+ROUND(+('TRIAL-BALANCE'!O54+'TRIAL-BALANCE'!O55)*'TRIAL-BALANCE'!P905,2))-IF('Provisions-2021'!D88=0,+'Provisions-2021'!D54,+ROUND(+('TRIAL-BALANCE'!O60+'TRIAL-BALANCE'!O61)*'TRIAL-BALANCE'!P908,2)-ROUND(+('TRIAL-BALANCE'!P60+'TRIAL-BALANCE'!P61)*'TRIAL-BALANCE'!P908,2)),2)</f>
        <v>0</v>
      </c>
      <c r="F74" s="248"/>
      <c r="G74" s="618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-2021'!H82=0,+'Provisions-2021'!H42,+ROUND((+SUM('TRIAL-BALANCE'!Z25:Z25)-SUM('TRIAL-BALANCE'!AA25:AA25))*'TRIAL-BALANCE'!AA902,2))-IF('Provisions-2021'!H84=0,+'Provisions-2021'!H46,+ROUND((+'TRIAL-BALANCE'!Z21)*('TRIAL-BALANCE'!AA902),2))-IF('Provisions-2021'!H86=0,+'Provisions-2021'!H50,+ROUND(+('TRIAL-BALANCE'!Z54+'TRIAL-BALANCE'!Z55)*'TRIAL-BALANCE'!AA905,2))-IF('Provisions-2021'!H88=0,+'Provisions-2021'!H54,+ROUND(+('TRIAL-BALANCE'!Z60+'TRIAL-BALANCE'!Z61)*'TRIAL-BALANCE'!AA908,2)-ROUND(+('TRIAL-BALANCE'!AA60+'TRIAL-BALANCE'!AA61)*'TRIAL-BALANCE'!AA908,2)),2)</f>
        <v>0</v>
      </c>
      <c r="H74" s="619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-2021'!G82=0,+'Provisions-2021'!G42,+ROUND((+SUM('TRIAL-BALANCE'!V25:V25)-SUM('TRIAL-BALANCE'!W25:W25))*'TRIAL-BALANCE'!W902,2))-IF('Provisions-2021'!G84=0,+'Provisions-2021'!G46,+ROUND((+'TRIAL-BALANCE'!V21)*('TRIAL-BALANCE'!W902),2))-IF('Provisions-2021'!G86=0,+'Provisions-2021'!G50,+ROUND(+('TRIAL-BALANCE'!V54+'TRIAL-BALANCE'!V55)*'TRIAL-BALANCE'!W905,2))-IF('Provisions-2021'!G88=0,+'Provisions-2021'!G54,+ROUND(+('TRIAL-BALANCE'!V60+'TRIAL-BALANCE'!V61)*'TRIAL-BALANCE'!W908,2)-ROUND(+('TRIAL-BALANCE'!W60+'TRIAL-BALANCE'!W61)*'TRIAL-BALANCE'!W908,2)),2)</f>
        <v>0</v>
      </c>
      <c r="I74" s="248"/>
      <c r="J74" s="618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-2021'!K82=0,+'Provisions-2021'!K42,+ROUND((+SUM('TRIAL-BALANCE'!AG25:AG25)-SUM('TRIAL-BALANCE'!AH25:AH25))*'TRIAL-BALANCE'!AH902,2))-IF('Provisions-2021'!K84=0,+'Provisions-2021'!K46,+ROUND((+'TRIAL-BALANCE'!AG21)*('TRIAL-BALANCE'!AH902),2))-IF('Provisions-2021'!K86=0,+'Provisions-2021'!K50,+ROUND(+('TRIAL-BALANCE'!AG54+'TRIAL-BALANCE'!AG55)*'TRIAL-BALANCE'!AH905,2))</f>
        <v>0</v>
      </c>
      <c r="K74" s="619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-2021'!J82=0,+'Provisions-2021'!J42,+ROUND((+SUM('TRIAL-BALANCE'!AC25:AC25)-SUM('TRIAL-BALANCE'!AD25:AD25))*'TRIAL-BALANCE'!AD902,2))-IF('Provisions-2021'!J84=0,+'Provisions-2021'!J46,+ROUND((+'TRIAL-BALANCE'!AC21)*('TRIAL-BALANCE'!AD902),2))-IF('Provisions-2021'!J86=0,+'Provisions-2021'!J50,+ROUND(+('TRIAL-BALANCE'!AC54+'TRIAL-BALANCE'!AC55)*'TRIAL-BALANCE'!AD905,2))-IF('Provisions-2021'!J88=0,+'Provisions-2021'!J54,+ROUND(+('TRIAL-BALANCE'!AC60+'TRIAL-BALANCE'!AC61)*'TRIAL-BALANCE'!AD908,2)-ROUND(+('TRIAL-BALANCE'!AD60+'TRIAL-BALANCE'!AD61)*'TRIAL-BALANCE'!AD908,2)),2)</f>
        <v>0</v>
      </c>
      <c r="L74" s="248"/>
      <c r="M74" s="618">
        <f t="shared" ref="M74:M80" si="4">+ROUND(+D74+G74+J74,2)</f>
        <v>0</v>
      </c>
      <c r="N74" s="643">
        <f t="shared" ref="N74:N80" si="5">+ROUND(+E74+H74+K74,2)</f>
        <v>0</v>
      </c>
      <c r="O74" s="152"/>
      <c r="P74" s="1377" t="s">
        <v>1876</v>
      </c>
      <c r="Q74" s="1904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34" t="s">
        <v>422</v>
      </c>
      <c r="B75" s="340">
        <f t="shared" ref="B75:B82" si="6">1+B74</f>
        <v>522</v>
      </c>
      <c r="C75" s="233"/>
      <c r="D75" s="618">
        <f>+ROUND(+'TRIAL-BALANCE'!T114+'TRIAL-BALANCE'!T116+'TRIAL-BALANCE'!T118+'TRIAL-BALANCE'!T120+'TRIAL-BALANCE'!T122-SUM('TRIAL-BALANCE'!S275:S276)+SUM('TRIAL-BALANCE'!T275:T276)+IF(+AND('Provisions-2021'!E90=0,+'Provisions-2021'!E59&lt;&gt;0),+'Provisions-2021'!E59,0),2)</f>
        <v>8919.9599999999991</v>
      </c>
      <c r="E75" s="619">
        <f>+ROUND(+'TRIAL-BALANCE'!P114+'TRIAL-BALANCE'!P116+'TRIAL-BALANCE'!P118+'TRIAL-BALANCE'!P120+'TRIAL-BALANCE'!P122-SUM('TRIAL-BALANCE'!O275:O276)+SUM('TRIAL-BALANCE'!P275:P276)+IF(+AND('Provisions-2021'!D90=0,+'Provisions-2021'!D59&lt;&gt;0),+'Provisions-2021'!D59,0),2)</f>
        <v>62721.760000000002</v>
      </c>
      <c r="F75" s="248"/>
      <c r="G75" s="618">
        <f>+ROUND(+'TRIAL-BALANCE'!AA114+'TRIAL-BALANCE'!AA116+'TRIAL-BALANCE'!AA118+'TRIAL-BALANCE'!AA120+'TRIAL-BALANCE'!AA122-SUM('TRIAL-BALANCE'!Z275:Z276)+SUM('TRIAL-BALANCE'!AA275:AA276)+IF(+AND('Provisions-2021'!H90=0,+'Provisions-2021'!H59&lt;&gt;0),+'Provisions-2021'!H59,0),2)</f>
        <v>441007.99</v>
      </c>
      <c r="H75" s="619">
        <f>+ROUND(+'TRIAL-BALANCE'!W114+'TRIAL-BALANCE'!W116+'TRIAL-BALANCE'!W118+'TRIAL-BALANCE'!W120+'TRIAL-BALANCE'!W122-SUM('TRIAL-BALANCE'!V275:V276)+SUM('TRIAL-BALANCE'!W275:W276)+IF(+AND('Provisions-2021'!G90=0,+'Provisions-2021'!G59&lt;&gt;0),+'Provisions-2021'!G59,0),2)</f>
        <v>4330426.8899999997</v>
      </c>
      <c r="I75" s="248"/>
      <c r="J75" s="618">
        <f>+ROUND(+'TRIAL-BALANCE'!AH114+'TRIAL-BALANCE'!AH116+'TRIAL-BALANCE'!AH118+'TRIAL-BALANCE'!AH120+'TRIAL-BALANCE'!AH122-SUM('TRIAL-BALANCE'!AG275:AG276)+SUM('TRIAL-BALANCE'!AH275:AH276)+IF(+AND('Provisions-2021'!K90=0,+'Provisions-2021'!K59&lt;&gt;0),+'Provisions-2021'!K59,0),2)</f>
        <v>0</v>
      </c>
      <c r="K75" s="619">
        <f>+ROUND(+'TRIAL-BALANCE'!AD114+'TRIAL-BALANCE'!AD116+'TRIAL-BALANCE'!AD118+'TRIAL-BALANCE'!AD120+'TRIAL-BALANCE'!AD122-SUM('TRIAL-BALANCE'!AC275:AC276)+SUM('TRIAL-BALANCE'!AD275:AD276)+IF(+AND('Provisions-2021'!J90=0,+'Provisions-2021'!J59&lt;&gt;0),+'Provisions-2021'!J59,0),2)</f>
        <v>0</v>
      </c>
      <c r="L75" s="248"/>
      <c r="M75" s="618">
        <f t="shared" si="4"/>
        <v>449927.95</v>
      </c>
      <c r="N75" s="619">
        <f t="shared" si="5"/>
        <v>4393148.6500000004</v>
      </c>
      <c r="O75" s="152"/>
      <c r="P75" s="1378" t="s">
        <v>1877</v>
      </c>
      <c r="Q75" s="1905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34" t="s">
        <v>423</v>
      </c>
      <c r="B76" s="340">
        <f t="shared" si="6"/>
        <v>523</v>
      </c>
      <c r="C76" s="233"/>
      <c r="D76" s="618">
        <f>+ROUND(+'TRIAL-BALANCE'!T121+'TRIAL-BALANCE'!T125+'TRIAL-BALANCE'!T127+IF(+AND('Provisions-2021'!E90=0,+'Provisions-2021'!E60&lt;&gt;0),+'Provisions-2021'!E60,0),2)</f>
        <v>0</v>
      </c>
      <c r="E76" s="619">
        <f>+ROUND(+'TRIAL-BALANCE'!P121+'TRIAL-BALANCE'!P125+'TRIAL-BALANCE'!P127+IF(+AND('Provisions-2021'!D90=0,+'Provisions-2021'!D60&lt;&gt;0),+'Provisions-2021'!D60,0),2)</f>
        <v>0</v>
      </c>
      <c r="F76" s="248"/>
      <c r="G76" s="618">
        <f>+ROUND(+'TRIAL-BALANCE'!AA121+'TRIAL-BALANCE'!AA125+'TRIAL-BALANCE'!AA127+IF(+AND('Provisions-2021'!H90=0,+'Provisions-2021'!H60&lt;&gt;0),+'Provisions-2021'!H60,0),2)</f>
        <v>0</v>
      </c>
      <c r="H76" s="619">
        <f>+ROUND(+'TRIAL-BALANCE'!W121+'TRIAL-BALANCE'!W125+'TRIAL-BALANCE'!W127+IF(+AND('Provisions-2021'!G90=0,+'Provisions-2021'!G60&lt;&gt;0),+'Provisions-2021'!G60,0),2)</f>
        <v>0</v>
      </c>
      <c r="I76" s="248"/>
      <c r="J76" s="618">
        <f>+ROUND(+'TRIAL-BALANCE'!AH121+'TRIAL-BALANCE'!AH125+'TRIAL-BALANCE'!AH127+IF(+AND('Provisions-2021'!K90=0,+'Provisions-2021'!K60&lt;&gt;0),+'Provisions-2021'!K60,0),2)</f>
        <v>0</v>
      </c>
      <c r="K76" s="619">
        <f>+ROUND(+'TRIAL-BALANCE'!AD121+'TRIAL-BALANCE'!AD125+'TRIAL-BALANCE'!AD127+IF(+AND('Provisions-2021'!J90=0,+'Provisions-2021'!J60&lt;&gt;0),+'Provisions-2021'!J60,0),2)</f>
        <v>0</v>
      </c>
      <c r="L76" s="248"/>
      <c r="M76" s="618">
        <f t="shared" si="4"/>
        <v>0</v>
      </c>
      <c r="N76" s="619">
        <f t="shared" si="5"/>
        <v>0</v>
      </c>
      <c r="O76" s="152"/>
      <c r="P76" s="1245" t="s">
        <v>1254</v>
      </c>
      <c r="Q76" s="1213" t="s">
        <v>1255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34" t="s">
        <v>369</v>
      </c>
      <c r="B77" s="340">
        <f t="shared" si="6"/>
        <v>524</v>
      </c>
      <c r="C77" s="233"/>
      <c r="D77" s="618">
        <f>+ROUND(+'TRIAL-BALANCE'!T133+'TRIAL-BALANCE'!T135+'TRIAL-BALANCE'!T139+'TRIAL-BALANCE'!T140+'TRIAL-BALANCE'!T142+'TRIAL-BALANCE'!T143+'TRIAL-BALANCE'!T146-SUM('TRIAL-BALANCE'!S279:S280)+SUM('TRIAL-BALANCE'!T279:T280)+IF(+AND('Provisions-2021'!E90=0,+'Provisions-2021'!E61&lt;&gt;0),+'Provisions-2021'!E61,0),2)</f>
        <v>0</v>
      </c>
      <c r="E77" s="619">
        <f>+ROUND(+'TRIAL-BALANCE'!P133+'TRIAL-BALANCE'!P135+'TRIAL-BALANCE'!P139+'TRIAL-BALANCE'!P140+'TRIAL-BALANCE'!P142+'TRIAL-BALANCE'!P143+'TRIAL-BALANCE'!P146-SUM('TRIAL-BALANCE'!O279:O280)+SUM('TRIAL-BALANCE'!P279:P280)+IF(+AND('Provisions-2021'!D90=0,+'Provisions-2021'!D61&lt;&gt;0),+'Provisions-2021'!D61,0),2)</f>
        <v>0</v>
      </c>
      <c r="F77" s="248"/>
      <c r="G77" s="618">
        <f>+ROUND(+'TRIAL-BALANCE'!AA133+'TRIAL-BALANCE'!AA135+'TRIAL-BALANCE'!AA139+'TRIAL-BALANCE'!AA140+'TRIAL-BALANCE'!AA142+'TRIAL-BALANCE'!AA143+'TRIAL-BALANCE'!AA146-SUM('TRIAL-BALANCE'!Z279:Z280)+SUM('TRIAL-BALANCE'!AA279:AA280)+IF(+AND('Provisions-2021'!H90=0,+'Provisions-2021'!H61&lt;&gt;0),+'Provisions-2021'!H61,0),2)</f>
        <v>0</v>
      </c>
      <c r="H77" s="619">
        <f>+ROUND(+'TRIAL-BALANCE'!W133+'TRIAL-BALANCE'!W135+'TRIAL-BALANCE'!W139+'TRIAL-BALANCE'!W140+'TRIAL-BALANCE'!W142+'TRIAL-BALANCE'!W143+'TRIAL-BALANCE'!W146-SUM('TRIAL-BALANCE'!V279:V280)+SUM('TRIAL-BALANCE'!W279:W280)+IF(+AND('Provisions-2021'!G90=0,+'Provisions-2021'!G61&lt;&gt;0),+'Provisions-2021'!G61,0),2)</f>
        <v>0</v>
      </c>
      <c r="I77" s="248"/>
      <c r="J77" s="618">
        <f>+ROUND(+'TRIAL-BALANCE'!AH133+'TRIAL-BALANCE'!AH135+'TRIAL-BALANCE'!AH139+'TRIAL-BALANCE'!AH140+'TRIAL-BALANCE'!AH142+'TRIAL-BALANCE'!AH143+'TRIAL-BALANCE'!AH146-SUM('TRIAL-BALANCE'!AG279:AG280)+SUM('TRIAL-BALANCE'!AH279:AH280)+IF(+AND('Provisions-2021'!K90=0,+'Provisions-2021'!K61&lt;&gt;0),+'Provisions-2021'!K61,0),2)</f>
        <v>0</v>
      </c>
      <c r="K77" s="619">
        <f>+ROUND(+'TRIAL-BALANCE'!AD133+'TRIAL-BALANCE'!AD135+'TRIAL-BALANCE'!AD139+'TRIAL-BALANCE'!AD140+'TRIAL-BALANCE'!AD142+'TRIAL-BALANCE'!AD143+'TRIAL-BALANCE'!AD146-SUM('TRIAL-BALANCE'!AC279:AC280)+SUM('TRIAL-BALANCE'!AD279:AD280)+IF(+AND('Provisions-2021'!J90=0,+'Provisions-2021'!J61&lt;&gt;0),+'Provisions-2021'!J61,0),2)</f>
        <v>0</v>
      </c>
      <c r="L77" s="248"/>
      <c r="M77" s="618">
        <f t="shared" si="4"/>
        <v>0</v>
      </c>
      <c r="N77" s="619">
        <f t="shared" si="5"/>
        <v>0</v>
      </c>
      <c r="O77" s="152"/>
      <c r="P77" s="1214" t="s">
        <v>1196</v>
      </c>
      <c r="Q77" s="1215" t="s">
        <v>1965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34" t="s">
        <v>424</v>
      </c>
      <c r="B78" s="340">
        <f t="shared" si="6"/>
        <v>525</v>
      </c>
      <c r="C78" s="233"/>
      <c r="D78" s="642">
        <f>+ROUND(+'TRIAL-BALANCE'!T180+'TRIAL-BALANCE'!T181+'TRIAL-BALANCE'!T182+'TRIAL-BALANCE'!T183+'TRIAL-BALANCE'!T187,2)</f>
        <v>7188.33</v>
      </c>
      <c r="E78" s="643">
        <f>+ROUND(+'TRIAL-BALANCE'!P180+'TRIAL-BALANCE'!P181+'TRIAL-BALANCE'!P182+'TRIAL-BALANCE'!P183+'TRIAL-BALANCE'!P187,2)</f>
        <v>13217.33</v>
      </c>
      <c r="F78" s="248"/>
      <c r="G78" s="642">
        <f>+ROUND(+'TRIAL-BALANCE'!AA180+'TRIAL-BALANCE'!AA181+'TRIAL-BALANCE'!AA182+'TRIAL-BALANCE'!AA183+'TRIAL-BALANCE'!AA187,2)</f>
        <v>1691.97</v>
      </c>
      <c r="H78" s="643">
        <f>+ROUND(+'TRIAL-BALANCE'!W180+'TRIAL-BALANCE'!W181+'TRIAL-BALANCE'!W182+'TRIAL-BALANCE'!W183+'TRIAL-BALANCE'!W187,2)</f>
        <v>3278.31</v>
      </c>
      <c r="I78" s="248"/>
      <c r="J78" s="642">
        <f>+ROUND(+'TRIAL-BALANCE'!AH180+'TRIAL-BALANCE'!AH181+'TRIAL-BALANCE'!AH182+'TRIAL-BALANCE'!AH183+'TRIAL-BALANCE'!AH187,2)</f>
        <v>0</v>
      </c>
      <c r="K78" s="643">
        <f>+ROUND(+'TRIAL-BALANCE'!AD180+'TRIAL-BALANCE'!AD181+'TRIAL-BALANCE'!AD182+'TRIAL-BALANCE'!AD183+'TRIAL-BALANCE'!AD187,2)</f>
        <v>0</v>
      </c>
      <c r="L78" s="248"/>
      <c r="M78" s="618">
        <f>+ROUND(+D78+G78+J78,2)-ROUND(P78,2)</f>
        <v>8880.2999999999993</v>
      </c>
      <c r="N78" s="619">
        <f>+ROUND(+E78+H78+K78,2)-ROUND(Q78,2)</f>
        <v>16495.64</v>
      </c>
      <c r="O78" s="152"/>
      <c r="P78" s="2086">
        <f>+IF(+AND(Status!K4="ДА",+ROUND('Municipal-Bal'!K20,0)=1,+ROUND('Municipal-Bal'!S80,2)=+ROUND('Municipal-Bal'!S91,2)),+ROUND(+SUM('Municipal-Bal'!R74:R75),2),0)</f>
        <v>0</v>
      </c>
      <c r="Q78" s="2087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87" t="s">
        <v>1015</v>
      </c>
      <c r="B79" s="340">
        <f t="shared" si="6"/>
        <v>526</v>
      </c>
      <c r="C79" s="233"/>
      <c r="D79" s="618">
        <f>+ROUND(+'TRIAL-BALANCE'!T191+'TRIAL-BALANCE'!T192+'TRIAL-BALANCE'!T193+'TRIAL-BALANCE'!T194,2)</f>
        <v>51466.68</v>
      </c>
      <c r="E79" s="619">
        <f>+ROUND(+'TRIAL-BALANCE'!P191+'TRIAL-BALANCE'!P192+'TRIAL-BALANCE'!P193+'TRIAL-BALANCE'!P194,2)</f>
        <v>42765.58</v>
      </c>
      <c r="F79" s="248"/>
      <c r="G79" s="618">
        <f>+ROUND(+'TRIAL-BALANCE'!AA191+'TRIAL-BALANCE'!AA192+'TRIAL-BALANCE'!AA193+'TRIAL-BALANCE'!AA194,2)</f>
        <v>5736.78</v>
      </c>
      <c r="H79" s="619">
        <f>+ROUND(+'TRIAL-BALANCE'!W191+'TRIAL-BALANCE'!W192+'TRIAL-BALANCE'!W193+'TRIAL-BALANCE'!W194,2)</f>
        <v>19399.310000000001</v>
      </c>
      <c r="I79" s="248"/>
      <c r="J79" s="618">
        <f>+ROUND(+'TRIAL-BALANCE'!AH191+'TRIAL-BALANCE'!AH192+'TRIAL-BALANCE'!AH193+'TRIAL-BALANCE'!AH194,2)</f>
        <v>0</v>
      </c>
      <c r="K79" s="619">
        <f>+ROUND(+'TRIAL-BALANCE'!AD191+'TRIAL-BALANCE'!AD192+'TRIAL-BALANCE'!AD193+'TRIAL-BALANCE'!AD194,2)</f>
        <v>0</v>
      </c>
      <c r="L79" s="248"/>
      <c r="M79" s="618">
        <f t="shared" si="4"/>
        <v>57203.46</v>
      </c>
      <c r="N79" s="619">
        <f t="shared" si="5"/>
        <v>62164.89</v>
      </c>
      <c r="O79" s="152"/>
      <c r="P79" s="2089"/>
      <c r="Q79" s="2090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87" t="s">
        <v>425</v>
      </c>
      <c r="B80" s="340">
        <f t="shared" si="6"/>
        <v>527</v>
      </c>
      <c r="C80" s="233"/>
      <c r="D80" s="618">
        <f>+ROUND(+'TRIAL-BALANCE'!T128+'TRIAL-BALANCE'!T130-SUM('TRIAL-BALANCE'!S277:S278)+SUM('TRIAL-BALANCE'!T277:T278),2)</f>
        <v>116390.85</v>
      </c>
      <c r="E80" s="619">
        <f>+ROUND(+'TRIAL-BALANCE'!P128+'TRIAL-BALANCE'!P130-SUM('TRIAL-BALANCE'!O277:O278)+SUM('TRIAL-BALANCE'!P277:P278),2)</f>
        <v>102552.01</v>
      </c>
      <c r="F80" s="248"/>
      <c r="G80" s="618">
        <f>+ROUND(+'TRIAL-BALANCE'!AA128+'TRIAL-BALANCE'!AA130-SUM('TRIAL-BALANCE'!Z277:Z278)+SUM('TRIAL-BALANCE'!AA277:AA278),2)</f>
        <v>15363.93</v>
      </c>
      <c r="H80" s="619">
        <f>+ROUND(+'TRIAL-BALANCE'!W128+'TRIAL-BALANCE'!W130-SUM('TRIAL-BALANCE'!V277:V278)+SUM('TRIAL-BALANCE'!W277:W278),2)</f>
        <v>48299.79</v>
      </c>
      <c r="I80" s="248"/>
      <c r="J80" s="618">
        <f>+ROUND(+'TRIAL-BALANCE'!AH128+'TRIAL-BALANCE'!AH130-SUM('TRIAL-BALANCE'!AG277:AG278)+SUM('TRIAL-BALANCE'!AH277:AH278),2)</f>
        <v>0</v>
      </c>
      <c r="K80" s="619">
        <f>+ROUND(+'TRIAL-BALANCE'!AD128+'TRIAL-BALANCE'!AD130-SUM('TRIAL-BALANCE'!AC277:AC278)+SUM('TRIAL-BALANCE'!AD277:AD278),2)</f>
        <v>0</v>
      </c>
      <c r="L80" s="248"/>
      <c r="M80" s="618">
        <f t="shared" si="4"/>
        <v>131754.78</v>
      </c>
      <c r="N80" s="619">
        <f t="shared" si="5"/>
        <v>150851.79999999999</v>
      </c>
      <c r="O80" s="152"/>
      <c r="P80" s="2089"/>
      <c r="Q80" s="2090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87" t="s">
        <v>1048</v>
      </c>
      <c r="B81" s="340">
        <f t="shared" si="6"/>
        <v>528</v>
      </c>
      <c r="C81" s="233"/>
      <c r="D81" s="618">
        <f>+ROUND(+SUM('TRIAL-BALANCE'!T200:T207),2)</f>
        <v>230000</v>
      </c>
      <c r="E81" s="619">
        <f>+ROUND(+SUM('TRIAL-BALANCE'!P200:P207),2)</f>
        <v>20000</v>
      </c>
      <c r="F81" s="248"/>
      <c r="G81" s="618">
        <f>+ROUND(+SUM('TRIAL-BALANCE'!AA200:AA207),2)</f>
        <v>384085.25</v>
      </c>
      <c r="H81" s="619">
        <f>+ROUND(+SUM('TRIAL-BALANCE'!W200:W207),2)</f>
        <v>76497.42</v>
      </c>
      <c r="I81" s="248"/>
      <c r="J81" s="618">
        <f>+ROUND(+SUM('TRIAL-BALANCE'!AH200:AH207),2)</f>
        <v>0</v>
      </c>
      <c r="K81" s="619">
        <f>+ROUND(+SUM('TRIAL-BALANCE'!AD200:AD207),2)</f>
        <v>0</v>
      </c>
      <c r="L81" s="248"/>
      <c r="M81" s="618">
        <f>+ROUND(+D81+G81+J81,2)-ROUND(P81,2)</f>
        <v>614085.25</v>
      </c>
      <c r="N81" s="619">
        <f>+ROUND(+E81+H81+K81,2)-ROUND(Q81,2)</f>
        <v>96497.42</v>
      </c>
      <c r="O81" s="152"/>
      <c r="P81" s="2088">
        <f>+IF(+AND(Status!K4="ДА",+ROUND('Intra-Balances'!S34,2)=0,+ROUND('Intra-Balances'!S51,2)=ROUND('Intra-Balances'!S53,2)),+ROUND('Intra-Balances'!S53,2),0)</f>
        <v>0</v>
      </c>
      <c r="Q81" s="1212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36" t="s">
        <v>426</v>
      </c>
      <c r="B82" s="341">
        <f t="shared" si="6"/>
        <v>529</v>
      </c>
      <c r="C82" s="233"/>
      <c r="D82" s="628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-2021'!E88=0,+'Provisions-2021'!E55,0)+IF(+AND('Provisions-2021'!E90=0,+'Provisions-2021'!E66&lt;&gt;0),+'Provisions-2021'!E66,0),2)</f>
        <v>32812.17</v>
      </c>
      <c r="E82" s="629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-2021'!D88=0,+'Provisions-2021'!D55,0)+IF(+AND('Provisions-2021'!D90=0,+'Provisions-2021'!D66&lt;&gt;0),+'Provisions-2021'!D66,0),2)</f>
        <v>155974.57999999999</v>
      </c>
      <c r="F82" s="248"/>
      <c r="G82" s="628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-2021'!H88=0,+'Provisions-2021'!H55,0)+IF(+AND('Provisions-2021'!H90=0,+'Provisions-2021'!H66&lt;&gt;0),+'Provisions-2021'!H66,0),2)</f>
        <v>0</v>
      </c>
      <c r="H82" s="629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-2021'!G88=0,+'Provisions-2021'!G55,0)+IF(+AND('Provisions-2021'!G90=0,+'Provisions-2021'!G66&lt;&gt;0),+'Provisions-2021'!G66,0),2)</f>
        <v>0</v>
      </c>
      <c r="I82" s="248"/>
      <c r="J82" s="628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-2021'!K88=0,+'Provisions-2021'!K55,0)+IF(+AND('Provisions-2021'!K90=0,+'Provisions-2021'!K66&lt;&gt;0),+'Provisions-2021'!K66,0),2)</f>
        <v>615764.38</v>
      </c>
      <c r="K82" s="629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-2021'!J88=0,+'Provisions-2021'!J55,0)+IF(+AND('Provisions-2021'!J90=0,+'Provisions-2021'!J66&lt;&gt;0),+'Provisions-2021'!J66,0),2)</f>
        <v>613067.97</v>
      </c>
      <c r="L82" s="248"/>
      <c r="M82" s="628">
        <f>+ROUND(+D82+G82+J82,2)-ROUND(P82,2)</f>
        <v>648576.55000000005</v>
      </c>
      <c r="N82" s="629">
        <f>+ROUND(+E82+H82+K82,2)-ROUND(Q82,2)</f>
        <v>769042.55</v>
      </c>
      <c r="O82" s="152"/>
      <c r="P82" s="1210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211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1024</v>
      </c>
      <c r="B83" s="188">
        <v>520</v>
      </c>
      <c r="C83" s="233"/>
      <c r="D83" s="650">
        <f>+ROUND(SUM(D74:D82),2)</f>
        <v>446777.99</v>
      </c>
      <c r="E83" s="651">
        <f>+ROUND(SUM(E74:E82),2)</f>
        <v>397231.26</v>
      </c>
      <c r="F83" s="248"/>
      <c r="G83" s="650">
        <f>+ROUND(SUM(G74:G82),2)</f>
        <v>847885.92</v>
      </c>
      <c r="H83" s="651">
        <f>+ROUND(SUM(H74:H82),2)</f>
        <v>4477901.72</v>
      </c>
      <c r="I83" s="248"/>
      <c r="J83" s="650">
        <f>+ROUND(SUM(J74:J82),2)</f>
        <v>615764.38</v>
      </c>
      <c r="K83" s="651">
        <f>+ROUND(SUM(K74:K82),2)</f>
        <v>613067.97</v>
      </c>
      <c r="L83" s="248"/>
      <c r="M83" s="650">
        <f>+ROUND(SUM(M74:M82),2)</f>
        <v>1910428.29</v>
      </c>
      <c r="N83" s="651">
        <f>+ROUND(SUM(N74:N82),2)</f>
        <v>5488200.9500000002</v>
      </c>
      <c r="O83" s="152"/>
      <c r="P83" s="1216">
        <f>+ROUND(+SUM(P78:P82),2)</f>
        <v>0</v>
      </c>
      <c r="Q83" s="1217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86" t="s">
        <v>1014</v>
      </c>
      <c r="B84" s="187"/>
      <c r="C84" s="233"/>
      <c r="D84" s="310" t="str">
        <f>+IF(+OR(D85&lt;0,D86&lt;0),"НЕРАВНЕНИЕ !"," ")</f>
        <v xml:space="preserve"> </v>
      </c>
      <c r="E84" s="319" t="str">
        <f>+IF(+OR(E85&lt;0,E86&lt;0),"НЕРАВНЕНИЕ !"," ")</f>
        <v xml:space="preserve"> </v>
      </c>
      <c r="F84" s="248"/>
      <c r="G84" s="310" t="str">
        <f>+IF(+OR(G85&lt;0,G86&lt;0),"НЕРАВНЕНИЕ !"," ")</f>
        <v xml:space="preserve"> </v>
      </c>
      <c r="H84" s="319" t="str">
        <f>+IF(+OR(H85&lt;0,H86&lt;0),"НЕРАВНЕНИЕ !"," ")</f>
        <v xml:space="preserve"> </v>
      </c>
      <c r="I84" s="248"/>
      <c r="J84" s="310" t="str">
        <f>+IF(+OR(J85&lt;0,J86&lt;0),"НЕРАВНЕНИЕ !"," ")</f>
        <v xml:space="preserve"> </v>
      </c>
      <c r="K84" s="319" t="str">
        <f>+IF(+OR(K85&lt;0,K86&lt;0),"НЕРАВНЕНИЕ !"," ")</f>
        <v xml:space="preserve"> </v>
      </c>
      <c r="L84" s="248"/>
      <c r="M84" s="310" t="str">
        <f>+IF(+OR(M85&lt;0,M86&lt;0),"НЕРАВНЕНИЕ !"," ")</f>
        <v xml:space="preserve"> </v>
      </c>
      <c r="N84" s="319" t="str">
        <f>+IF(+OR(N85&lt;0,N86&lt;0),"НЕРАВНЕНИЕ !"," ")</f>
        <v xml:space="preserve"> </v>
      </c>
      <c r="O84" s="152"/>
      <c r="P84" s="1210" t="s">
        <v>1282</v>
      </c>
      <c r="Q84" s="1211" t="s">
        <v>1283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87" t="s">
        <v>427</v>
      </c>
      <c r="B85" s="340">
        <v>531</v>
      </c>
      <c r="C85" s="233"/>
      <c r="D85" s="618">
        <f>+ROUND(+'TRIAL-BALANCE'!T132+'TRIAL-BALANCE'!T266,2)</f>
        <v>0</v>
      </c>
      <c r="E85" s="619">
        <f>+ROUND(+'TRIAL-BALANCE'!P132+'TRIAL-BALANCE'!P266,2)</f>
        <v>262761.02</v>
      </c>
      <c r="F85" s="248"/>
      <c r="G85" s="618">
        <f>+ROUND(+'TRIAL-BALANCE'!AA132+'TRIAL-BALANCE'!AA266,2)</f>
        <v>0</v>
      </c>
      <c r="H85" s="619">
        <f>+ROUND(+'TRIAL-BALANCE'!W132+'TRIAL-BALANCE'!W266,2)</f>
        <v>0</v>
      </c>
      <c r="I85" s="248"/>
      <c r="J85" s="618">
        <f>+ROUND(+'TRIAL-BALANCE'!AH132+'TRIAL-BALANCE'!AH266,2)</f>
        <v>0</v>
      </c>
      <c r="K85" s="619">
        <f>+ROUND(+'TRIAL-BALANCE'!AD132+'TRIAL-BALANCE'!AD266,2)</f>
        <v>0</v>
      </c>
      <c r="L85" s="248"/>
      <c r="M85" s="618">
        <f>+ROUND(+D85+G85+J85,2)</f>
        <v>0</v>
      </c>
      <c r="N85" s="619">
        <f>+ROUND(+E85+H85+K85,2)</f>
        <v>262761.02</v>
      </c>
      <c r="O85" s="152"/>
      <c r="P85" s="1239" t="str">
        <f>+IF(+'Intra-Balances'!S2="O K","O K","ГРЕШКА - превишава КТ с/до")</f>
        <v>O K</v>
      </c>
      <c r="Q85" s="1239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88" t="s">
        <v>1013</v>
      </c>
      <c r="B86" s="341">
        <v>532</v>
      </c>
      <c r="C86" s="233"/>
      <c r="D86" s="628">
        <f>+ROUND(+SUM('TRIAL-BALANCE'!T267:T270)+'TRIAL-BALANCE'!T284,2)</f>
        <v>0</v>
      </c>
      <c r="E86" s="629">
        <f>+ROUND(+SUM('TRIAL-BALANCE'!P267:P270)+'TRIAL-BALANCE'!P284,2)</f>
        <v>8485</v>
      </c>
      <c r="F86" s="248"/>
      <c r="G86" s="628">
        <f>+ROUND(+SUM('TRIAL-BALANCE'!AA267:AA270)+'TRIAL-BALANCE'!AA284,2)</f>
        <v>0</v>
      </c>
      <c r="H86" s="629">
        <f>+ROUND(+SUM('TRIAL-BALANCE'!W267:W270)+'TRIAL-BALANCE'!W284,2)</f>
        <v>0</v>
      </c>
      <c r="I86" s="248"/>
      <c r="J86" s="628">
        <f>+ROUND(+SUM('TRIAL-BALANCE'!AH267:AH270)+'TRIAL-BALANCE'!AH284,2)</f>
        <v>0</v>
      </c>
      <c r="K86" s="629">
        <f>+ROUND(+SUM('TRIAL-BALANCE'!AD267:AD270)+'TRIAL-BALANCE'!AD284,2)</f>
        <v>0</v>
      </c>
      <c r="L86" s="248"/>
      <c r="M86" s="628">
        <f>+ROUND(+D86+G86+J86,2)</f>
        <v>0</v>
      </c>
      <c r="N86" s="629">
        <f>+ROUND(+E86+H86+K86,2)</f>
        <v>8485</v>
      </c>
      <c r="O86" s="152"/>
      <c r="P86" s="2542" t="str">
        <f>+IF(+AND(Status!K4="ДА",+ROUND('Intra-Balances'!S55,2)-ROUND('Intra-Balances'!S57,2)&lt;&gt;0),"сумите за елиминиране в 'Intra-Balances' не са равни!","O K")</f>
        <v>O K</v>
      </c>
      <c r="Q86" s="254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1026</v>
      </c>
      <c r="B87" s="186">
        <v>530</v>
      </c>
      <c r="C87" s="233"/>
      <c r="D87" s="624">
        <f>+ROUND(+D85+D86,2)</f>
        <v>0</v>
      </c>
      <c r="E87" s="625">
        <f>+ROUND(+E85+E86,2)</f>
        <v>271246.02</v>
      </c>
      <c r="F87" s="248"/>
      <c r="G87" s="624">
        <f>+ROUND(+G85+G86,2)</f>
        <v>0</v>
      </c>
      <c r="H87" s="625">
        <f>+ROUND(+H85+H86,2)</f>
        <v>0</v>
      </c>
      <c r="I87" s="248"/>
      <c r="J87" s="624">
        <f>+ROUND(+J85+J86,2)</f>
        <v>0</v>
      </c>
      <c r="K87" s="625">
        <f>+ROUND(+K85+K86,2)</f>
        <v>0</v>
      </c>
      <c r="L87" s="248"/>
      <c r="M87" s="624">
        <f>+ROUND(+M85+M86,2)</f>
        <v>0</v>
      </c>
      <c r="N87" s="625">
        <f>+ROUND(+N85+N86,2)</f>
        <v>271246.02</v>
      </c>
      <c r="O87" s="152"/>
      <c r="P87" s="2543" t="str">
        <f>+IF(+AND(Status!K4="ДА",+ROUND('Intra-Balances'!P55,2)-ROUND('Intra-Balances'!P57,2)&lt;&gt;0),"сумите за елиминиране в 'Intra-Balances' не са равни!","O K")</f>
        <v>O K</v>
      </c>
      <c r="Q87" s="2543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7"/>
      <c r="C88" s="233"/>
      <c r="D88" s="626"/>
      <c r="E88" s="627"/>
      <c r="F88" s="248"/>
      <c r="G88" s="626"/>
      <c r="H88" s="627"/>
      <c r="I88" s="248"/>
      <c r="J88" s="626"/>
      <c r="K88" s="627"/>
      <c r="L88" s="248"/>
      <c r="M88" s="626"/>
      <c r="N88" s="627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17" t="s">
        <v>1028</v>
      </c>
      <c r="B89" s="720">
        <v>500</v>
      </c>
      <c r="C89" s="233"/>
      <c r="D89" s="653">
        <f>+ROUND(+D72+D83+D87,2)</f>
        <v>446777.99</v>
      </c>
      <c r="E89" s="654">
        <f>+ROUND(+E72+E83+E87,2)</f>
        <v>668477.28</v>
      </c>
      <c r="F89" s="248"/>
      <c r="G89" s="655">
        <f>+ROUND(+G72+G83+G87,2)</f>
        <v>847885.92</v>
      </c>
      <c r="H89" s="656">
        <f>+ROUND(+H72+H83+H87,2)</f>
        <v>4477901.72</v>
      </c>
      <c r="I89" s="248"/>
      <c r="J89" s="653">
        <f>+ROUND(+J72+J83+J87,2)</f>
        <v>615764.38</v>
      </c>
      <c r="K89" s="654">
        <f>+ROUND(+K72+K83+K87,2)</f>
        <v>613067.97</v>
      </c>
      <c r="L89" s="248"/>
      <c r="M89" s="653">
        <f>+ROUND(+M72+M83+M87,2)</f>
        <v>1910428.29</v>
      </c>
      <c r="N89" s="656">
        <f>+ROUND(+N72+N83+N87,2)</f>
        <v>5759446.9699999997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7"/>
      <c r="C90" s="233"/>
      <c r="D90" s="626"/>
      <c r="E90" s="627"/>
      <c r="F90" s="248"/>
      <c r="G90" s="626"/>
      <c r="H90" s="627"/>
      <c r="I90" s="248"/>
      <c r="J90" s="626"/>
      <c r="K90" s="627"/>
      <c r="L90" s="248"/>
      <c r="M90" s="626"/>
      <c r="N90" s="627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64" t="s">
        <v>428</v>
      </c>
      <c r="B91" s="1465">
        <v>600</v>
      </c>
      <c r="C91" s="233"/>
      <c r="D91" s="1466">
        <f>ROUND(+D66+D89,2)</f>
        <v>16478901.720000001</v>
      </c>
      <c r="E91" s="1467">
        <f>ROUND(+E66+E89,2)</f>
        <v>16706034.93</v>
      </c>
      <c r="F91" s="248"/>
      <c r="G91" s="1466">
        <f>ROUND(+G66+G89,2)</f>
        <v>2362827.5499999998</v>
      </c>
      <c r="H91" s="1467">
        <f>ROUND(+H66+H89,2)</f>
        <v>2655968.96</v>
      </c>
      <c r="I91" s="248"/>
      <c r="J91" s="1466">
        <f>ROUND(+J66+J89,2)</f>
        <v>58106229.100000001</v>
      </c>
      <c r="K91" s="1467">
        <f>ROUND(+K66+K89,2)</f>
        <v>58837971.539999999</v>
      </c>
      <c r="L91" s="248"/>
      <c r="M91" s="1466">
        <f>ROUND(+M66+M89,2)</f>
        <v>76947958.370000005</v>
      </c>
      <c r="N91" s="1467">
        <f>ROUND(+N66+N89,2)</f>
        <v>78199975.430000007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 thickBot="1">
      <c r="A92" s="189" t="s">
        <v>429</v>
      </c>
      <c r="B92" s="190">
        <v>650</v>
      </c>
      <c r="C92" s="233"/>
      <c r="D92" s="632">
        <f>+ROUND(+SUM('TRIAL-BALANCE'!T835:T836)+'TRIAL-BALANCE'!T842+'TRIAL-BALANCE'!T843+'TRIAL-BALANCE'!T844+'TRIAL-BALANCE'!T845+'TRIAL-BALANCE'!T847+'TRIAL-BALANCE'!T848+'TRIAL-BALANCE'!T885+'TRIAL-BALANCE'!T886-'TRIAL-BALANCE'!T886,2)</f>
        <v>4240744.03</v>
      </c>
      <c r="E92" s="633">
        <f>+ROUND(+SUM('TRIAL-BALANCE'!P835:P836)+'TRIAL-BALANCE'!P842+'TRIAL-BALANCE'!P843+'TRIAL-BALANCE'!P844+'TRIAL-BALANCE'!P845+'TRIAL-BALANCE'!P847+'TRIAL-BALANCE'!P848+'TRIAL-BALANCE'!P885+'TRIAL-BALANCE'!P886-'TRIAL-BALANCE'!P886,2)</f>
        <v>1677221.68</v>
      </c>
      <c r="F92" s="248"/>
      <c r="G92" s="632">
        <f>+ROUND(+SUM('TRIAL-BALANCE'!AA835:AA836)+'TRIAL-BALANCE'!AA842+'TRIAL-BALANCE'!AA843+'TRIAL-BALANCE'!AA844+'TRIAL-BALANCE'!AA845+'TRIAL-BALANCE'!AA847+'TRIAL-BALANCE'!AA848+'TRIAL-BALANCE'!AA885+'TRIAL-BALANCE'!AA886-'TRIAL-BALANCE'!AA886,2)</f>
        <v>1512190.09</v>
      </c>
      <c r="H92" s="633">
        <f>+ROUND(+SUM('TRIAL-BALANCE'!W835:W836)+'TRIAL-BALANCE'!W842+'TRIAL-BALANCE'!W843+'TRIAL-BALANCE'!W844+'TRIAL-BALANCE'!W845+'TRIAL-BALANCE'!W847+'TRIAL-BALANCE'!W848+'TRIAL-BALANCE'!W885+'TRIAL-BALANCE'!W886-'TRIAL-BALANCE'!W886,2)</f>
        <v>5456930.8200000003</v>
      </c>
      <c r="I92" s="248"/>
      <c r="J92" s="632">
        <f>+ROUND(+SUM('TRIAL-BALANCE'!AH835:AH836)+'TRIAL-BALANCE'!AH842+'TRIAL-BALANCE'!AH843+'TRIAL-BALANCE'!AH844+'TRIAL-BALANCE'!AH845+'TRIAL-BALANCE'!AH847+'TRIAL-BALANCE'!AH848+'TRIAL-BALANCE'!AH885+'TRIAL-BALANCE'!AH886-'TRIAL-BALANCE'!AH886,2)</f>
        <v>0</v>
      </c>
      <c r="K92" s="633">
        <f>+ROUND(+SUM('TRIAL-BALANCE'!AD835:AD836)+'TRIAL-BALANCE'!AD842+'TRIAL-BALANCE'!AD843+'TRIAL-BALANCE'!AD844+'TRIAL-BALANCE'!AD845+'TRIAL-BALANCE'!AD847+'TRIAL-BALANCE'!AD848+'TRIAL-BALANCE'!AD885+'TRIAL-BALANCE'!AD886-'TRIAL-BALANCE'!AD886,2)</f>
        <v>0</v>
      </c>
      <c r="L92" s="248"/>
      <c r="M92" s="632">
        <f>+ROUND(+D92+G92+J92,2)</f>
        <v>5752934.1200000001</v>
      </c>
      <c r="N92" s="633">
        <f>+ROUND(+E92+H92+K92,2)</f>
        <v>7134152.5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6.5" thickTop="1">
      <c r="A93" s="238"/>
      <c r="B93" s="237"/>
      <c r="C93" s="233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233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233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233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79"/>
      <c r="B94" s="240"/>
      <c r="C94" s="233"/>
      <c r="D94" s="236"/>
      <c r="E94" s="236"/>
      <c r="F94" s="233"/>
      <c r="G94" s="242"/>
      <c r="H94" s="241"/>
      <c r="I94" s="233"/>
      <c r="J94" s="236"/>
      <c r="K94" s="242"/>
      <c r="L94" s="233"/>
      <c r="M94" s="236"/>
      <c r="N94" s="24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6"/>
      <c r="B95" s="236"/>
      <c r="C95" s="236"/>
      <c r="D95" s="236"/>
      <c r="E95" s="236"/>
      <c r="F95" s="233"/>
      <c r="G95" s="242"/>
      <c r="H95" s="243"/>
      <c r="I95" s="233"/>
      <c r="J95" s="244"/>
      <c r="K95" s="242"/>
      <c r="L95" s="233"/>
      <c r="M95" s="244"/>
      <c r="N95" s="24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80"/>
      <c r="B96" s="2040" t="s">
        <v>1979</v>
      </c>
      <c r="C96" s="233"/>
      <c r="D96" s="2035">
        <f>+'TRIAL-BALANCE'!K10</f>
        <v>0</v>
      </c>
      <c r="E96" s="2180" t="s">
        <v>1975</v>
      </c>
      <c r="F96" s="233"/>
      <c r="G96" s="242"/>
      <c r="H96" s="2129"/>
      <c r="I96" s="2130"/>
      <c r="J96" s="2131" t="s">
        <v>1977</v>
      </c>
      <c r="K96" s="236"/>
      <c r="L96" s="233"/>
      <c r="M96" s="245"/>
      <c r="N96" s="246"/>
      <c r="O96" s="152"/>
      <c r="P96" s="152"/>
      <c r="Q96" s="1903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9"/>
      <c r="B97" s="2180"/>
      <c r="C97" s="233"/>
      <c r="D97" s="2014"/>
      <c r="E97" s="2180"/>
      <c r="F97" s="233"/>
      <c r="G97" s="242"/>
      <c r="H97" s="2562">
        <f>+'Provisions-2021'!H73:J73</f>
        <v>0</v>
      </c>
      <c r="I97" s="2562"/>
      <c r="J97" s="2562"/>
      <c r="K97" s="236"/>
      <c r="L97" s="236"/>
      <c r="M97" s="2562">
        <f>+'Provisions-2021'!M73:N73</f>
        <v>0</v>
      </c>
      <c r="N97" s="2562"/>
      <c r="O97" s="152"/>
      <c r="P97" s="152"/>
      <c r="Q97" s="1903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42"/>
      <c r="B98" s="236"/>
      <c r="C98" s="233"/>
      <c r="D98" s="2014"/>
      <c r="E98" s="236"/>
      <c r="F98" s="233"/>
      <c r="G98" s="236"/>
      <c r="H98" s="2014"/>
      <c r="I98" s="233"/>
      <c r="J98" s="236"/>
      <c r="K98" s="236"/>
      <c r="L98" s="236"/>
      <c r="M98" s="236"/>
      <c r="N98" s="236"/>
      <c r="O98" s="152"/>
      <c r="P98" s="152"/>
      <c r="Q98" s="1903" t="s">
        <v>1875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6.5" thickBot="1">
      <c r="A99" s="152"/>
      <c r="B99" s="152"/>
      <c r="C99" s="198"/>
      <c r="D99" s="152"/>
      <c r="E99" s="152"/>
      <c r="F99" s="198"/>
      <c r="G99" s="152"/>
      <c r="H99" s="152"/>
      <c r="I99" s="152"/>
      <c r="J99" s="152"/>
      <c r="K99" s="152"/>
      <c r="L99" s="198"/>
      <c r="M99" s="152"/>
      <c r="N99" s="152"/>
      <c r="O99" s="152"/>
      <c r="P99" s="1249" t="s">
        <v>1197</v>
      </c>
      <c r="Q99" s="1250"/>
      <c r="R99" s="152"/>
      <c r="S99" s="152"/>
      <c r="T99" s="152"/>
      <c r="U99" s="198"/>
      <c r="V99" s="152"/>
      <c r="W99" s="152"/>
      <c r="X99" s="152"/>
      <c r="Y99" s="152"/>
      <c r="Z99" s="152"/>
    </row>
    <row r="100" spans="1:26" ht="16.5" thickBot="1">
      <c r="A100" s="1478" t="s">
        <v>1202</v>
      </c>
      <c r="B100" s="1474"/>
      <c r="C100" s="198"/>
      <c r="D100" s="314" t="str">
        <f>+IF(D54=+D91,"O K","НЕРАВНЕНИЕ !")</f>
        <v>O K</v>
      </c>
      <c r="E100" s="1962" t="str">
        <f>+IF(E54=+E91,"O K","НЕРАВНЕНИЕ !")</f>
        <v>O K</v>
      </c>
      <c r="F100" s="198"/>
      <c r="G100" s="1233" t="str">
        <f>+IF(G54=+G91,"O K","НЕРАВНЕНИЕ !")</f>
        <v>O K</v>
      </c>
      <c r="H100" s="1963" t="str">
        <f>+IF(H54=+H91,"O K","НЕРАВНЕНИЕ !")</f>
        <v>O K</v>
      </c>
      <c r="I100" s="1234"/>
      <c r="J100" s="1235" t="str">
        <f>+IF(J54=+J91,"O K","НЕРАВНЕНИЕ !")</f>
        <v>O K</v>
      </c>
      <c r="K100" s="1964" t="str">
        <f>+IF(K54=+K91,"O K","НЕРАВНЕНИЕ !")</f>
        <v>O K</v>
      </c>
      <c r="L100" s="253"/>
      <c r="M100" s="1236" t="str">
        <f>+IF(M54=+M91,"O K","НЕРАВНЕНИЕ !")</f>
        <v>O K</v>
      </c>
      <c r="N100" s="1965" t="str">
        <f>+IF(N54=+N91,"O K","НЕРАВНЕНИЕ !")</f>
        <v>O K</v>
      </c>
      <c r="O100" s="1234"/>
      <c r="P100" s="1237" t="str">
        <f>+IF(ROUND(+P46,2)=+ROUND(P83-P65-P64,2),"O K","НЕРАВНЕНИЕ !")</f>
        <v>O K</v>
      </c>
      <c r="Q100" s="1237" t="str">
        <f>+IF(ROUND(+Q46,2)=+ROUND(Q83-Q65-Q64,2),"O K","НЕРАВНЕНИЕ !")</f>
        <v>O K</v>
      </c>
      <c r="R100" s="152"/>
      <c r="S100" s="152"/>
      <c r="T100" s="152"/>
      <c r="U100" s="198"/>
      <c r="V100" s="152"/>
      <c r="W100" s="152"/>
      <c r="X100" s="152"/>
      <c r="Y100" s="152"/>
      <c r="Z100" s="152"/>
    </row>
    <row r="101" spans="1:26" ht="16.5" thickBot="1">
      <c r="A101" s="1475" t="s">
        <v>1203</v>
      </c>
      <c r="B101" s="1476"/>
      <c r="C101" s="198"/>
      <c r="D101" s="314" t="str">
        <f>+IF(+SUM(+D55+'TRIAL-BALANCE'!S887+SUM('TRIAL-BALANCE'!S859:S867)+SUM('TRIAL-BALANCE'!S849:S857)+SUM('TRIAL-BALANCE'!S876:S883))=+SUM(+D92+'TRIAL-BALANCE'!T886+SUM('TRIAL-BALANCE'!T868:T875)+SUM('TRIAL-BALANCE'!T849:T857)+SUM('TRIAL-BALANCE'!T876:T883)),"O K","НЕРАВНЕНИЕ !")</f>
        <v>O K</v>
      </c>
      <c r="E101" s="1962" t="str">
        <f>+IF(+SUM(+E55+'TRIAL-BALANCE'!O887+SUM('TRIAL-BALANCE'!O859:O867)+SUM('TRIAL-BALANCE'!O849:O857)+SUM('TRIAL-BALANCE'!O876:O883))=+SUM(+E92+'TRIAL-BALANCE'!P886+SUM('TRIAL-BALANCE'!P868:P875)+SUM('TRIAL-BALANCE'!P849:P857)+SUM('TRIAL-BALANCE'!P876:P883)),"O K","НЕРАВНЕНИЕ !")</f>
        <v>O K</v>
      </c>
      <c r="F101" s="198"/>
      <c r="G101" s="1233" t="str">
        <f>+IF(+SUM(+G55+'TRIAL-BALANCE'!Z887+SUM('TRIAL-BALANCE'!Z859:Z867)+SUM('TRIAL-BALANCE'!Z849:Z857)+SUM('TRIAL-BALANCE'!Z876:Z883))=+SUM(+G92+'TRIAL-BALANCE'!AA886+SUM('TRIAL-BALANCE'!AA868:AA875)+SUM('TRIAL-BALANCE'!AA849:AA857)+SUM('TRIAL-BALANCE'!AA876:AA883)),"O K","НЕРАВНЕНИЕ !")</f>
        <v>O K</v>
      </c>
      <c r="H101" s="1963" t="str">
        <f>+IF(+SUM(+H55+'TRIAL-BALANCE'!V887+SUM('TRIAL-BALANCE'!V859:V867)+SUM('TRIAL-BALANCE'!V849:V857)+SUM('TRIAL-BALANCE'!V876:V883))=+SUM(+H92+'TRIAL-BALANCE'!W886+SUM('TRIAL-BALANCE'!W868:W875)+SUM('TRIAL-BALANCE'!W849:W857)+SUM('TRIAL-BALANCE'!W876:W883)),"O K","НЕРАВНЕНИЕ !")</f>
        <v>O K</v>
      </c>
      <c r="I101" s="1234"/>
      <c r="J101" s="1235" t="str">
        <f>+IF(+SUM(+J55+'TRIAL-BALANCE'!AG887+SUM('TRIAL-BALANCE'!AG859:AG867)+SUM('TRIAL-BALANCE'!AG849:AG857)+SUM('TRIAL-BALANCE'!AG876:AG883))=+SUM(+J92+'TRIAL-BALANCE'!AH886+SUM('TRIAL-BALANCE'!AH868:AH875)+SUM('TRIAL-BALANCE'!AH849:AH857)+SUM('TRIAL-BALANCE'!AH876:AH883)),"O K","НЕРАВНЕНИЕ !")</f>
        <v>O K</v>
      </c>
      <c r="K101" s="1964" t="str">
        <f>+IF(+SUM(K55+'TRIAL-BALANCE'!AC887+SUM('TRIAL-BALANCE'!AC859:AC867)+SUM('TRIAL-BALANCE'!AC849:AC857)+SUM('TRIAL-BALANCE'!AC876:AC883))=+SUM(+K92+'TRIAL-BALANCE'!AD886+SUM('TRIAL-BALANCE'!AD868:AD875)+SUM('TRIAL-BALANCE'!AD849:AD857)+SUM('TRIAL-BALANCE'!AD876:AD883)),"O K","НЕРАВНЕНИЕ !")</f>
        <v>O K</v>
      </c>
      <c r="L101" s="253"/>
      <c r="M101" s="1238" t="str">
        <f>+IF(+SUM(+M55+'TRIAL-BALANCE'!AO887+SUM('TRIAL-BALANCE'!AO859:AO867)+SUM('TRIAL-BALANCE'!AO849:AO857)+SUM('TRIAL-BALANCE'!AO876:AO883))=+SUM(+M92+'TRIAL-BALANCE'!AP886+SUM('TRIAL-BALANCE'!AP868:AP875)+SUM('TRIAL-BALANCE'!AP849:AP857)+SUM('TRIAL-BALANCE'!AP876:AP883)),"O K","НЕРАВНЕНИЕ !")</f>
        <v>O K</v>
      </c>
      <c r="N101" s="1965" t="str">
        <f>+IF(+SUM(N55+'TRIAL-BALANCE'!AK887+SUM('TRIAL-BALANCE'!AK859:AK867)+SUM('TRIAL-BALANCE'!AK849:AK857)+SUM('TRIAL-BALANCE'!AK876:AK883))=+SUM(+N92+'TRIAL-BALANCE'!AL886+SUM('TRIAL-BALANCE'!AL868:AL875)+SUM('TRIAL-BALANCE'!AL849:AL857)+SUM('TRIAL-BALANCE'!AL876:AL883)),"O K","НЕРАВНЕНИЕ !")</f>
        <v>O K</v>
      </c>
      <c r="O101" s="1234"/>
      <c r="P101" s="1237">
        <f>+ROUND(+P46-(P83-P65-P64),2)</f>
        <v>0</v>
      </c>
      <c r="Q101" s="1237">
        <f>+ROUND(+Q46-(Q83-Q64-Q65),2)</f>
        <v>0</v>
      </c>
      <c r="R101" s="152"/>
      <c r="S101" s="152"/>
      <c r="T101" s="152"/>
      <c r="U101" s="198"/>
      <c r="V101" s="152"/>
      <c r="W101" s="152"/>
      <c r="X101" s="152"/>
      <c r="Y101" s="152"/>
      <c r="Z101" s="152"/>
    </row>
    <row r="102" spans="1:26" ht="16.5" thickBot="1">
      <c r="A102" s="152"/>
      <c r="B102" s="152"/>
      <c r="C102" s="198"/>
      <c r="D102" s="152"/>
      <c r="E102" s="152"/>
      <c r="F102" s="198"/>
      <c r="G102" s="1234"/>
      <c r="H102" s="1234"/>
      <c r="I102" s="1234"/>
      <c r="J102" s="1234"/>
      <c r="K102" s="1234"/>
      <c r="L102" s="253"/>
      <c r="M102" s="1234"/>
      <c r="N102" s="1234"/>
      <c r="O102" s="1234"/>
      <c r="P102" s="1705" t="s">
        <v>1870</v>
      </c>
      <c r="Q102" s="1706"/>
      <c r="R102" s="152"/>
      <c r="S102" s="152"/>
      <c r="T102" s="152"/>
      <c r="U102" s="198"/>
      <c r="V102" s="152"/>
      <c r="W102" s="152"/>
      <c r="X102" s="152"/>
      <c r="Y102" s="152"/>
      <c r="Z102" s="152"/>
    </row>
    <row r="103" spans="1:26" ht="16.5" thickBot="1">
      <c r="A103" s="1478" t="s">
        <v>1198</v>
      </c>
      <c r="B103" s="1474"/>
      <c r="C103" s="198"/>
      <c r="D103" s="314">
        <f>+ROUND(+D54-D91,2)</f>
        <v>0</v>
      </c>
      <c r="E103" s="1962">
        <f>+ROUND(+E54-E91,2)</f>
        <v>0</v>
      </c>
      <c r="F103" s="198"/>
      <c r="G103" s="1233">
        <f>+ROUND(+G54-G91,2)</f>
        <v>0</v>
      </c>
      <c r="H103" s="1963">
        <f>+ROUND(+H54-H91,2)</f>
        <v>0</v>
      </c>
      <c r="I103" s="1234"/>
      <c r="J103" s="1235">
        <f>+ROUND(+J54-J91,2)</f>
        <v>0</v>
      </c>
      <c r="K103" s="1964">
        <f>+ROUND(+K54-K91,2)</f>
        <v>0</v>
      </c>
      <c r="L103" s="253"/>
      <c r="M103" s="1236">
        <f>+ROUND(+M54-M91,2)</f>
        <v>0</v>
      </c>
      <c r="N103" s="1965">
        <f>+ROUND(+N54-N91,2)</f>
        <v>0</v>
      </c>
      <c r="O103" s="1234"/>
      <c r="P103" s="1707" t="s">
        <v>2148</v>
      </c>
      <c r="Q103" s="1708"/>
      <c r="R103" s="152"/>
      <c r="S103" s="152"/>
      <c r="T103" s="152"/>
      <c r="U103" s="198"/>
      <c r="V103" s="152"/>
      <c r="W103" s="152"/>
      <c r="X103" s="152"/>
      <c r="Y103" s="152"/>
      <c r="Z103" s="152"/>
    </row>
    <row r="104" spans="1:26" ht="16.5" thickBot="1">
      <c r="A104" s="1477" t="s">
        <v>373</v>
      </c>
      <c r="B104" s="1476"/>
      <c r="C104" s="198"/>
      <c r="D104" s="314">
        <f>+ROUND(+D55+'TRIAL-BALANCE'!S887+SUM('TRIAL-BALANCE'!S859:S867)+SUM('TRIAL-BALANCE'!S849:S857)++SUM('TRIAL-BALANCE'!S876:S883)-D92-'TRIAL-BALANCE'!T886-SUM('TRIAL-BALANCE'!T868:T875)-SUM('TRIAL-BALANCE'!T849:T857)-+SUM('TRIAL-BALANCE'!T876:T883),2)</f>
        <v>0</v>
      </c>
      <c r="E104" s="1962">
        <f>+ROUND(+E55+'TRIAL-BALANCE'!O887+SUM('TRIAL-BALANCE'!O859:O867)+SUM('TRIAL-BALANCE'!O849:O857)+SUM('TRIAL-BALANCE'!O876:O883)-E92-'TRIAL-BALANCE'!P886-SUM('TRIAL-BALANCE'!P868:P875)-SUM('TRIAL-BALANCE'!P849:P857)-SUM('TRIAL-BALANCE'!P876:P883),2)</f>
        <v>0</v>
      </c>
      <c r="F104" s="198"/>
      <c r="G104" s="1233">
        <f>+ROUND(+G55+'TRIAL-BALANCE'!Z887+SUM('TRIAL-BALANCE'!Z859:Z867)+SUM('TRIAL-BALANCE'!Z849:Z857)+SUM('TRIAL-BALANCE'!Z876:Z883)-G92-'TRIAL-BALANCE'!AA886-SUM('TRIAL-BALANCE'!AA868:AA875)-SUM('TRIAL-BALANCE'!AA849:AA857)-SUM('TRIAL-BALANCE'!AA876:AA883),2)</f>
        <v>0</v>
      </c>
      <c r="H104" s="1963">
        <f>+ROUND(+H55+'TRIAL-BALANCE'!V887+SUM('TRIAL-BALANCE'!V859:V867)+SUM('TRIAL-BALANCE'!V849:V857)+SUM('TRIAL-BALANCE'!V876:V883)-H92-'TRIAL-BALANCE'!W886-SUM('TRIAL-BALANCE'!W868:W875)-SUM('TRIAL-BALANCE'!W849:W857)-SUM('TRIAL-BALANCE'!W876:W883),2)</f>
        <v>0</v>
      </c>
      <c r="I104" s="1234"/>
      <c r="J104" s="1235">
        <f>+ROUND(+J55+'TRIAL-BALANCE'!AG887+SUM('TRIAL-BALANCE'!AG859:AG867)+SUM('TRIAL-BALANCE'!AG849:AG857)+SUM('TRIAL-BALANCE'!AG876:AG883)-J92-'TRIAL-BALANCE'!AH886-SUM('TRIAL-BALANCE'!AH868:AH875)-SUM('TRIAL-BALANCE'!AH849:AH857)-SUM('TRIAL-BALANCE'!AH876:AH883),2)</f>
        <v>0</v>
      </c>
      <c r="K104" s="1964">
        <f>+ROUND(+K55+'TRIAL-BALANCE'!AC887+SUM('TRIAL-BALANCE'!AC859:AC867)+SUM('TRIAL-BALANCE'!AC849:AC857)+SUM('TRIAL-BALANCE'!AC876:AC883)-K92-'TRIAL-BALANCE'!AD886-SUM('TRIAL-BALANCE'!AD868:AD875)-SUM('TRIAL-BALANCE'!AD849:AD857)-SUM('TRIAL-BALANCE'!AD876:AD883),2)</f>
        <v>0</v>
      </c>
      <c r="L104" s="253"/>
      <c r="M104" s="1236">
        <f>+ROUND(+D104+G104+J104,2)</f>
        <v>0</v>
      </c>
      <c r="N104" s="1965">
        <f>+ROUND(+E104+H104+K104,2)</f>
        <v>0</v>
      </c>
      <c r="O104" s="1234"/>
      <c r="P104" s="1908" t="s">
        <v>1878</v>
      </c>
      <c r="Q104" s="1907" t="str">
        <f>+Q35</f>
        <v xml:space="preserve">'Intra-Balances' </v>
      </c>
      <c r="R104" s="152"/>
      <c r="S104" s="152"/>
      <c r="T104" s="152"/>
      <c r="U104" s="198"/>
      <c r="V104" s="152"/>
      <c r="W104" s="152"/>
      <c r="X104" s="152"/>
      <c r="Y104" s="152"/>
      <c r="Z104" s="152"/>
    </row>
    <row r="105" spans="1:26" ht="15.75">
      <c r="A105" s="152"/>
      <c r="B105" s="152"/>
      <c r="C105" s="198"/>
      <c r="D105" s="152"/>
      <c r="E105" s="152"/>
      <c r="F105" s="198"/>
      <c r="G105" s="152"/>
      <c r="H105" s="152"/>
      <c r="I105" s="198"/>
      <c r="J105" s="152"/>
      <c r="K105" s="152"/>
      <c r="L105" s="198"/>
      <c r="M105" s="152"/>
      <c r="N105" s="152"/>
      <c r="O105" s="152"/>
      <c r="P105" s="1710" t="s">
        <v>1879</v>
      </c>
      <c r="Q105" s="1909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8"/>
      <c r="D106" s="152"/>
      <c r="E106" s="152"/>
      <c r="F106" s="198"/>
      <c r="G106" s="152"/>
      <c r="H106" s="152"/>
      <c r="I106" s="198"/>
      <c r="J106" s="152"/>
      <c r="K106" s="152"/>
      <c r="L106" s="198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4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4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43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 objects="1" scenarios="1"/>
  <mergeCells count="25">
    <mergeCell ref="M97:N97"/>
    <mergeCell ref="K3:N3"/>
    <mergeCell ref="G3:H3"/>
    <mergeCell ref="A2:D2"/>
    <mergeCell ref="H97:J97"/>
    <mergeCell ref="D6:E6"/>
    <mergeCell ref="G6:H6"/>
    <mergeCell ref="J2:K2"/>
    <mergeCell ref="M2:N2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P66:Q66"/>
    <mergeCell ref="P67:Q67"/>
    <mergeCell ref="P87:Q87"/>
    <mergeCell ref="P86:Q86"/>
    <mergeCell ref="P49:Q49"/>
    <mergeCell ref="P50:Q50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0" priority="69" stopIfTrue="1" operator="lessThan">
      <formula>0</formula>
    </cfRule>
  </conditionalFormatting>
  <conditionalFormatting sqref="D93:E93 E62 H62 K62 N62 D12:E12 D23:E23 D30:E30 D35:E35 D39:E39 D47:E47 D56:E56 D68:E68 D73:E73 D84:E84 D100:E101 G100:H101 G12:H12 G23:H23 G30:H30 G35:H35 G39:H39 G47:H47 G56:H56 G68:H68 G73:H73 G84:H84 G93:H93 J100:K101 J56:K56 J68:K68 J73:K73 J84:K84 J39:K39 J23:K23 J30:K30 J35:K35 J12:K12 J47:K47 J93:K93 M56:N56 M12:N12 M23:N23 M30:N30 M35:N35 M39:N39 M47:N47 M100:N101 M84:N84 M93:N93 M68:N68 M73:N73">
    <cfRule type="cellIs" dxfId="1349" priority="70" stopIfTrue="1" operator="equal">
      <formula>"НЕРАВНЕНИЕ !"</formula>
    </cfRule>
  </conditionalFormatting>
  <conditionalFormatting sqref="D103:E104 G103:H104 J103:K104 M103:N104">
    <cfRule type="cellIs" dxfId="1348" priority="71" stopIfTrue="1" operator="notEqual">
      <formula>0</formula>
    </cfRule>
  </conditionalFormatting>
  <conditionalFormatting sqref="M5">
    <cfRule type="cellIs" dxfId="1347" priority="72" stopIfTrue="1" operator="equal">
      <formula>0</formula>
    </cfRule>
  </conditionalFormatting>
  <conditionalFormatting sqref="A1:D1 G1:H1 G3:H3 K1">
    <cfRule type="cellIs" dxfId="1346" priority="73" stopIfTrue="1" operator="equal">
      <formula>0</formula>
    </cfRule>
  </conditionalFormatting>
  <conditionalFormatting sqref="P48:Q48">
    <cfRule type="cellIs" dxfId="1345" priority="50" stopIfTrue="1" operator="notEqual">
      <formula>"O K"</formula>
    </cfRule>
  </conditionalFormatting>
  <conditionalFormatting sqref="P85:Q85">
    <cfRule type="cellIs" dxfId="1344" priority="46" stopIfTrue="1" operator="notEqual">
      <formula>"O K"</formula>
    </cfRule>
  </conditionalFormatting>
  <conditionalFormatting sqref="K3">
    <cfRule type="cellIs" dxfId="1343" priority="42" stopIfTrue="1" operator="equal">
      <formula>0</formula>
    </cfRule>
  </conditionalFormatting>
  <conditionalFormatting sqref="N1">
    <cfRule type="cellIs" dxfId="1342" priority="41" stopIfTrue="1" operator="equal">
      <formula>0</formula>
    </cfRule>
  </conditionalFormatting>
  <conditionalFormatting sqref="P66">
    <cfRule type="cellIs" dxfId="1341" priority="32" stopIfTrue="1" operator="notEqual">
      <formula>"O K"</formula>
    </cfRule>
  </conditionalFormatting>
  <conditionalFormatting sqref="P67">
    <cfRule type="cellIs" dxfId="1340" priority="31" stopIfTrue="1" operator="notEqual">
      <formula>"O K"</formula>
    </cfRule>
  </conditionalFormatting>
  <conditionalFormatting sqref="P66:Q67">
    <cfRule type="cellIs" dxfId="1339" priority="30" stopIfTrue="1" operator="equal">
      <formula>"O K"</formula>
    </cfRule>
  </conditionalFormatting>
  <conditionalFormatting sqref="P87">
    <cfRule type="cellIs" dxfId="1338" priority="29" stopIfTrue="1" operator="notEqual">
      <formula>"O K"</formula>
    </cfRule>
  </conditionalFormatting>
  <conditionalFormatting sqref="P87:Q87">
    <cfRule type="cellIs" dxfId="1337" priority="28" stopIfTrue="1" operator="equal">
      <formula>"O K"</formula>
    </cfRule>
  </conditionalFormatting>
  <conditionalFormatting sqref="P86">
    <cfRule type="cellIs" dxfId="1336" priority="27" stopIfTrue="1" operator="notEqual">
      <formula>"O K"</formula>
    </cfRule>
  </conditionalFormatting>
  <conditionalFormatting sqref="P86:Q86">
    <cfRule type="cellIs" dxfId="1335" priority="26" stopIfTrue="1" operator="equal">
      <formula>"O K"</formula>
    </cfRule>
  </conditionalFormatting>
  <conditionalFormatting sqref="P50">
    <cfRule type="cellIs" dxfId="1334" priority="25" stopIfTrue="1" operator="notEqual">
      <formula>"O K"</formula>
    </cfRule>
  </conditionalFormatting>
  <conditionalFormatting sqref="P50:Q50">
    <cfRule type="cellIs" dxfId="1333" priority="24" stopIfTrue="1" operator="equal">
      <formula>"O K"</formula>
    </cfRule>
  </conditionalFormatting>
  <conditionalFormatting sqref="P49">
    <cfRule type="cellIs" dxfId="1332" priority="23" stopIfTrue="1" operator="notEqual">
      <formula>"O K"</formula>
    </cfRule>
  </conditionalFormatting>
  <conditionalFormatting sqref="P49:Q49">
    <cfRule type="cellIs" dxfId="1331" priority="22" stopIfTrue="1" operator="equal">
      <formula>"O K"</formula>
    </cfRule>
  </conditionalFormatting>
  <conditionalFormatting sqref="A9">
    <cfRule type="cellIs" dxfId="1330" priority="16" operator="equal">
      <formula>"Непопълнен ред в таблица 'Cash-deficit'!"</formula>
    </cfRule>
  </conditionalFormatting>
  <conditionalFormatting sqref="A60">
    <cfRule type="cellIs" dxfId="1329" priority="15" operator="equal">
      <formula>"Непопълнен ред в таблица 'Cash-deficit'!"</formula>
    </cfRule>
  </conditionalFormatting>
  <conditionalFormatting sqref="A3:D3">
    <cfRule type="cellIs" dxfId="1328" priority="14" stopIfTrue="1" operator="equal">
      <formula>0</formula>
    </cfRule>
  </conditionalFormatting>
  <conditionalFormatting sqref="E2:H2">
    <cfRule type="cellIs" dxfId="1327" priority="10" operator="equal">
      <formula>"отчетено НЕРАВНЕНИЕ в таблица 'Status'!"</formula>
    </cfRule>
    <cfRule type="cellIs" dxfId="1326" priority="11" operator="equal">
      <formula>0</formula>
    </cfRule>
  </conditionalFormatting>
  <conditionalFormatting sqref="D6:E6">
    <cfRule type="cellIs" dxfId="1325" priority="9" operator="notEqual">
      <formula>0</formula>
    </cfRule>
  </conditionalFormatting>
  <conditionalFormatting sqref="G6:H6">
    <cfRule type="cellIs" dxfId="1324" priority="8" operator="notEqual">
      <formula>0</formula>
    </cfRule>
  </conditionalFormatting>
  <conditionalFormatting sqref="J2:K2">
    <cfRule type="cellIs" dxfId="1323" priority="7" operator="notEqual">
      <formula>0</formula>
    </cfRule>
  </conditionalFormatting>
  <conditionalFormatting sqref="M2:N2">
    <cfRule type="cellIs" dxfId="1322" priority="6" operator="notEqual">
      <formula>0</formula>
    </cfRule>
  </conditionalFormatting>
  <conditionalFormatting sqref="P100">
    <cfRule type="cellIs" dxfId="1321" priority="5" stopIfTrue="1" operator="equal">
      <formula>"НЕРАВНЕНИЕ !"</formula>
    </cfRule>
  </conditionalFormatting>
  <conditionalFormatting sqref="P101">
    <cfRule type="cellIs" dxfId="1320" priority="4" stopIfTrue="1" operator="notEqual">
      <formula>0</formula>
    </cfRule>
  </conditionalFormatting>
  <conditionalFormatting sqref="Q101">
    <cfRule type="cellIs" dxfId="1319" priority="3" stopIfTrue="1" operator="notEqual">
      <formula>0</formula>
    </cfRule>
  </conditionalFormatting>
  <conditionalFormatting sqref="Q100">
    <cfRule type="cellIs" dxfId="1318" priority="2" stopIfTrue="1" operator="equal">
      <formula>"НЕРАВНЕНИЕ !"</formula>
    </cfRule>
  </conditionalFormatting>
  <conditionalFormatting sqref="M62">
    <cfRule type="cellIs" dxfId="1317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Provisions-2021</vt:lpstr>
      <vt:lpstr>Intra-Balances</vt:lpstr>
      <vt:lpstr>Municipal-Bal</vt:lpstr>
      <vt:lpstr>R &amp; E data-2020</vt:lpstr>
      <vt:lpstr>BALANCE-SHEET-2021-leva</vt:lpstr>
      <vt:lpstr>BALANCE-SHEET-2021</vt:lpstr>
      <vt:lpstr>Income-2021-leva</vt:lpstr>
      <vt:lpstr>Income-2021</vt:lpstr>
      <vt:lpstr>Rounding</vt:lpstr>
      <vt:lpstr>NF-KSF-TRIAL-BAL-2021</vt:lpstr>
      <vt:lpstr>RA-TRIAL-BAL-2021</vt:lpstr>
      <vt:lpstr>DES-TRIAL-BAL-2021</vt:lpstr>
      <vt:lpstr>DMP-TRIAL-BAL-2021</vt:lpstr>
      <vt:lpstr>Local-&amp;-SSF</vt:lpstr>
      <vt:lpstr>'BALANCE-SHEET-2021'!Област_печат</vt:lpstr>
      <vt:lpstr>'BALANCE-SHEET-2021-leva'!Област_печат</vt:lpstr>
      <vt:lpstr>'Cash-deficit'!Област_печат</vt:lpstr>
      <vt:lpstr>'DES-TRIAL-BAL-2021'!Област_печат</vt:lpstr>
      <vt:lpstr>'DMP-TRIAL-BAL-2021'!Област_печат</vt:lpstr>
      <vt:lpstr>Guidelines!Област_печат</vt:lpstr>
      <vt:lpstr>'Income-2021'!Област_печат</vt:lpstr>
      <vt:lpstr>'Income-2021-leva'!Област_печат</vt:lpstr>
      <vt:lpstr>'Intra-Balances'!Област_печат</vt:lpstr>
      <vt:lpstr>'Local-&amp;-SSF'!Област_печат</vt:lpstr>
      <vt:lpstr>'Municipal-Bal'!Област_печат</vt:lpstr>
      <vt:lpstr>'NF-KSF-TRIAL-BAL-2021'!Област_печат</vt:lpstr>
      <vt:lpstr>'Provisions-2021'!Област_печат</vt:lpstr>
      <vt:lpstr>'R &amp; E data-2020'!Област_печат</vt:lpstr>
      <vt:lpstr>'RA-TRIAL-BAL-2021'!Област_печат</vt:lpstr>
      <vt:lpstr>Status!Област_печат</vt:lpstr>
      <vt:lpstr>'TRIAL-BALANCE'!Област_печат</vt:lpstr>
      <vt:lpstr>'BALANCE-SHEET-2021'!Печат_заглавия</vt:lpstr>
      <vt:lpstr>'BALANCE-SHEET-2021-leva'!Печат_заглавия</vt:lpstr>
      <vt:lpstr>'DES-TRIAL-BAL-2021'!Печат_заглавия</vt:lpstr>
      <vt:lpstr>'DMP-TRIAL-BAL-2021'!Печат_заглавия</vt:lpstr>
      <vt:lpstr>'Income-2021'!Печат_заглавия</vt:lpstr>
      <vt:lpstr>'Income-2021-leva'!Печат_заглавия</vt:lpstr>
      <vt:lpstr>'Intra-Balances'!Печат_заглавия</vt:lpstr>
      <vt:lpstr>'Local-&amp;-SSF'!Печат_заглавия</vt:lpstr>
      <vt:lpstr>'Municipal-Bal'!Печат_заглавия</vt:lpstr>
      <vt:lpstr>'NF-KSF-TRIAL-BAL-2021'!Печат_заглавия</vt:lpstr>
      <vt:lpstr>'Provisions-2021'!Печат_заглавия</vt:lpstr>
      <vt:lpstr>'R &amp; E data-2020'!Печат_заглавия</vt:lpstr>
      <vt:lpstr>'RA-TRIAL-BAL-2021'!Печат_заглавия</vt:lpstr>
      <vt:lpstr>'TRIAL-BALANCE'!Печат_заглавия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990 Opti</dc:creator>
  <cp:lastModifiedBy>Dell 990 Opti</cp:lastModifiedBy>
  <cp:lastPrinted>2020-01-13T15:30:12Z</cp:lastPrinted>
  <dcterms:created xsi:type="dcterms:W3CDTF">2002-02-28T16:53:59Z</dcterms:created>
  <dcterms:modified xsi:type="dcterms:W3CDTF">2021-10-21T10:48:47Z</dcterms:modified>
</cp:coreProperties>
</file>